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K:\Trans\Grant Applications\2023 Grants\RAISE\MnDOT MN 19 Marshall\BCA\"/>
    </mc:Choice>
  </mc:AlternateContent>
  <xr:revisionPtr revIDLastSave="0" documentId="13_ncr:1_{E1837C19-24CA-4E83-BEA5-C2B029EDD8BA}" xr6:coauthVersionLast="47" xr6:coauthVersionMax="47" xr10:uidLastSave="{00000000-0000-0000-0000-000000000000}"/>
  <bookViews>
    <workbookView xWindow="-120" yWindow="-120" windowWidth="29040" windowHeight="15840" tabRatio="891" activeTab="1" xr2:uid="{00000000-000D-0000-FFFF-FFFF00000000}"/>
  </bookViews>
  <sheets>
    <sheet name="Assumptions" sheetId="51" r:id="rId1"/>
    <sheet name="BCA Summary" sheetId="12" r:id="rId2"/>
    <sheet name="Annualized Operations" sheetId="47" r:id="rId3"/>
    <sheet name="Delay Reduction Savings" sheetId="84" r:id="rId4"/>
    <sheet name="Corridor Travel Time Savings" sheetId="82" r:id="rId5"/>
    <sheet name="Operating Cost-Roughness" sheetId="83" r:id="rId6"/>
    <sheet name="Operating Costs-Fuel" sheetId="81" r:id="rId7"/>
    <sheet name="Crash Costs" sheetId="88" r:id="rId8"/>
    <sheet name="Quality of Life Benefits " sheetId="75" r:id="rId9"/>
    <sheet name="Pedestrian Amenities" sheetId="90" r:id="rId10"/>
    <sheet name="Air Quality" sheetId="72" r:id="rId11"/>
    <sheet name="Operation and Maintenance" sheetId="48" r:id="rId12"/>
    <sheet name="Capital Costs" sheetId="8" r:id="rId13"/>
    <sheet name="AADTS" sheetId="74" r:id="rId14"/>
    <sheet name="Intersections" sheetId="86" r:id="rId15"/>
    <sheet name="Segments" sheetId="87" r:id="rId16"/>
  </sheets>
  <externalReferences>
    <externalReference r:id="rId17"/>
    <externalReference r:id="rId18"/>
  </externalReferences>
  <definedNames>
    <definedName name="_Fill" hidden="1">#REF!</definedName>
    <definedName name="_Key1" hidden="1">'[1]Journal Entry'!#REF!</definedName>
    <definedName name="_Key2" hidden="1">'[1]Journal Entry'!#REF!</definedName>
    <definedName name="_Order1" hidden="1">255</definedName>
    <definedName name="_Order2" hidden="1">255</definedName>
    <definedName name="BEx3O85IKWARA6NCJOLRBRJFMEWW" hidden="1">'[2]Q2 09 Rail BS Leads'!#REF!</definedName>
    <definedName name="BEx5MLQZM68YQSKARVWTTPINFQ2C" hidden="1">'[2]Q2 09 Rail BS Leads'!#REF!</definedName>
    <definedName name="BExERWCEBKQRYWRQLYJ4UCMMKTHG" hidden="1">'[2]Q2 09 Rail BS Leads'!#REF!</definedName>
    <definedName name="BExMBYPQDG9AYDQ5E8IECVFREPO6" hidden="1">'[2]Q2 09 Rail BS Leads'!#REF!</definedName>
    <definedName name="BExQ9ZLYHWABXAA9NJDW8ZS0UQ9P" hidden="1">'[2]Q2 09 Rail BS Leads'!#REF!</definedName>
    <definedName name="BExTUY9WNSJ91GV8CP0SKJTEIV82" hidden="1">'[2]Q2 09 Rail BS Leads'!#REF!</definedName>
    <definedName name="_xlnm.Print_Area" localSheetId="13">AADTS!$A$1:$J$23</definedName>
    <definedName name="_xlnm.Print_Area" localSheetId="10">'Air Quality'!$A$1:$R$101</definedName>
    <definedName name="_xlnm.Print_Area" localSheetId="0">Assumptions!$A$1:$D$14</definedName>
    <definedName name="_xlnm.Print_Area" localSheetId="12">'Capital Costs'!$A$1:$Q$52</definedName>
    <definedName name="_xlnm.Print_Area" localSheetId="4">'Corridor Travel Time Savings'!$A$1:$M$48</definedName>
    <definedName name="_xlnm.Print_Area" localSheetId="7">'Crash Costs'!$A$1:$Y$123</definedName>
    <definedName name="_xlnm.Print_Area" localSheetId="3">'Delay Reduction Savings'!$B$2:$AX$76</definedName>
    <definedName name="_xlnm.Print_Area" localSheetId="5">'Operating Cost-Roughness'!$A$1:$AA$58</definedName>
    <definedName name="_xlnm.Print_Area" localSheetId="6">'Operating Costs-Fuel'!$A$1:$K$37</definedName>
    <definedName name="_xlnm.Print_Area" localSheetId="11">'Operation and Maintenance'!$A$1:$M$57</definedName>
    <definedName name="_xlnm.Print_Area" localSheetId="9">'Pedestrian Amenities'!$A$1:$O$48</definedName>
    <definedName name="SAPBEXhrIndnt" hidden="1">"Wide"</definedName>
    <definedName name="SAPsysID" hidden="1">"708C5W7SBKP804JT78WJ0JNKI"</definedName>
    <definedName name="SAPwbID" hidden="1">"ARS"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48" l="1"/>
  <c r="E27" i="48"/>
  <c r="E26" i="48"/>
  <c r="E25" i="48"/>
  <c r="E24" i="48"/>
  <c r="E23" i="48"/>
  <c r="E22" i="48"/>
  <c r="E21" i="48"/>
  <c r="E20" i="48"/>
  <c r="E19" i="48"/>
  <c r="E18" i="48"/>
  <c r="E17" i="48"/>
  <c r="E16" i="48"/>
  <c r="E15" i="48"/>
  <c r="E14" i="48"/>
  <c r="E13" i="48"/>
  <c r="E12" i="48"/>
  <c r="E11" i="48"/>
  <c r="E10" i="48"/>
  <c r="E9" i="48"/>
  <c r="E8" i="48"/>
  <c r="K8" i="48"/>
  <c r="K9" i="48"/>
  <c r="C8" i="48"/>
  <c r="C27" i="48"/>
  <c r="C26" i="48"/>
  <c r="C25" i="48"/>
  <c r="C24" i="48"/>
  <c r="C23" i="48"/>
  <c r="C22" i="48"/>
  <c r="C21" i="48"/>
  <c r="C20" i="48"/>
  <c r="C19" i="48"/>
  <c r="C18" i="48"/>
  <c r="C16" i="48"/>
  <c r="C15" i="48"/>
  <c r="C14" i="48"/>
  <c r="C13" i="48"/>
  <c r="C12" i="48"/>
  <c r="C11" i="48"/>
  <c r="C10" i="48"/>
  <c r="C9" i="48"/>
  <c r="O25" i="75" l="1"/>
  <c r="D36" i="8"/>
  <c r="F26" i="82"/>
  <c r="G9" i="88"/>
  <c r="G15" i="88"/>
  <c r="K8" i="88"/>
  <c r="I14" i="88"/>
  <c r="U83" i="88"/>
  <c r="U82" i="88"/>
  <c r="U85" i="88"/>
  <c r="T80" i="88"/>
  <c r="U78" i="88"/>
  <c r="V78" i="88"/>
  <c r="W78" i="88"/>
  <c r="U79" i="88"/>
  <c r="V79" i="88"/>
  <c r="W79" i="88"/>
  <c r="U80" i="88"/>
  <c r="V80" i="88"/>
  <c r="W80" i="88"/>
  <c r="U81" i="88"/>
  <c r="V81" i="88"/>
  <c r="W81" i="88"/>
  <c r="V82" i="88"/>
  <c r="W82" i="88"/>
  <c r="V83" i="88"/>
  <c r="W83" i="88"/>
  <c r="U84" i="88"/>
  <c r="V84" i="88"/>
  <c r="W84" i="88"/>
  <c r="V85" i="88"/>
  <c r="W85" i="88"/>
  <c r="U86" i="88"/>
  <c r="V86" i="88"/>
  <c r="W86" i="88"/>
  <c r="U87" i="88"/>
  <c r="V87" i="88"/>
  <c r="W87" i="88"/>
  <c r="U88" i="88"/>
  <c r="V88" i="88"/>
  <c r="W88" i="88"/>
  <c r="U89" i="88"/>
  <c r="V89" i="88"/>
  <c r="W89" i="88"/>
  <c r="U90" i="88"/>
  <c r="V90" i="88"/>
  <c r="W90" i="88"/>
  <c r="U91" i="88"/>
  <c r="V91" i="88"/>
  <c r="W91" i="88"/>
  <c r="U92" i="88"/>
  <c r="V92" i="88"/>
  <c r="W92" i="88"/>
  <c r="U93" i="88"/>
  <c r="V93" i="88"/>
  <c r="W93" i="88"/>
  <c r="U94" i="88"/>
  <c r="V94" i="88"/>
  <c r="W94" i="88"/>
  <c r="T79" i="88"/>
  <c r="T81" i="88"/>
  <c r="T82" i="88"/>
  <c r="T83" i="88"/>
  <c r="T84" i="88"/>
  <c r="T85" i="88"/>
  <c r="T86" i="88"/>
  <c r="T87" i="88"/>
  <c r="T88" i="88"/>
  <c r="T89" i="88"/>
  <c r="T90" i="88"/>
  <c r="T91" i="88"/>
  <c r="T92" i="88"/>
  <c r="T93" i="88"/>
  <c r="T94" i="88"/>
  <c r="T78" i="88"/>
  <c r="G7" i="88"/>
  <c r="U56" i="88"/>
  <c r="N42" i="88"/>
  <c r="E6" i="83"/>
  <c r="S60" i="12"/>
  <c r="S56" i="12"/>
  <c r="S53" i="12"/>
  <c r="S52" i="12"/>
  <c r="D54" i="88"/>
  <c r="D55" i="88"/>
  <c r="D56" i="88"/>
  <c r="D57" i="88"/>
  <c r="D53" i="88"/>
  <c r="D41" i="88"/>
  <c r="D42" i="88"/>
  <c r="D43" i="88"/>
  <c r="D44" i="88"/>
  <c r="D45" i="88"/>
  <c r="D46" i="88"/>
  <c r="D47" i="88"/>
  <c r="D48" i="88"/>
  <c r="D49" i="88"/>
  <c r="D50" i="88"/>
  <c r="D51" i="88"/>
  <c r="D40" i="88"/>
  <c r="L38" i="90"/>
  <c r="N38" i="90" s="1"/>
  <c r="L39" i="90"/>
  <c r="N39" i="90" s="1"/>
  <c r="L40" i="90"/>
  <c r="N40" i="90" s="1"/>
  <c r="L41" i="90"/>
  <c r="N41" i="90" s="1"/>
  <c r="L42" i="90"/>
  <c r="N42" i="90" s="1"/>
  <c r="L43" i="90"/>
  <c r="N43" i="90" s="1"/>
  <c r="L44" i="90"/>
  <c r="N44" i="90" s="1"/>
  <c r="G39" i="90"/>
  <c r="I39" i="90" s="1"/>
  <c r="G40" i="90"/>
  <c r="I40" i="90" s="1"/>
  <c r="G41" i="90"/>
  <c r="I41" i="90" s="1"/>
  <c r="G42" i="90"/>
  <c r="I42" i="90" s="1"/>
  <c r="G43" i="90"/>
  <c r="I43" i="90" s="1"/>
  <c r="G44" i="90"/>
  <c r="I44" i="90" s="1"/>
  <c r="G45" i="90"/>
  <c r="I45" i="90" s="1"/>
  <c r="G38" i="90"/>
  <c r="I38" i="90" s="1"/>
  <c r="G14" i="90" s="1"/>
  <c r="M33" i="90"/>
  <c r="I35" i="90"/>
  <c r="F10" i="90" s="1"/>
  <c r="H10" i="90" s="1"/>
  <c r="I56" i="88"/>
  <c r="E65" i="88"/>
  <c r="H55" i="88"/>
  <c r="G55" i="88"/>
  <c r="G43" i="88"/>
  <c r="C40" i="88"/>
  <c r="I10" i="90" l="1"/>
  <c r="J10" i="90" s="1"/>
  <c r="G13" i="90" s="1"/>
  <c r="G15" i="90"/>
  <c r="C26" i="90"/>
  <c r="C25" i="90"/>
  <c r="C24" i="90"/>
  <c r="C23" i="90"/>
  <c r="C22" i="90"/>
  <c r="C21" i="90"/>
  <c r="C20" i="90"/>
  <c r="C19" i="90"/>
  <c r="C18" i="90"/>
  <c r="C17" i="90"/>
  <c r="C16" i="90"/>
  <c r="C15" i="90"/>
  <c r="C14" i="90"/>
  <c r="C13" i="90"/>
  <c r="C12" i="90"/>
  <c r="C11" i="90"/>
  <c r="C10" i="90"/>
  <c r="C9" i="90"/>
  <c r="C8" i="90"/>
  <c r="C7" i="90"/>
  <c r="C41" i="88"/>
  <c r="C42" i="88"/>
  <c r="C43" i="88"/>
  <c r="J10" i="82"/>
  <c r="L10" i="82"/>
  <c r="F27" i="48"/>
  <c r="F26" i="48"/>
  <c r="F25" i="48"/>
  <c r="F24" i="48"/>
  <c r="F23" i="48"/>
  <c r="F22" i="48"/>
  <c r="F21" i="48"/>
  <c r="F20" i="48"/>
  <c r="F19" i="48"/>
  <c r="F18" i="48"/>
  <c r="F17" i="48"/>
  <c r="F16" i="48"/>
  <c r="F15" i="48"/>
  <c r="F14" i="48"/>
  <c r="F13" i="48"/>
  <c r="F12" i="48"/>
  <c r="F11" i="48"/>
  <c r="F10" i="48"/>
  <c r="F8" i="48"/>
  <c r="F9" i="48"/>
  <c r="F60" i="88"/>
  <c r="F73" i="88"/>
  <c r="I14" i="82" l="1"/>
  <c r="J18" i="88" l="1"/>
  <c r="N5" i="88"/>
  <c r="O5" i="88"/>
  <c r="P5" i="88"/>
  <c r="Q5" i="88"/>
  <c r="T42" i="88"/>
  <c r="U42" i="88"/>
  <c r="U5" i="88" s="1"/>
  <c r="V42" i="88"/>
  <c r="V5" i="88" s="1"/>
  <c r="W42" i="88"/>
  <c r="W5" i="88" s="1"/>
  <c r="N6" i="88"/>
  <c r="O6" i="88"/>
  <c r="P6" i="88"/>
  <c r="Q6" i="88"/>
  <c r="T43" i="88"/>
  <c r="T6" i="88" s="1"/>
  <c r="U43" i="88"/>
  <c r="U6" i="88" s="1"/>
  <c r="V43" i="88"/>
  <c r="V6" i="88" s="1"/>
  <c r="W43" i="88"/>
  <c r="W6" i="88" s="1"/>
  <c r="N7" i="88"/>
  <c r="O7" i="88"/>
  <c r="P7" i="88"/>
  <c r="Q7" i="88"/>
  <c r="T44" i="88"/>
  <c r="T7" i="88" s="1"/>
  <c r="U44" i="88"/>
  <c r="U7" i="88" s="1"/>
  <c r="V44" i="88"/>
  <c r="V7" i="88" s="1"/>
  <c r="W44" i="88"/>
  <c r="W7" i="88" s="1"/>
  <c r="N8" i="88"/>
  <c r="O8" i="88"/>
  <c r="P8" i="88"/>
  <c r="Q8" i="88"/>
  <c r="T45" i="88"/>
  <c r="T8" i="88" s="1"/>
  <c r="U45" i="88"/>
  <c r="U8" i="88" s="1"/>
  <c r="V45" i="88"/>
  <c r="V8" i="88" s="1"/>
  <c r="W45" i="88"/>
  <c r="W8" i="88" s="1"/>
  <c r="N9" i="88"/>
  <c r="O9" i="88"/>
  <c r="P9" i="88"/>
  <c r="Q9" i="88"/>
  <c r="T46" i="88"/>
  <c r="T9" i="88" s="1"/>
  <c r="U46" i="88"/>
  <c r="U9" i="88" s="1"/>
  <c r="V46" i="88"/>
  <c r="V9" i="88" s="1"/>
  <c r="W46" i="88"/>
  <c r="W9" i="88" s="1"/>
  <c r="N10" i="88"/>
  <c r="O10" i="88"/>
  <c r="P10" i="88"/>
  <c r="Q10" i="88"/>
  <c r="T47" i="88"/>
  <c r="T10" i="88" s="1"/>
  <c r="U47" i="88"/>
  <c r="U10" i="88" s="1"/>
  <c r="V47" i="88"/>
  <c r="V10" i="88" s="1"/>
  <c r="W47" i="88"/>
  <c r="W10" i="88" s="1"/>
  <c r="N11" i="88"/>
  <c r="O11" i="88"/>
  <c r="P11" i="88"/>
  <c r="Q11" i="88"/>
  <c r="T48" i="88"/>
  <c r="T11" i="88" s="1"/>
  <c r="U48" i="88"/>
  <c r="U11" i="88" s="1"/>
  <c r="V48" i="88"/>
  <c r="V11" i="88" s="1"/>
  <c r="W48" i="88"/>
  <c r="W11" i="88" s="1"/>
  <c r="N12" i="88"/>
  <c r="O12" i="88"/>
  <c r="P12" i="88"/>
  <c r="Q12" i="88"/>
  <c r="T49" i="88"/>
  <c r="T12" i="88" s="1"/>
  <c r="U49" i="88"/>
  <c r="U12" i="88" s="1"/>
  <c r="V49" i="88"/>
  <c r="V12" i="88" s="1"/>
  <c r="W49" i="88"/>
  <c r="W12" i="88" s="1"/>
  <c r="N13" i="88"/>
  <c r="O13" i="88"/>
  <c r="P13" i="88"/>
  <c r="Q13" i="88"/>
  <c r="T50" i="88"/>
  <c r="T13" i="88" s="1"/>
  <c r="U50" i="88"/>
  <c r="U13" i="88" s="1"/>
  <c r="V50" i="88"/>
  <c r="V13" i="88" s="1"/>
  <c r="W50" i="88"/>
  <c r="W13" i="88" s="1"/>
  <c r="N14" i="88"/>
  <c r="O14" i="88"/>
  <c r="P14" i="88"/>
  <c r="Q14" i="88"/>
  <c r="T51" i="88"/>
  <c r="T14" i="88" s="1"/>
  <c r="U51" i="88"/>
  <c r="U14" i="88" s="1"/>
  <c r="V51" i="88"/>
  <c r="V14" i="88" s="1"/>
  <c r="W51" i="88"/>
  <c r="W14" i="88" s="1"/>
  <c r="N15" i="88"/>
  <c r="O15" i="88"/>
  <c r="P15" i="88"/>
  <c r="Q15" i="88"/>
  <c r="T52" i="88"/>
  <c r="T15" i="88" s="1"/>
  <c r="U52" i="88"/>
  <c r="U15" i="88" s="1"/>
  <c r="V52" i="88"/>
  <c r="V15" i="88" s="1"/>
  <c r="W52" i="88"/>
  <c r="W15" i="88" s="1"/>
  <c r="N16" i="88"/>
  <c r="O16" i="88"/>
  <c r="P16" i="88"/>
  <c r="Q16" i="88"/>
  <c r="T53" i="88"/>
  <c r="T16" i="88" s="1"/>
  <c r="U53" i="88"/>
  <c r="U16" i="88" s="1"/>
  <c r="V53" i="88"/>
  <c r="V16" i="88" s="1"/>
  <c r="W53" i="88"/>
  <c r="W16" i="88" s="1"/>
  <c r="N17" i="88"/>
  <c r="O17" i="88"/>
  <c r="P17" i="88"/>
  <c r="Q17" i="88"/>
  <c r="T54" i="88"/>
  <c r="T17" i="88" s="1"/>
  <c r="U54" i="88"/>
  <c r="U17" i="88" s="1"/>
  <c r="V54" i="88"/>
  <c r="V17" i="88" s="1"/>
  <c r="W54" i="88"/>
  <c r="W17" i="88" s="1"/>
  <c r="N18" i="88"/>
  <c r="O18" i="88"/>
  <c r="P18" i="88"/>
  <c r="Q18" i="88"/>
  <c r="T55" i="88"/>
  <c r="T18" i="88" s="1"/>
  <c r="U55" i="88"/>
  <c r="U18" i="88" s="1"/>
  <c r="V55" i="88"/>
  <c r="V18" i="88" s="1"/>
  <c r="W55" i="88"/>
  <c r="W18" i="88" s="1"/>
  <c r="N19" i="88"/>
  <c r="O19" i="88"/>
  <c r="P19" i="88"/>
  <c r="Q19" i="88"/>
  <c r="T56" i="88"/>
  <c r="T19" i="88" s="1"/>
  <c r="U19" i="88"/>
  <c r="V56" i="88"/>
  <c r="V19" i="88" s="1"/>
  <c r="W56" i="88"/>
  <c r="W19" i="88" s="1"/>
  <c r="N20" i="88"/>
  <c r="O20" i="88"/>
  <c r="P20" i="88"/>
  <c r="Q20" i="88"/>
  <c r="T57" i="88"/>
  <c r="T20" i="88" s="1"/>
  <c r="U57" i="88"/>
  <c r="U20" i="88" s="1"/>
  <c r="V57" i="88"/>
  <c r="V20" i="88" s="1"/>
  <c r="W57" i="88"/>
  <c r="W20" i="88" s="1"/>
  <c r="N21" i="88"/>
  <c r="O21" i="88"/>
  <c r="P21" i="88"/>
  <c r="Q21" i="88"/>
  <c r="T58" i="88"/>
  <c r="T21" i="88" s="1"/>
  <c r="U58" i="88"/>
  <c r="U21" i="88" s="1"/>
  <c r="V58" i="88"/>
  <c r="V21" i="88" s="1"/>
  <c r="W58" i="88"/>
  <c r="W21" i="88" s="1"/>
  <c r="N22" i="88"/>
  <c r="O22" i="88"/>
  <c r="P22" i="88"/>
  <c r="Q22" i="88"/>
  <c r="N24" i="88"/>
  <c r="T24" i="88" s="1"/>
  <c r="O24" i="88"/>
  <c r="U24" i="88" s="1"/>
  <c r="P24" i="88"/>
  <c r="V24" i="88" s="1"/>
  <c r="Q24" i="88"/>
  <c r="W24" i="88" s="1"/>
  <c r="N25" i="88"/>
  <c r="T25" i="88" s="1"/>
  <c r="O25" i="88"/>
  <c r="U25" i="88" s="1"/>
  <c r="P25" i="88"/>
  <c r="Q25" i="88"/>
  <c r="N26" i="88"/>
  <c r="O26" i="88"/>
  <c r="U26" i="88" s="1"/>
  <c r="P26" i="88"/>
  <c r="V26" i="88" s="1"/>
  <c r="Q26" i="88"/>
  <c r="W26" i="88" s="1"/>
  <c r="N27" i="88"/>
  <c r="T27" i="88" s="1"/>
  <c r="O27" i="88"/>
  <c r="U27" i="88" s="1"/>
  <c r="P27" i="88"/>
  <c r="Q27" i="88"/>
  <c r="N28" i="88"/>
  <c r="O28" i="88"/>
  <c r="U28" i="88" s="1"/>
  <c r="P28" i="88"/>
  <c r="Q28" i="88"/>
  <c r="W28" i="88" s="1"/>
  <c r="N29" i="88"/>
  <c r="T29" i="88" s="1"/>
  <c r="O29" i="88"/>
  <c r="P29" i="88"/>
  <c r="Q29" i="88"/>
  <c r="N30" i="88"/>
  <c r="O30" i="88"/>
  <c r="U30" i="88" s="1"/>
  <c r="P30" i="88"/>
  <c r="V30" i="88" s="1"/>
  <c r="Q30" i="88"/>
  <c r="W30" i="88" s="1"/>
  <c r="N31" i="88"/>
  <c r="T31" i="88" s="1"/>
  <c r="O31" i="88"/>
  <c r="P31" i="88"/>
  <c r="Q31" i="88"/>
  <c r="W31" i="88"/>
  <c r="N32" i="88"/>
  <c r="O32" i="88"/>
  <c r="U32" i="88" s="1"/>
  <c r="P32" i="88"/>
  <c r="Q32" i="88"/>
  <c r="V32" i="88"/>
  <c r="W32" i="88"/>
  <c r="N33" i="88"/>
  <c r="O33" i="88"/>
  <c r="P33" i="88"/>
  <c r="Q33" i="88"/>
  <c r="U33" i="88"/>
  <c r="V33" i="88"/>
  <c r="W33" i="88"/>
  <c r="N34" i="88"/>
  <c r="O34" i="88"/>
  <c r="P34" i="88"/>
  <c r="Q34" i="88"/>
  <c r="T34" i="88"/>
  <c r="U34" i="88"/>
  <c r="V34" i="88"/>
  <c r="W34" i="88"/>
  <c r="N35" i="88"/>
  <c r="O35" i="88"/>
  <c r="P35" i="88"/>
  <c r="Q35" i="88"/>
  <c r="T35" i="88"/>
  <c r="U35" i="88"/>
  <c r="V35" i="88"/>
  <c r="N36" i="88"/>
  <c r="O36" i="88"/>
  <c r="P36" i="88"/>
  <c r="V36" i="88" s="1"/>
  <c r="Q36" i="88"/>
  <c r="W36" i="88" s="1"/>
  <c r="T36" i="88"/>
  <c r="U36" i="88"/>
  <c r="N37" i="88"/>
  <c r="O37" i="88"/>
  <c r="U37" i="88" s="1"/>
  <c r="P37" i="88"/>
  <c r="Q37" i="88"/>
  <c r="T37" i="88"/>
  <c r="T5" i="88" l="1"/>
  <c r="O38" i="88"/>
  <c r="H7" i="88" s="1"/>
  <c r="P38" i="88"/>
  <c r="I7" i="88" s="1"/>
  <c r="K18" i="88"/>
  <c r="K20" i="88" s="1"/>
  <c r="J20" i="88"/>
  <c r="J21" i="88"/>
  <c r="K21" i="88"/>
  <c r="Q74" i="88"/>
  <c r="P74" i="88"/>
  <c r="O74" i="88"/>
  <c r="N74" i="88"/>
  <c r="Q61" i="88"/>
  <c r="P61" i="88"/>
  <c r="O61" i="88"/>
  <c r="N61" i="88"/>
  <c r="T33" i="88"/>
  <c r="V31" i="88"/>
  <c r="W29" i="88"/>
  <c r="W27" i="88"/>
  <c r="W25" i="88"/>
  <c r="T32" i="88"/>
  <c r="U31" i="88"/>
  <c r="V29" i="88"/>
  <c r="V28" i="88"/>
  <c r="V27" i="88"/>
  <c r="V25" i="88"/>
  <c r="W37" i="88"/>
  <c r="V37" i="88"/>
  <c r="U29" i="88"/>
  <c r="Q38" i="88"/>
  <c r="J7" i="88" s="1"/>
  <c r="N38" i="88"/>
  <c r="W35" i="88"/>
  <c r="T30" i="88"/>
  <c r="T28" i="88"/>
  <c r="T26" i="88"/>
  <c r="J41" i="88" l="1"/>
  <c r="J42" i="88"/>
  <c r="J43" i="88"/>
  <c r="C44" i="88"/>
  <c r="J44" i="88" s="1"/>
  <c r="C45" i="88"/>
  <c r="J45" i="88" s="1"/>
  <c r="C46" i="88"/>
  <c r="J46" i="88" s="1"/>
  <c r="C47" i="88"/>
  <c r="J47" i="88" s="1"/>
  <c r="C48" i="88"/>
  <c r="J48" i="88" s="1"/>
  <c r="C49" i="88"/>
  <c r="J49" i="88" s="1"/>
  <c r="C50" i="88"/>
  <c r="J50" i="88" s="1"/>
  <c r="N45" i="88" s="1"/>
  <c r="C51" i="88"/>
  <c r="J51" i="88" s="1"/>
  <c r="C52" i="88"/>
  <c r="J52" i="88" s="1"/>
  <c r="C53" i="88"/>
  <c r="J53" i="88" s="1"/>
  <c r="C54" i="88"/>
  <c r="J54" i="88" s="1"/>
  <c r="N44" i="88" s="1"/>
  <c r="C55" i="88"/>
  <c r="J55" i="88" s="1"/>
  <c r="C56" i="88"/>
  <c r="J56" i="88" s="1"/>
  <c r="C57" i="88"/>
  <c r="J57" i="88" s="1"/>
  <c r="C62" i="88"/>
  <c r="F62" i="88" s="1"/>
  <c r="C63" i="88"/>
  <c r="F63" i="88" s="1"/>
  <c r="C64" i="88"/>
  <c r="F64" i="88" s="1"/>
  <c r="C65" i="88"/>
  <c r="F65" i="88" s="1"/>
  <c r="C66" i="88"/>
  <c r="F66" i="88" s="1"/>
  <c r="C67" i="88"/>
  <c r="F67" i="88" s="1"/>
  <c r="C68" i="88"/>
  <c r="F68" i="88" s="1"/>
  <c r="C69" i="88"/>
  <c r="F69" i="88" s="1"/>
  <c r="C70" i="88"/>
  <c r="F70" i="88" s="1"/>
  <c r="C71" i="88"/>
  <c r="F71" i="88" s="1"/>
  <c r="C72" i="88"/>
  <c r="F72" i="88" s="1"/>
  <c r="C61" i="88"/>
  <c r="F61" i="88" s="1"/>
  <c r="Q62" i="88" l="1"/>
  <c r="P62" i="88"/>
  <c r="O62" i="88"/>
  <c r="N62" i="88"/>
  <c r="Q73" i="88"/>
  <c r="P73" i="88"/>
  <c r="O73" i="88"/>
  <c r="N73" i="88"/>
  <c r="Q72" i="88"/>
  <c r="P72" i="88"/>
  <c r="O72" i="88"/>
  <c r="N72" i="88"/>
  <c r="Q71" i="88"/>
  <c r="P71" i="88"/>
  <c r="O71" i="88"/>
  <c r="N71" i="88"/>
  <c r="Q70" i="88"/>
  <c r="P70" i="88"/>
  <c r="O70" i="88"/>
  <c r="N70" i="88"/>
  <c r="Q69" i="88"/>
  <c r="P69" i="88"/>
  <c r="O69" i="88"/>
  <c r="N69" i="88"/>
  <c r="Q68" i="88"/>
  <c r="P68" i="88"/>
  <c r="O68" i="88"/>
  <c r="N68" i="88"/>
  <c r="Q67" i="88"/>
  <c r="P67" i="88"/>
  <c r="O67" i="88"/>
  <c r="N67" i="88"/>
  <c r="Q66" i="88"/>
  <c r="P66" i="88"/>
  <c r="O66" i="88"/>
  <c r="N66" i="88"/>
  <c r="Q65" i="88"/>
  <c r="P65" i="88"/>
  <c r="O65" i="88"/>
  <c r="N65" i="88"/>
  <c r="Q64" i="88"/>
  <c r="P64" i="88"/>
  <c r="O64" i="88"/>
  <c r="N64" i="88"/>
  <c r="Q63" i="88"/>
  <c r="P63" i="88"/>
  <c r="O63" i="88"/>
  <c r="N63" i="88"/>
  <c r="O42" i="88"/>
  <c r="P42" i="88"/>
  <c r="Q42" i="88"/>
  <c r="N43" i="88"/>
  <c r="O43" i="88"/>
  <c r="P43" i="88"/>
  <c r="Q43" i="88"/>
  <c r="N57" i="88"/>
  <c r="P57" i="88"/>
  <c r="Q57" i="88"/>
  <c r="O57" i="88"/>
  <c r="O44" i="88"/>
  <c r="P44" i="88"/>
  <c r="Q44" i="88"/>
  <c r="N46" i="88"/>
  <c r="O46" i="88"/>
  <c r="P46" i="88"/>
  <c r="Q46" i="88"/>
  <c r="P48" i="88"/>
  <c r="N48" i="88"/>
  <c r="O48" i="88"/>
  <c r="Q48" i="88"/>
  <c r="N49" i="88"/>
  <c r="O49" i="88"/>
  <c r="P49" i="88"/>
  <c r="Q49" i="88"/>
  <c r="P45" i="88"/>
  <c r="O45" i="88"/>
  <c r="Q45" i="88"/>
  <c r="N55" i="88"/>
  <c r="O55" i="88"/>
  <c r="P55" i="88"/>
  <c r="Q55" i="88"/>
  <c r="N47" i="88"/>
  <c r="P47" i="88"/>
  <c r="Q47" i="88"/>
  <c r="O47" i="88"/>
  <c r="Q50" i="88"/>
  <c r="N50" i="88"/>
  <c r="O50" i="88"/>
  <c r="P50" i="88"/>
  <c r="N51" i="88"/>
  <c r="O51" i="88"/>
  <c r="P51" i="88"/>
  <c r="Q51" i="88"/>
  <c r="O52" i="88"/>
  <c r="N52" i="88"/>
  <c r="Q52" i="88"/>
  <c r="P52" i="88"/>
  <c r="Q53" i="88"/>
  <c r="P53" i="88"/>
  <c r="O53" i="88"/>
  <c r="N53" i="88"/>
  <c r="N56" i="88"/>
  <c r="P56" i="88"/>
  <c r="Q56" i="88"/>
  <c r="O56" i="88"/>
  <c r="P58" i="88"/>
  <c r="N58" i="88"/>
  <c r="O58" i="88"/>
  <c r="Q58" i="88"/>
  <c r="N75" i="88" l="1"/>
  <c r="O75" i="88"/>
  <c r="P75" i="88"/>
  <c r="Q75" i="88"/>
  <c r="V22" i="84" l="1"/>
  <c r="V21" i="84"/>
  <c r="V20" i="84"/>
  <c r="V19" i="84"/>
  <c r="V18" i="84"/>
  <c r="V17" i="84"/>
  <c r="V16" i="84"/>
  <c r="V15" i="84"/>
  <c r="K6" i="84"/>
  <c r="K13" i="8"/>
  <c r="K19" i="8"/>
  <c r="H35" i="8"/>
  <c r="U26" i="84"/>
  <c r="J6" i="84"/>
  <c r="U33" i="84" l="1"/>
  <c r="U32" i="84"/>
  <c r="U31" i="84"/>
  <c r="U30" i="84"/>
  <c r="U29" i="84"/>
  <c r="U28" i="84"/>
  <c r="U27" i="84"/>
  <c r="V7" i="84"/>
  <c r="V5" i="84"/>
  <c r="V4" i="84"/>
  <c r="U37" i="84"/>
  <c r="Q30" i="84"/>
  <c r="M22" i="75"/>
  <c r="K7" i="84"/>
  <c r="AH4" i="84"/>
  <c r="S5" i="84"/>
  <c r="S16" i="84" s="1"/>
  <c r="D6" i="47"/>
  <c r="D5" i="47"/>
  <c r="P41" i="84"/>
  <c r="Q41" i="84"/>
  <c r="R41" i="84"/>
  <c r="O41" i="84"/>
  <c r="S41" i="84"/>
  <c r="V41" i="84" s="1"/>
  <c r="P30" i="84"/>
  <c r="R30" i="84"/>
  <c r="O30" i="84"/>
  <c r="S30" i="84"/>
  <c r="V30" i="84"/>
  <c r="S8" i="84"/>
  <c r="S19" i="84" s="1"/>
  <c r="V8" i="84"/>
  <c r="S4" i="84"/>
  <c r="C5" i="47"/>
  <c r="S11" i="84"/>
  <c r="S10" i="84"/>
  <c r="S21" i="84" s="1"/>
  <c r="J64" i="72"/>
  <c r="C57" i="72" s="1"/>
  <c r="O38" i="84"/>
  <c r="P38" i="84"/>
  <c r="Q38" i="84"/>
  <c r="R38" i="84"/>
  <c r="O39" i="84"/>
  <c r="P39" i="84"/>
  <c r="Q39" i="84"/>
  <c r="R39" i="84"/>
  <c r="O40" i="84"/>
  <c r="P40" i="84"/>
  <c r="Q40" i="84"/>
  <c r="R40" i="84"/>
  <c r="O42" i="84"/>
  <c r="P42" i="84"/>
  <c r="Q42" i="84"/>
  <c r="R42" i="84"/>
  <c r="O43" i="84"/>
  <c r="P43" i="84"/>
  <c r="Q43" i="84"/>
  <c r="R43" i="84"/>
  <c r="O44" i="84"/>
  <c r="P44" i="84"/>
  <c r="Q44" i="84"/>
  <c r="R44" i="84"/>
  <c r="P37" i="84"/>
  <c r="Q37" i="84"/>
  <c r="R37" i="84"/>
  <c r="O37" i="84"/>
  <c r="S33" i="84"/>
  <c r="S32" i="84"/>
  <c r="S31" i="84"/>
  <c r="S29" i="84"/>
  <c r="S28" i="84"/>
  <c r="S27" i="84"/>
  <c r="S26" i="84"/>
  <c r="S6" i="84"/>
  <c r="S17" i="84" s="1"/>
  <c r="S7" i="84"/>
  <c r="S18" i="84" s="1"/>
  <c r="S9" i="84"/>
  <c r="S20" i="84" s="1"/>
  <c r="S22" i="84"/>
  <c r="S15" i="84"/>
  <c r="J37" i="72"/>
  <c r="K64" i="72"/>
  <c r="L64" i="72"/>
  <c r="M64" i="72"/>
  <c r="K65" i="72"/>
  <c r="L65" i="72"/>
  <c r="M65" i="72"/>
  <c r="J65" i="72"/>
  <c r="N30" i="75"/>
  <c r="AE26" i="84"/>
  <c r="AH10" i="84"/>
  <c r="T10" i="84" s="1"/>
  <c r="T4" i="84"/>
  <c r="AH37" i="84"/>
  <c r="AG27" i="84"/>
  <c r="AF30" i="84"/>
  <c r="G6" i="47" l="1"/>
  <c r="G5" i="47"/>
  <c r="F6" i="47"/>
  <c r="F5" i="47"/>
  <c r="S44" i="84"/>
  <c r="S42" i="84"/>
  <c r="S39" i="84"/>
  <c r="S37" i="84"/>
  <c r="V37" i="84" s="1"/>
  <c r="S43" i="84"/>
  <c r="S40" i="84"/>
  <c r="S38" i="84"/>
  <c r="V10" i="84"/>
  <c r="AH44" i="84" l="1"/>
  <c r="AH43" i="84"/>
  <c r="AH42" i="84"/>
  <c r="AH41" i="84"/>
  <c r="AH40" i="84"/>
  <c r="U40" i="84" s="1"/>
  <c r="AH39" i="84"/>
  <c r="U39" i="84" s="1"/>
  <c r="AH38" i="84"/>
  <c r="U38" i="84" s="1"/>
  <c r="AH22" i="84"/>
  <c r="AH21" i="84"/>
  <c r="AH20" i="84"/>
  <c r="AH19" i="84"/>
  <c r="AH18" i="84"/>
  <c r="AH17" i="84"/>
  <c r="AH16" i="84"/>
  <c r="AH15" i="84"/>
  <c r="V26" i="84" s="1"/>
  <c r="AH11" i="84"/>
  <c r="AH9" i="84"/>
  <c r="AH8" i="84"/>
  <c r="AH7" i="84"/>
  <c r="T7" i="84" s="1"/>
  <c r="AH6" i="84"/>
  <c r="AH5" i="84"/>
  <c r="AG33" i="84"/>
  <c r="AF33" i="84"/>
  <c r="AE33" i="84"/>
  <c r="AG32" i="84"/>
  <c r="AF32" i="84"/>
  <c r="AE32" i="84"/>
  <c r="AH32" i="84" s="1"/>
  <c r="AG31" i="84"/>
  <c r="AF31" i="84"/>
  <c r="AE31" i="84"/>
  <c r="AG30" i="84"/>
  <c r="AE30" i="84"/>
  <c r="AG29" i="84"/>
  <c r="AF29" i="84"/>
  <c r="AE29" i="84"/>
  <c r="AH29" i="84" s="1"/>
  <c r="AG28" i="84"/>
  <c r="AF28" i="84"/>
  <c r="AE28" i="84"/>
  <c r="AF27" i="84"/>
  <c r="AE27" i="84"/>
  <c r="AG26" i="84"/>
  <c r="AF26" i="84"/>
  <c r="AH26" i="84" s="1"/>
  <c r="V38" i="84" l="1"/>
  <c r="AH28" i="84"/>
  <c r="AH31" i="84"/>
  <c r="V40" i="84"/>
  <c r="V42" i="84"/>
  <c r="V32" i="84"/>
  <c r="V43" i="84"/>
  <c r="V33" i="84"/>
  <c r="AH27" i="84"/>
  <c r="AH30" i="84"/>
  <c r="AH33" i="84"/>
  <c r="V39" i="84"/>
  <c r="V44" i="84"/>
  <c r="T5" i="84"/>
  <c r="AH12" i="84"/>
  <c r="T6" i="84"/>
  <c r="V6" i="84" s="1"/>
  <c r="T9" i="84"/>
  <c r="V9" i="84" s="1"/>
  <c r="T11" i="84"/>
  <c r="V11" i="84" s="1"/>
  <c r="AH23" i="84"/>
  <c r="V27" i="84"/>
  <c r="V28" i="84"/>
  <c r="V29" i="84"/>
  <c r="V31" i="84"/>
  <c r="AH45" i="84"/>
  <c r="J7" i="84" l="1"/>
  <c r="W44" i="84"/>
  <c r="W33" i="84"/>
  <c r="W11" i="84"/>
  <c r="W22" i="84"/>
  <c r="AH34" i="84"/>
  <c r="D53" i="83" l="1"/>
  <c r="D52" i="83"/>
  <c r="D51" i="83"/>
  <c r="D50" i="83"/>
  <c r="D49" i="83"/>
  <c r="N31" i="47"/>
  <c r="B20" i="74"/>
  <c r="B13" i="74"/>
  <c r="B19" i="74"/>
  <c r="B18" i="74"/>
  <c r="B17" i="74"/>
  <c r="B16" i="74"/>
  <c r="B10" i="74"/>
  <c r="B11" i="74"/>
  <c r="B12" i="74"/>
  <c r="B9" i="74"/>
  <c r="N14" i="47"/>
  <c r="N22" i="47" s="1"/>
  <c r="M27" i="47"/>
  <c r="D55" i="83"/>
  <c r="D54" i="83"/>
  <c r="M49" i="83"/>
  <c r="L49" i="83"/>
  <c r="K49" i="83"/>
  <c r="M14" i="83" l="1"/>
  <c r="L14" i="83"/>
  <c r="L13" i="83" s="1"/>
  <c r="M13" i="83"/>
  <c r="I55" i="83"/>
  <c r="H55" i="83"/>
  <c r="G55" i="83"/>
  <c r="F55" i="83"/>
  <c r="E55" i="83"/>
  <c r="I54" i="83"/>
  <c r="O54" i="83" s="1"/>
  <c r="H54" i="83"/>
  <c r="G54" i="83"/>
  <c r="F54" i="83"/>
  <c r="E54" i="83"/>
  <c r="K54" i="83" s="1"/>
  <c r="O53" i="83"/>
  <c r="P53" i="83" s="1"/>
  <c r="P55" i="83" s="1"/>
  <c r="Q55" i="83" s="1"/>
  <c r="R55" i="83" s="1"/>
  <c r="L7" i="83" s="1"/>
  <c r="N53" i="83"/>
  <c r="M53" i="83"/>
  <c r="L53" i="83"/>
  <c r="K53" i="83"/>
  <c r="O52" i="83"/>
  <c r="P52" i="83" s="1"/>
  <c r="N52" i="83"/>
  <c r="M52" i="83"/>
  <c r="Q52" i="83" s="1"/>
  <c r="R52" i="83" s="1"/>
  <c r="L52" i="83"/>
  <c r="K52" i="83"/>
  <c r="O51" i="83"/>
  <c r="P51" i="83" s="1"/>
  <c r="N51" i="83"/>
  <c r="M51" i="83"/>
  <c r="Q51" i="83" s="1"/>
  <c r="R51" i="83" s="1"/>
  <c r="L51" i="83"/>
  <c r="K51" i="83"/>
  <c r="O50" i="83"/>
  <c r="P50" i="83" s="1"/>
  <c r="N50" i="83"/>
  <c r="M50" i="83"/>
  <c r="L50" i="83"/>
  <c r="K50" i="83"/>
  <c r="O49" i="83"/>
  <c r="P49" i="83" s="1"/>
  <c r="P54" i="83" s="1"/>
  <c r="Q54" i="83" s="1"/>
  <c r="R54" i="83" s="1"/>
  <c r="L6" i="83" s="1"/>
  <c r="L17" i="83" s="1"/>
  <c r="N49" i="83"/>
  <c r="Q49" i="83" s="1"/>
  <c r="R49" i="83"/>
  <c r="Q50" i="83" l="1"/>
  <c r="R50" i="83" s="1"/>
  <c r="Q53" i="83"/>
  <c r="R53" i="83" s="1"/>
  <c r="N54" i="83"/>
  <c r="M54" i="83"/>
  <c r="L54" i="83"/>
  <c r="O55" i="83"/>
  <c r="N55" i="83"/>
  <c r="M55" i="83"/>
  <c r="L55" i="83"/>
  <c r="K55" i="83"/>
  <c r="M17" i="83" l="1"/>
  <c r="J4" i="81" l="1"/>
  <c r="J10" i="81" s="1"/>
  <c r="J13" i="8"/>
  <c r="L38" i="48"/>
  <c r="L41" i="48" s="1"/>
  <c r="L42" i="48" s="1"/>
  <c r="L43" i="48" s="1"/>
  <c r="D20" i="74"/>
  <c r="D13" i="74"/>
  <c r="D9" i="74"/>
  <c r="D11" i="74"/>
  <c r="D10" i="74"/>
  <c r="N27" i="47" l="1"/>
  <c r="O27" i="47"/>
  <c r="J26" i="8" l="1"/>
  <c r="K14" i="8"/>
  <c r="K15" i="8"/>
  <c r="K16" i="8"/>
  <c r="B64" i="72"/>
  <c r="B65" i="72" s="1"/>
  <c r="B66" i="72" s="1"/>
  <c r="B67" i="72" s="1"/>
  <c r="B68" i="72" s="1"/>
  <c r="B69" i="72" s="1"/>
  <c r="B70" i="72" s="1"/>
  <c r="B71" i="72" s="1"/>
  <c r="B72" i="72" s="1"/>
  <c r="B73" i="72" s="1"/>
  <c r="B74" i="72" s="1"/>
  <c r="B75" i="72" s="1"/>
  <c r="B76" i="72" s="1"/>
  <c r="B77" i="72" s="1"/>
  <c r="B78" i="72" s="1"/>
  <c r="B79" i="72" s="1"/>
  <c r="B80" i="72" s="1"/>
  <c r="B81" i="72" s="1"/>
  <c r="B82" i="72" s="1"/>
  <c r="B83" i="72" s="1"/>
  <c r="B84" i="72" s="1"/>
  <c r="B85" i="72" s="1"/>
  <c r="B86" i="72" s="1"/>
  <c r="B87" i="72" s="1"/>
  <c r="B88" i="72" s="1"/>
  <c r="B89" i="72" s="1"/>
  <c r="B90" i="72" s="1"/>
  <c r="B91" i="72" s="1"/>
  <c r="N27" i="75" l="1"/>
  <c r="N15" i="75"/>
  <c r="M40" i="75" l="1"/>
  <c r="L40" i="75"/>
  <c r="K40" i="75"/>
  <c r="M39" i="75"/>
  <c r="L39" i="75"/>
  <c r="O22" i="75" s="1"/>
  <c r="K39" i="75"/>
  <c r="M23" i="75" l="1"/>
  <c r="O23" i="75"/>
  <c r="N22" i="75"/>
  <c r="N23" i="75" l="1"/>
  <c r="D17" i="74" l="1"/>
  <c r="D16" i="74"/>
  <c r="C20" i="74"/>
  <c r="D19" i="74"/>
  <c r="D18" i="74"/>
  <c r="D12" i="74"/>
  <c r="C13" i="74"/>
  <c r="J18" i="8" l="1"/>
  <c r="K18" i="8" s="1"/>
  <c r="J17" i="8"/>
  <c r="K17" i="8" s="1"/>
  <c r="J30" i="8" s="1"/>
  <c r="J19" i="8"/>
  <c r="N28" i="47" l="1"/>
  <c r="O28" i="47"/>
  <c r="F58" i="72"/>
  <c r="E58" i="72"/>
  <c r="D58" i="72"/>
  <c r="C58" i="72"/>
  <c r="F57" i="72"/>
  <c r="E57" i="72"/>
  <c r="D57" i="72"/>
  <c r="C6" i="47" l="1"/>
  <c r="B7" i="12" l="1"/>
  <c r="B8" i="12" l="1"/>
  <c r="B9" i="12" l="1"/>
  <c r="B10" i="12" l="1"/>
  <c r="B11" i="12" l="1"/>
  <c r="B12" i="12" l="1"/>
  <c r="I6" i="8"/>
  <c r="I5" i="8"/>
  <c r="B13" i="12" l="1"/>
  <c r="J27" i="8"/>
  <c r="J28" i="8"/>
  <c r="J31" i="8"/>
  <c r="J29" i="8"/>
  <c r="J32" i="8" l="1"/>
  <c r="B14" i="12"/>
  <c r="B15" i="12" l="1"/>
  <c r="B16" i="12" l="1"/>
  <c r="B17" i="12" l="1"/>
  <c r="C1" i="48"/>
  <c r="D1" i="48" s="1"/>
  <c r="E1" i="48" s="1"/>
  <c r="F1" i="48" s="1"/>
  <c r="G1" i="48" s="1"/>
  <c r="H1" i="48" s="1"/>
  <c r="B18" i="12" l="1"/>
  <c r="B19" i="12" l="1"/>
  <c r="C1" i="8"/>
  <c r="D1" i="8" s="1"/>
  <c r="E1" i="8" s="1"/>
  <c r="F1" i="8" s="1"/>
  <c r="B20" i="12" l="1"/>
  <c r="B8" i="8"/>
  <c r="C8" i="8" l="1"/>
  <c r="B21" i="12"/>
  <c r="D8" i="8"/>
  <c r="B55" i="12"/>
  <c r="C55" i="12" s="1"/>
  <c r="B22" i="12" l="1"/>
  <c r="C10" i="51"/>
  <c r="B7" i="90" l="1"/>
  <c r="B8" i="48"/>
  <c r="B7" i="75"/>
  <c r="B6" i="83"/>
  <c r="B7" i="88"/>
  <c r="B7" i="84"/>
  <c r="B7" i="82"/>
  <c r="B7" i="81"/>
  <c r="B23" i="12"/>
  <c r="B5" i="72"/>
  <c r="D8" i="48" l="1"/>
  <c r="C7" i="84"/>
  <c r="B8" i="84"/>
  <c r="D7" i="84"/>
  <c r="B8" i="88"/>
  <c r="F14" i="88"/>
  <c r="B7" i="83"/>
  <c r="C7" i="75"/>
  <c r="E7" i="75" s="1"/>
  <c r="B8" i="75"/>
  <c r="D7" i="75"/>
  <c r="F7" i="75" s="1"/>
  <c r="B9" i="48"/>
  <c r="D9" i="48" s="1"/>
  <c r="B8" i="90"/>
  <c r="D7" i="90"/>
  <c r="I13" i="12"/>
  <c r="I14" i="12"/>
  <c r="B8" i="81"/>
  <c r="B9" i="81" s="1"/>
  <c r="B10" i="81" s="1"/>
  <c r="B11" i="81" s="1"/>
  <c r="B12" i="81" s="1"/>
  <c r="B13" i="81" s="1"/>
  <c r="B14" i="81" s="1"/>
  <c r="B15" i="81" s="1"/>
  <c r="B16" i="81" s="1"/>
  <c r="B17" i="81" s="1"/>
  <c r="B18" i="81" s="1"/>
  <c r="B19" i="81" s="1"/>
  <c r="B20" i="81" s="1"/>
  <c r="B21" i="81" s="1"/>
  <c r="B22" i="81" s="1"/>
  <c r="B23" i="81" s="1"/>
  <c r="B24" i="81" s="1"/>
  <c r="B25" i="81" s="1"/>
  <c r="B26" i="81" s="1"/>
  <c r="F7" i="12"/>
  <c r="F8" i="12"/>
  <c r="F9" i="12"/>
  <c r="F10" i="12"/>
  <c r="F11" i="12"/>
  <c r="B8" i="82"/>
  <c r="B9" i="82" s="1"/>
  <c r="B10" i="82" s="1"/>
  <c r="B11" i="82" s="1"/>
  <c r="B12" i="82" s="1"/>
  <c r="B13" i="82" s="1"/>
  <c r="B14" i="82" s="1"/>
  <c r="B15" i="82" s="1"/>
  <c r="B16" i="82" s="1"/>
  <c r="B17" i="82" s="1"/>
  <c r="B18" i="82" s="1"/>
  <c r="B19" i="82" s="1"/>
  <c r="B20" i="82" s="1"/>
  <c r="B21" i="82" s="1"/>
  <c r="B22" i="82" s="1"/>
  <c r="B23" i="82" s="1"/>
  <c r="B24" i="82" s="1"/>
  <c r="B25" i="82" s="1"/>
  <c r="B26" i="82" s="1"/>
  <c r="C7" i="12"/>
  <c r="C8" i="12"/>
  <c r="C9" i="12"/>
  <c r="C10" i="12"/>
  <c r="C11" i="12"/>
  <c r="C12" i="12"/>
  <c r="B6" i="72"/>
  <c r="B24" i="12"/>
  <c r="B9" i="90" l="1"/>
  <c r="D8" i="90"/>
  <c r="B10" i="48"/>
  <c r="G7" i="75"/>
  <c r="B9" i="75"/>
  <c r="C8" i="75"/>
  <c r="D8" i="75"/>
  <c r="B8" i="83"/>
  <c r="B9" i="88"/>
  <c r="B9" i="84"/>
  <c r="C8" i="84"/>
  <c r="D8" i="84"/>
  <c r="E7" i="84"/>
  <c r="B7" i="72"/>
  <c r="B25" i="12"/>
  <c r="B9" i="8"/>
  <c r="F7" i="84" l="1"/>
  <c r="E8" i="84"/>
  <c r="F8" i="84" s="1"/>
  <c r="B10" i="84"/>
  <c r="C9" i="84"/>
  <c r="D9" i="84"/>
  <c r="B10" i="88"/>
  <c r="B9" i="83"/>
  <c r="E8" i="75"/>
  <c r="F8" i="75"/>
  <c r="B10" i="75"/>
  <c r="C9" i="75"/>
  <c r="D9" i="75"/>
  <c r="H7" i="75"/>
  <c r="H13" i="12"/>
  <c r="D10" i="48"/>
  <c r="B11" i="48"/>
  <c r="B10" i="90"/>
  <c r="D9" i="90"/>
  <c r="I15" i="12"/>
  <c r="I16" i="12"/>
  <c r="C9" i="8"/>
  <c r="B8" i="72"/>
  <c r="B26" i="12"/>
  <c r="D9" i="8"/>
  <c r="B10" i="8"/>
  <c r="B11" i="90" l="1"/>
  <c r="D10" i="90"/>
  <c r="D11" i="48"/>
  <c r="B12" i="48"/>
  <c r="F9" i="75"/>
  <c r="E9" i="75"/>
  <c r="G9" i="75" s="1"/>
  <c r="C10" i="75"/>
  <c r="B11" i="75"/>
  <c r="D10" i="75"/>
  <c r="G8" i="75"/>
  <c r="B10" i="83"/>
  <c r="B11" i="88"/>
  <c r="E9" i="84"/>
  <c r="F9" i="84" s="1"/>
  <c r="B11" i="84"/>
  <c r="C10" i="84"/>
  <c r="D10" i="84"/>
  <c r="G8" i="84"/>
  <c r="D14" i="12"/>
  <c r="G7" i="84"/>
  <c r="D13" i="12"/>
  <c r="C10" i="8"/>
  <c r="B9" i="72"/>
  <c r="B27" i="12"/>
  <c r="D10" i="8"/>
  <c r="B11" i="8"/>
  <c r="E10" i="84" l="1"/>
  <c r="F10" i="84" s="1"/>
  <c r="B12" i="84"/>
  <c r="C11" i="84"/>
  <c r="D11" i="84"/>
  <c r="E11" i="84" s="1"/>
  <c r="F11" i="84" s="1"/>
  <c r="G11" i="84" s="1"/>
  <c r="D17" i="12"/>
  <c r="G9" i="84"/>
  <c r="D15" i="12"/>
  <c r="B12" i="88"/>
  <c r="B11" i="83"/>
  <c r="H8" i="75"/>
  <c r="H14" i="12"/>
  <c r="D11" i="75"/>
  <c r="B12" i="75"/>
  <c r="C11" i="75"/>
  <c r="F10" i="75"/>
  <c r="E10" i="75"/>
  <c r="H9" i="75"/>
  <c r="H15" i="12"/>
  <c r="D12" i="48"/>
  <c r="B13" i="48"/>
  <c r="B12" i="90"/>
  <c r="D11" i="90"/>
  <c r="I17" i="12"/>
  <c r="I18" i="12"/>
  <c r="B10" i="72"/>
  <c r="B28" i="12"/>
  <c r="B12" i="8"/>
  <c r="B13" i="90" l="1"/>
  <c r="D12" i="90"/>
  <c r="D13" i="48"/>
  <c r="B14" i="48"/>
  <c r="G10" i="75"/>
  <c r="F11" i="75"/>
  <c r="E11" i="75"/>
  <c r="B13" i="75"/>
  <c r="C12" i="75"/>
  <c r="D12" i="75"/>
  <c r="B12" i="83"/>
  <c r="B13" i="88"/>
  <c r="B13" i="84"/>
  <c r="C12" i="84"/>
  <c r="D12" i="84"/>
  <c r="G10" i="84"/>
  <c r="D16" i="12"/>
  <c r="C12" i="8"/>
  <c r="B11" i="72"/>
  <c r="B29" i="12"/>
  <c r="B13" i="8"/>
  <c r="E12" i="84" l="1"/>
  <c r="F12" i="84" s="1"/>
  <c r="B14" i="84"/>
  <c r="C13" i="84"/>
  <c r="D13" i="84"/>
  <c r="B14" i="88"/>
  <c r="B13" i="83"/>
  <c r="F12" i="75"/>
  <c r="E12" i="75"/>
  <c r="G12" i="75" s="1"/>
  <c r="B14" i="75"/>
  <c r="C13" i="75"/>
  <c r="D13" i="75"/>
  <c r="G11" i="75"/>
  <c r="H10" i="75"/>
  <c r="H16" i="12"/>
  <c r="D14" i="48"/>
  <c r="B15" i="48"/>
  <c r="B14" i="90"/>
  <c r="D13" i="90"/>
  <c r="I19" i="12"/>
  <c r="I20" i="12"/>
  <c r="D12" i="8"/>
  <c r="B12" i="72"/>
  <c r="B30" i="12"/>
  <c r="B14" i="8"/>
  <c r="B15" i="90" l="1"/>
  <c r="D14" i="90"/>
  <c r="D15" i="48"/>
  <c r="B16" i="48"/>
  <c r="H11" i="75"/>
  <c r="H17" i="12"/>
  <c r="F13" i="75"/>
  <c r="E13" i="75"/>
  <c r="B15" i="75"/>
  <c r="C14" i="75"/>
  <c r="D14" i="75"/>
  <c r="H12" i="75"/>
  <c r="H18" i="12"/>
  <c r="B14" i="83"/>
  <c r="B15" i="88"/>
  <c r="E13" i="84"/>
  <c r="F13" i="84" s="1"/>
  <c r="B15" i="84"/>
  <c r="C14" i="84"/>
  <c r="D14" i="84"/>
  <c r="G12" i="84"/>
  <c r="D18" i="12"/>
  <c r="B13" i="72"/>
  <c r="B31" i="12"/>
  <c r="B15" i="8"/>
  <c r="E14" i="84" l="1"/>
  <c r="F14" i="84" s="1"/>
  <c r="B16" i="84"/>
  <c r="C15" i="84"/>
  <c r="D15" i="84"/>
  <c r="G13" i="84"/>
  <c r="D19" i="12"/>
  <c r="B16" i="88"/>
  <c r="B15" i="83"/>
  <c r="F14" i="75"/>
  <c r="E14" i="75"/>
  <c r="G14" i="75" s="1"/>
  <c r="B16" i="75"/>
  <c r="C15" i="75"/>
  <c r="D15" i="75"/>
  <c r="G13" i="75"/>
  <c r="D16" i="48"/>
  <c r="B17" i="48"/>
  <c r="B16" i="90"/>
  <c r="D15" i="90"/>
  <c r="I21" i="12"/>
  <c r="C15" i="8"/>
  <c r="B14" i="72"/>
  <c r="B32" i="12"/>
  <c r="D15" i="8"/>
  <c r="B16" i="8"/>
  <c r="B17" i="90" l="1"/>
  <c r="D16" i="90"/>
  <c r="I22" i="12"/>
  <c r="I23" i="12"/>
  <c r="D17" i="48"/>
  <c r="B18" i="48"/>
  <c r="H13" i="75"/>
  <c r="H19" i="12"/>
  <c r="F15" i="75"/>
  <c r="E15" i="75"/>
  <c r="B17" i="75"/>
  <c r="C16" i="75"/>
  <c r="D16" i="75"/>
  <c r="H14" i="75"/>
  <c r="H20" i="12"/>
  <c r="B16" i="83"/>
  <c r="B17" i="88"/>
  <c r="E15" i="84"/>
  <c r="F15" i="84" s="1"/>
  <c r="B17" i="84"/>
  <c r="C16" i="84"/>
  <c r="D16" i="84"/>
  <c r="G14" i="84"/>
  <c r="D20" i="12"/>
  <c r="C16" i="8"/>
  <c r="B15" i="72"/>
  <c r="B33" i="12"/>
  <c r="D16" i="8"/>
  <c r="B17" i="8"/>
  <c r="B18" i="8"/>
  <c r="E16" i="84" l="1"/>
  <c r="F16" i="84" s="1"/>
  <c r="B18" i="84"/>
  <c r="C17" i="84"/>
  <c r="D17" i="84"/>
  <c r="G15" i="84"/>
  <c r="D21" i="12"/>
  <c r="B18" i="88"/>
  <c r="B17" i="83"/>
  <c r="F16" i="75"/>
  <c r="E16" i="75"/>
  <c r="G16" i="75" s="1"/>
  <c r="B18" i="75"/>
  <c r="C17" i="75"/>
  <c r="D17" i="75"/>
  <c r="G15" i="75"/>
  <c r="D18" i="48"/>
  <c r="B19" i="48"/>
  <c r="B18" i="90"/>
  <c r="D17" i="90"/>
  <c r="I24" i="12"/>
  <c r="C33" i="12"/>
  <c r="F33" i="12"/>
  <c r="C18" i="8"/>
  <c r="C17" i="8"/>
  <c r="B16" i="72"/>
  <c r="B34" i="12"/>
  <c r="D18" i="8"/>
  <c r="D17" i="8"/>
  <c r="B19" i="8"/>
  <c r="B19" i="90" l="1"/>
  <c r="D18" i="90"/>
  <c r="I25" i="12"/>
  <c r="D19" i="48"/>
  <c r="B20" i="48"/>
  <c r="H15" i="75"/>
  <c r="H21" i="12"/>
  <c r="F17" i="75"/>
  <c r="E17" i="75"/>
  <c r="B19" i="75"/>
  <c r="C18" i="75"/>
  <c r="D18" i="75"/>
  <c r="H16" i="75"/>
  <c r="H22" i="12"/>
  <c r="B18" i="83"/>
  <c r="B19" i="88"/>
  <c r="E17" i="84"/>
  <c r="F17" i="84" s="1"/>
  <c r="B19" i="84"/>
  <c r="C18" i="84"/>
  <c r="D18" i="84"/>
  <c r="G16" i="84"/>
  <c r="D22" i="12"/>
  <c r="F34" i="12"/>
  <c r="C34" i="12"/>
  <c r="C19" i="8"/>
  <c r="B17" i="72"/>
  <c r="B35" i="12"/>
  <c r="D19" i="8"/>
  <c r="B20" i="8"/>
  <c r="E18" i="84" l="1"/>
  <c r="F18" i="84" s="1"/>
  <c r="B20" i="84"/>
  <c r="C19" i="84"/>
  <c r="D19" i="84"/>
  <c r="E19" i="84" s="1"/>
  <c r="F19" i="84" s="1"/>
  <c r="G19" i="84" s="1"/>
  <c r="D25" i="12"/>
  <c r="G17" i="84"/>
  <c r="D23" i="12"/>
  <c r="B20" i="88"/>
  <c r="B19" i="83"/>
  <c r="F18" i="75"/>
  <c r="E18" i="75"/>
  <c r="G18" i="75" s="1"/>
  <c r="B20" i="75"/>
  <c r="C19" i="75"/>
  <c r="D19" i="75"/>
  <c r="G17" i="75"/>
  <c r="D20" i="48"/>
  <c r="B21" i="48"/>
  <c r="B20" i="90"/>
  <c r="D19" i="90"/>
  <c r="I26" i="12"/>
  <c r="F35" i="12"/>
  <c r="C35" i="12"/>
  <c r="C20" i="8"/>
  <c r="B18" i="72"/>
  <c r="B36" i="12"/>
  <c r="D20" i="8"/>
  <c r="B21" i="8"/>
  <c r="B21" i="90" l="1"/>
  <c r="D20" i="90"/>
  <c r="I27" i="12"/>
  <c r="D21" i="48"/>
  <c r="B22" i="48"/>
  <c r="H17" i="75"/>
  <c r="H23" i="12"/>
  <c r="F19" i="75"/>
  <c r="E19" i="75"/>
  <c r="B21" i="75"/>
  <c r="C20" i="75"/>
  <c r="D20" i="75"/>
  <c r="H18" i="75"/>
  <c r="H24" i="12"/>
  <c r="B20" i="83"/>
  <c r="B21" i="88"/>
  <c r="B21" i="84"/>
  <c r="C20" i="84"/>
  <c r="D20" i="84"/>
  <c r="G18" i="84"/>
  <c r="D24" i="12"/>
  <c r="F36" i="12"/>
  <c r="C36" i="12"/>
  <c r="C21" i="8"/>
  <c r="B19" i="72"/>
  <c r="B37" i="12"/>
  <c r="D21" i="8"/>
  <c r="B22" i="8"/>
  <c r="E20" i="84" l="1"/>
  <c r="F20" i="84" s="1"/>
  <c r="B22" i="84"/>
  <c r="C21" i="84"/>
  <c r="D21" i="84"/>
  <c r="B22" i="88"/>
  <c r="B21" i="83"/>
  <c r="F20" i="75"/>
  <c r="E20" i="75"/>
  <c r="G20" i="75" s="1"/>
  <c r="B22" i="75"/>
  <c r="C21" i="75"/>
  <c r="D21" i="75"/>
  <c r="G19" i="75"/>
  <c r="D22" i="48"/>
  <c r="B23" i="48"/>
  <c r="B22" i="90"/>
  <c r="D21" i="90"/>
  <c r="I28" i="12"/>
  <c r="F37" i="12"/>
  <c r="C37" i="12"/>
  <c r="C22" i="8"/>
  <c r="B20" i="72"/>
  <c r="B38" i="12"/>
  <c r="D22" i="8"/>
  <c r="B23" i="8"/>
  <c r="B23" i="90" l="1"/>
  <c r="D22" i="90"/>
  <c r="I29" i="12"/>
  <c r="D23" i="48"/>
  <c r="B24" i="48"/>
  <c r="H19" i="75"/>
  <c r="H25" i="12"/>
  <c r="F21" i="75"/>
  <c r="E21" i="75"/>
  <c r="B23" i="75"/>
  <c r="C22" i="75"/>
  <c r="D22" i="75"/>
  <c r="H20" i="75"/>
  <c r="H26" i="12"/>
  <c r="B22" i="83"/>
  <c r="B23" i="88"/>
  <c r="E21" i="84"/>
  <c r="F21" i="84" s="1"/>
  <c r="B23" i="84"/>
  <c r="C22" i="84"/>
  <c r="D22" i="84"/>
  <c r="G20" i="84"/>
  <c r="D26" i="12"/>
  <c r="F38" i="12"/>
  <c r="C38" i="12"/>
  <c r="C23" i="8"/>
  <c r="B21" i="72"/>
  <c r="B39" i="12"/>
  <c r="D23" i="8"/>
  <c r="B24" i="8"/>
  <c r="E22" i="84" l="1"/>
  <c r="F22" i="84" s="1"/>
  <c r="B24" i="84"/>
  <c r="C23" i="84"/>
  <c r="D23" i="84"/>
  <c r="G21" i="84"/>
  <c r="D27" i="12"/>
  <c r="B24" i="88"/>
  <c r="B23" i="83"/>
  <c r="F22" i="75"/>
  <c r="E22" i="75"/>
  <c r="G22" i="75" s="1"/>
  <c r="B24" i="75"/>
  <c r="C23" i="75"/>
  <c r="D23" i="75"/>
  <c r="G21" i="75"/>
  <c r="D24" i="48"/>
  <c r="B25" i="48"/>
  <c r="B24" i="90"/>
  <c r="D23" i="90"/>
  <c r="I30" i="12"/>
  <c r="F39" i="12"/>
  <c r="C39" i="12"/>
  <c r="C24" i="8"/>
  <c r="B22" i="72"/>
  <c r="B40" i="12"/>
  <c r="D24" i="8"/>
  <c r="B25" i="8"/>
  <c r="B25" i="90" l="1"/>
  <c r="D24" i="90"/>
  <c r="I31" i="12"/>
  <c r="D25" i="48"/>
  <c r="B26" i="48"/>
  <c r="H21" i="75"/>
  <c r="H27" i="12"/>
  <c r="F23" i="75"/>
  <c r="E23" i="75"/>
  <c r="B25" i="75"/>
  <c r="C24" i="75"/>
  <c r="D24" i="75"/>
  <c r="H22" i="75"/>
  <c r="H28" i="12"/>
  <c r="B24" i="83"/>
  <c r="B25" i="88"/>
  <c r="E23" i="84"/>
  <c r="F23" i="84" s="1"/>
  <c r="B25" i="84"/>
  <c r="C24" i="84"/>
  <c r="D24" i="84"/>
  <c r="G22" i="84"/>
  <c r="D28" i="12"/>
  <c r="F40" i="12"/>
  <c r="C40" i="12"/>
  <c r="C25" i="8"/>
  <c r="B23" i="72"/>
  <c r="B41" i="12"/>
  <c r="D25" i="8"/>
  <c r="B26" i="8"/>
  <c r="E24" i="84" l="1"/>
  <c r="F24" i="84" s="1"/>
  <c r="B26" i="84"/>
  <c r="C25" i="84"/>
  <c r="D25" i="84"/>
  <c r="D7" i="12"/>
  <c r="D8" i="12"/>
  <c r="D9" i="12"/>
  <c r="D10" i="12"/>
  <c r="D11" i="12"/>
  <c r="D12" i="12"/>
  <c r="D33" i="12"/>
  <c r="D35" i="12"/>
  <c r="D37" i="12"/>
  <c r="D39" i="12"/>
  <c r="G23" i="84"/>
  <c r="D29" i="12"/>
  <c r="B26" i="88"/>
  <c r="G7" i="12"/>
  <c r="G8" i="12"/>
  <c r="G9" i="12"/>
  <c r="G10" i="12"/>
  <c r="G11" i="12"/>
  <c r="G12" i="12"/>
  <c r="G34" i="12"/>
  <c r="G36" i="12"/>
  <c r="G38" i="12"/>
  <c r="G40" i="12"/>
  <c r="B25" i="83"/>
  <c r="E7" i="12"/>
  <c r="E8" i="12"/>
  <c r="E9" i="12"/>
  <c r="E10" i="12"/>
  <c r="E11" i="12"/>
  <c r="E33" i="12"/>
  <c r="E35" i="12"/>
  <c r="E37" i="12"/>
  <c r="E39" i="12"/>
  <c r="F24" i="75"/>
  <c r="E24" i="75"/>
  <c r="G24" i="75" s="1"/>
  <c r="B26" i="75"/>
  <c r="C25" i="75"/>
  <c r="D25" i="75"/>
  <c r="H7" i="12"/>
  <c r="H8" i="12"/>
  <c r="H9" i="12"/>
  <c r="H10" i="12"/>
  <c r="H11" i="12"/>
  <c r="H12" i="12"/>
  <c r="H33" i="12"/>
  <c r="H35" i="12"/>
  <c r="H37" i="12"/>
  <c r="H39" i="12"/>
  <c r="G23" i="75"/>
  <c r="D26" i="48"/>
  <c r="B27" i="48"/>
  <c r="L7" i="12"/>
  <c r="L8" i="12"/>
  <c r="L9" i="12"/>
  <c r="L10" i="12"/>
  <c r="L11" i="12"/>
  <c r="L12" i="12"/>
  <c r="L34" i="12"/>
  <c r="L36" i="12"/>
  <c r="L38" i="12"/>
  <c r="L40" i="12"/>
  <c r="B26" i="90"/>
  <c r="D25" i="90"/>
  <c r="I7" i="12"/>
  <c r="I8" i="12"/>
  <c r="I9" i="12"/>
  <c r="I10" i="12"/>
  <c r="I11" i="12"/>
  <c r="I12" i="12"/>
  <c r="I32" i="12"/>
  <c r="I34" i="12"/>
  <c r="I36" i="12"/>
  <c r="I38" i="12"/>
  <c r="I40" i="12"/>
  <c r="H41" i="12"/>
  <c r="F41" i="12"/>
  <c r="E41" i="12"/>
  <c r="D41" i="12"/>
  <c r="C41" i="12"/>
  <c r="C26" i="8"/>
  <c r="B24" i="72"/>
  <c r="B42" i="12"/>
  <c r="D26" i="8"/>
  <c r="B27" i="8"/>
  <c r="L42" i="12" l="1"/>
  <c r="G42" i="12"/>
  <c r="I42" i="12"/>
  <c r="D26" i="90"/>
  <c r="D27" i="90" s="1"/>
  <c r="S57" i="12" s="1"/>
  <c r="I33" i="12"/>
  <c r="I35" i="12"/>
  <c r="I37" i="12"/>
  <c r="I39" i="12"/>
  <c r="I41" i="12"/>
  <c r="D27" i="48"/>
  <c r="L33" i="12"/>
  <c r="L35" i="12"/>
  <c r="L37" i="12"/>
  <c r="L39" i="12"/>
  <c r="L41" i="12"/>
  <c r="H23" i="75"/>
  <c r="H29" i="12"/>
  <c r="F25" i="75"/>
  <c r="E25" i="75"/>
  <c r="C26" i="75"/>
  <c r="D26" i="75"/>
  <c r="H34" i="12"/>
  <c r="H36" i="12"/>
  <c r="H38" i="12"/>
  <c r="H40" i="12"/>
  <c r="H24" i="75"/>
  <c r="H30" i="12"/>
  <c r="E34" i="12"/>
  <c r="E36" i="12"/>
  <c r="E38" i="12"/>
  <c r="E40" i="12"/>
  <c r="F15" i="88"/>
  <c r="G33" i="12"/>
  <c r="G35" i="12"/>
  <c r="G37" i="12"/>
  <c r="G39" i="12"/>
  <c r="G41" i="12"/>
  <c r="E25" i="84"/>
  <c r="F25" i="84" s="1"/>
  <c r="C26" i="84"/>
  <c r="D26" i="84"/>
  <c r="D34" i="12"/>
  <c r="D36" i="12"/>
  <c r="D38" i="12"/>
  <c r="D40" i="12"/>
  <c r="G24" i="84"/>
  <c r="D30" i="12"/>
  <c r="K42" i="12"/>
  <c r="J42" i="12"/>
  <c r="H42" i="12"/>
  <c r="F42" i="12"/>
  <c r="E42" i="12"/>
  <c r="D42" i="12"/>
  <c r="C42" i="12"/>
  <c r="K41" i="12"/>
  <c r="J41" i="12"/>
  <c r="K40" i="12"/>
  <c r="J40" i="12"/>
  <c r="K39" i="12"/>
  <c r="J39" i="12"/>
  <c r="K38" i="12"/>
  <c r="J38" i="12"/>
  <c r="K37" i="12"/>
  <c r="J37" i="12"/>
  <c r="K36" i="12"/>
  <c r="J36" i="12"/>
  <c r="K35" i="12"/>
  <c r="J35" i="12"/>
  <c r="K34" i="12"/>
  <c r="J34" i="12"/>
  <c r="K33" i="12"/>
  <c r="J33" i="12"/>
  <c r="K7" i="12"/>
  <c r="J7" i="12"/>
  <c r="K8" i="12"/>
  <c r="J8" i="12"/>
  <c r="K9" i="12"/>
  <c r="J9" i="12"/>
  <c r="K10" i="12"/>
  <c r="J10" i="12"/>
  <c r="K11" i="12"/>
  <c r="J11" i="12"/>
  <c r="C27" i="8"/>
  <c r="B43" i="12"/>
  <c r="D27" i="8"/>
  <c r="B28" i="8"/>
  <c r="L43" i="12" l="1"/>
  <c r="G43" i="12"/>
  <c r="I43" i="12"/>
  <c r="E26" i="84"/>
  <c r="F26" i="84" s="1"/>
  <c r="G25" i="84"/>
  <c r="D31" i="12"/>
  <c r="F26" i="75"/>
  <c r="E26" i="75"/>
  <c r="G26" i="75" s="1"/>
  <c r="G25" i="75"/>
  <c r="E27" i="75"/>
  <c r="F27" i="75"/>
  <c r="K43" i="12"/>
  <c r="J43" i="12"/>
  <c r="H43" i="12"/>
  <c r="F43" i="12"/>
  <c r="E43" i="12"/>
  <c r="D43" i="12"/>
  <c r="C43" i="12"/>
  <c r="C28" i="8"/>
  <c r="B44" i="12"/>
  <c r="D28" i="8"/>
  <c r="B29" i="8"/>
  <c r="L44" i="12" l="1"/>
  <c r="G44" i="12"/>
  <c r="I44" i="12"/>
  <c r="H25" i="75"/>
  <c r="H31" i="12"/>
  <c r="G27" i="75"/>
  <c r="H26" i="75"/>
  <c r="H32" i="12"/>
  <c r="G26" i="84"/>
  <c r="G27" i="84" s="1"/>
  <c r="D32" i="12"/>
  <c r="K44" i="12"/>
  <c r="J44" i="12"/>
  <c r="H44" i="12"/>
  <c r="F44" i="12"/>
  <c r="E44" i="12"/>
  <c r="D44" i="12"/>
  <c r="C44" i="12"/>
  <c r="C29" i="8"/>
  <c r="B45" i="12"/>
  <c r="D29" i="8"/>
  <c r="B30" i="8"/>
  <c r="L45" i="12" l="1"/>
  <c r="G45" i="12"/>
  <c r="I45" i="12"/>
  <c r="H27" i="75"/>
  <c r="K45" i="12"/>
  <c r="J45" i="12"/>
  <c r="H45" i="12"/>
  <c r="F45" i="12"/>
  <c r="E45" i="12"/>
  <c r="D45" i="12"/>
  <c r="C45" i="12"/>
  <c r="C30" i="8"/>
  <c r="B46" i="12"/>
  <c r="D30" i="8"/>
  <c r="B31" i="8"/>
  <c r="L46" i="12" l="1"/>
  <c r="G46" i="12"/>
  <c r="I46" i="12"/>
  <c r="I47" i="12" s="1"/>
  <c r="K46" i="12"/>
  <c r="J46" i="12"/>
  <c r="H46" i="12"/>
  <c r="H47" i="12" s="1"/>
  <c r="F46" i="12"/>
  <c r="E46" i="12"/>
  <c r="D46" i="12"/>
  <c r="D47" i="12" s="1"/>
  <c r="C46" i="12"/>
  <c r="C31" i="8"/>
  <c r="D31" i="8"/>
  <c r="B32" i="8"/>
  <c r="C32" i="8" l="1"/>
  <c r="D32" i="8"/>
  <c r="B33" i="8"/>
  <c r="C33" i="8" l="1"/>
  <c r="D33" i="8"/>
  <c r="B34" i="8"/>
  <c r="C34" i="8" l="1"/>
  <c r="D34" i="8"/>
  <c r="B35" i="8"/>
  <c r="M35" i="12" l="1"/>
  <c r="N35" i="12" s="1"/>
  <c r="O35" i="12" s="1"/>
  <c r="M36" i="12"/>
  <c r="N36" i="12" s="1"/>
  <c r="O36" i="12" s="1"/>
  <c r="M37" i="12"/>
  <c r="N37" i="12" s="1"/>
  <c r="O37" i="12" s="1"/>
  <c r="M38" i="12"/>
  <c r="N38" i="12" s="1"/>
  <c r="O38" i="12" s="1"/>
  <c r="M39" i="12"/>
  <c r="N39" i="12" s="1"/>
  <c r="O39" i="12" s="1"/>
  <c r="M40" i="12"/>
  <c r="N40" i="12" s="1"/>
  <c r="O40" i="12" s="1"/>
  <c r="M41" i="12"/>
  <c r="N41" i="12" s="1"/>
  <c r="O41" i="12" s="1"/>
  <c r="M42" i="12"/>
  <c r="N42" i="12" s="1"/>
  <c r="O42" i="12" s="1"/>
  <c r="M43" i="12"/>
  <c r="N43" i="12" s="1"/>
  <c r="O43" i="12" s="1"/>
  <c r="M44" i="12"/>
  <c r="N44" i="12" s="1"/>
  <c r="O44" i="12" s="1"/>
  <c r="M45" i="12"/>
  <c r="N45" i="12" s="1"/>
  <c r="O45" i="12" s="1"/>
  <c r="M46" i="12"/>
  <c r="N46" i="12" s="1"/>
  <c r="O46" i="12" s="1"/>
  <c r="C35" i="8"/>
  <c r="D35" i="8"/>
  <c r="C14" i="8" l="1"/>
  <c r="C11" i="8" l="1"/>
  <c r="C13" i="8"/>
  <c r="D13" i="8" s="1"/>
  <c r="D14" i="8"/>
  <c r="D11" i="8" l="1"/>
  <c r="E83" i="12" l="1"/>
  <c r="B56" i="12"/>
  <c r="C56" i="12" s="1"/>
  <c r="B57" i="12" l="1"/>
  <c r="C57" i="12" s="1"/>
  <c r="B58" i="12" l="1"/>
  <c r="C58" i="12" s="1"/>
  <c r="B59" i="12" l="1"/>
  <c r="C59" i="12" s="1"/>
  <c r="D59" i="12" s="1"/>
  <c r="B13" i="47"/>
  <c r="G13" i="47" l="1"/>
  <c r="F13" i="47"/>
  <c r="J13" i="47" s="1"/>
  <c r="C13" i="47"/>
  <c r="D13" i="47"/>
  <c r="B60" i="12"/>
  <c r="C60" i="12" s="1"/>
  <c r="C11" i="51"/>
  <c r="D6" i="83" l="1"/>
  <c r="C6" i="83"/>
  <c r="M28" i="47"/>
  <c r="E32" i="8"/>
  <c r="H13" i="47"/>
  <c r="F5" i="72" s="1"/>
  <c r="E13" i="47"/>
  <c r="D7" i="82"/>
  <c r="K13" i="47"/>
  <c r="C7" i="82"/>
  <c r="E7" i="82" s="1"/>
  <c r="F7" i="82" s="1"/>
  <c r="G7" i="82" s="1"/>
  <c r="E8" i="8"/>
  <c r="E9" i="8"/>
  <c r="E10" i="8"/>
  <c r="E11" i="8"/>
  <c r="E12" i="8"/>
  <c r="E13" i="8"/>
  <c r="E14" i="8"/>
  <c r="E15" i="8"/>
  <c r="E16" i="8"/>
  <c r="E18" i="8"/>
  <c r="E17" i="8"/>
  <c r="E19" i="8"/>
  <c r="E20" i="8"/>
  <c r="E21" i="8"/>
  <c r="E22" i="8"/>
  <c r="E23" i="8"/>
  <c r="E24" i="8"/>
  <c r="E25" i="8"/>
  <c r="E26" i="8"/>
  <c r="E27" i="8"/>
  <c r="E28" i="8"/>
  <c r="E29" i="8"/>
  <c r="E30" i="8"/>
  <c r="E31" i="8"/>
  <c r="E33" i="8"/>
  <c r="E35" i="8"/>
  <c r="E34" i="8"/>
  <c r="B61" i="12"/>
  <c r="C61" i="12" s="1"/>
  <c r="F32" i="8" l="1"/>
  <c r="G36" i="8"/>
  <c r="M31" i="12"/>
  <c r="F34" i="8"/>
  <c r="M33" i="12"/>
  <c r="N33" i="12" s="1"/>
  <c r="O33" i="12" s="1"/>
  <c r="F35" i="8"/>
  <c r="M34" i="12"/>
  <c r="N34" i="12" s="1"/>
  <c r="O34" i="12" s="1"/>
  <c r="F33" i="8"/>
  <c r="M32" i="12"/>
  <c r="F31" i="8"/>
  <c r="M30" i="12"/>
  <c r="F30" i="8"/>
  <c r="M29" i="12"/>
  <c r="F29" i="8"/>
  <c r="M28" i="12"/>
  <c r="F28" i="8"/>
  <c r="M27" i="12"/>
  <c r="F27" i="8"/>
  <c r="M26" i="12"/>
  <c r="F26" i="8"/>
  <c r="M25" i="12"/>
  <c r="F25" i="8"/>
  <c r="M24" i="12"/>
  <c r="F24" i="8"/>
  <c r="M23" i="12"/>
  <c r="F23" i="8"/>
  <c r="M22" i="12"/>
  <c r="F22" i="8"/>
  <c r="M21" i="12"/>
  <c r="F21" i="8"/>
  <c r="M20" i="12"/>
  <c r="F20" i="8"/>
  <c r="M19" i="12"/>
  <c r="F19" i="8"/>
  <c r="M18" i="12"/>
  <c r="F17" i="8"/>
  <c r="M16" i="12"/>
  <c r="F18" i="8"/>
  <c r="M17" i="12"/>
  <c r="F16" i="8"/>
  <c r="M15" i="12"/>
  <c r="F15" i="8"/>
  <c r="M14" i="12"/>
  <c r="F14" i="8"/>
  <c r="M13" i="12"/>
  <c r="F13" i="8"/>
  <c r="M12" i="12"/>
  <c r="F12" i="8"/>
  <c r="M11" i="12"/>
  <c r="N11" i="12" s="1"/>
  <c r="O11" i="12" s="1"/>
  <c r="F11" i="8"/>
  <c r="M10" i="12"/>
  <c r="N10" i="12" s="1"/>
  <c r="O10" i="12" s="1"/>
  <c r="F10" i="8"/>
  <c r="M9" i="12"/>
  <c r="N9" i="12" s="1"/>
  <c r="O9" i="12" s="1"/>
  <c r="F9" i="8"/>
  <c r="M8" i="12"/>
  <c r="N8" i="12" s="1"/>
  <c r="O8" i="12" s="1"/>
  <c r="F8" i="8"/>
  <c r="F36" i="8" s="1"/>
  <c r="M7" i="12"/>
  <c r="F6" i="83"/>
  <c r="B62" i="12"/>
  <c r="C62" i="12" s="1"/>
  <c r="N7" i="12" l="1"/>
  <c r="O7" i="12" s="1"/>
  <c r="M47" i="12"/>
  <c r="G6" i="83"/>
  <c r="H6" i="83" s="1"/>
  <c r="E12" i="12"/>
  <c r="G5" i="72"/>
  <c r="H5" i="72"/>
  <c r="C7" i="81"/>
  <c r="B63" i="12"/>
  <c r="C63" i="12" s="1"/>
  <c r="D63" i="12" l="1"/>
  <c r="B64" i="12"/>
  <c r="C64" i="12" s="1"/>
  <c r="D64" i="12" l="1"/>
  <c r="B65" i="12"/>
  <c r="C65" i="12" s="1"/>
  <c r="D65" i="12" l="1"/>
  <c r="B66" i="12"/>
  <c r="C66" i="12" s="1"/>
  <c r="D66" i="12" l="1"/>
  <c r="B67" i="12"/>
  <c r="C67" i="12" s="1"/>
  <c r="B68" i="12" l="1"/>
  <c r="C68" i="12" s="1"/>
  <c r="D67" i="12"/>
  <c r="D68" i="12" l="1"/>
  <c r="B69" i="12"/>
  <c r="C69" i="12" s="1"/>
  <c r="D69" i="12" l="1"/>
  <c r="B70" i="12"/>
  <c r="C70" i="12" s="1"/>
  <c r="B71" i="12" l="1"/>
  <c r="C71" i="12" s="1"/>
  <c r="D70" i="12"/>
  <c r="B72" i="12" l="1"/>
  <c r="C72" i="12" s="1"/>
  <c r="D71" i="12"/>
  <c r="D72" i="12" l="1"/>
  <c r="B73" i="12"/>
  <c r="C73" i="12" s="1"/>
  <c r="D73" i="12" l="1"/>
  <c r="B74" i="12"/>
  <c r="C74" i="12" s="1"/>
  <c r="D74" i="12" l="1"/>
  <c r="B75" i="12"/>
  <c r="C75" i="12" s="1"/>
  <c r="G8" i="48" l="1"/>
  <c r="D75" i="12"/>
  <c r="B76" i="12"/>
  <c r="C76" i="12" s="1"/>
  <c r="H8" i="48" l="1"/>
  <c r="L13" i="12"/>
  <c r="G9" i="48"/>
  <c r="D76" i="12"/>
  <c r="B77" i="12"/>
  <c r="C77" i="12" s="1"/>
  <c r="H9" i="48" l="1"/>
  <c r="L14" i="12"/>
  <c r="G10" i="48"/>
  <c r="B78" i="12"/>
  <c r="C78" i="12" s="1"/>
  <c r="H10" i="48" l="1"/>
  <c r="L15" i="12"/>
  <c r="G11" i="48"/>
  <c r="B79" i="12"/>
  <c r="C79" i="12" s="1"/>
  <c r="H11" i="48" l="1"/>
  <c r="L16" i="12"/>
  <c r="G12" i="48"/>
  <c r="B80" i="12"/>
  <c r="C80" i="12" s="1"/>
  <c r="H12" i="48" l="1"/>
  <c r="L17" i="12"/>
  <c r="G13" i="48"/>
  <c r="L18" i="12" s="1"/>
  <c r="B81" i="12"/>
  <c r="C81" i="12" s="1"/>
  <c r="H13" i="48" l="1"/>
  <c r="G14" i="48"/>
  <c r="L19" i="12" s="1"/>
  <c r="H14" i="48" l="1"/>
  <c r="G15" i="48"/>
  <c r="L20" i="12" s="1"/>
  <c r="H15" i="48" l="1"/>
  <c r="G16" i="48"/>
  <c r="L21" i="12" s="1"/>
  <c r="H16" i="48" l="1"/>
  <c r="G17" i="48"/>
  <c r="L22" i="12" s="1"/>
  <c r="H17" i="48" l="1"/>
  <c r="G18" i="48"/>
  <c r="L23" i="12" s="1"/>
  <c r="H18" i="48" l="1"/>
  <c r="G19" i="48"/>
  <c r="L24" i="12" s="1"/>
  <c r="B14" i="47"/>
  <c r="G14" i="47" l="1"/>
  <c r="D8" i="82" s="1"/>
  <c r="H19" i="48"/>
  <c r="C14" i="47"/>
  <c r="D7" i="83" s="1"/>
  <c r="D14" i="47"/>
  <c r="K14" i="47"/>
  <c r="G20" i="48"/>
  <c r="L25" i="12" s="1"/>
  <c r="B82" i="12"/>
  <c r="C82" i="12" s="1"/>
  <c r="B15" i="47"/>
  <c r="H20" i="48" l="1"/>
  <c r="C7" i="83"/>
  <c r="C15" i="47"/>
  <c r="D8" i="83" s="1"/>
  <c r="D15" i="47"/>
  <c r="G21" i="48"/>
  <c r="L26" i="12" s="1"/>
  <c r="B16" i="47"/>
  <c r="H21" i="48" l="1"/>
  <c r="C8" i="83"/>
  <c r="C16" i="47"/>
  <c r="D9" i="83" s="1"/>
  <c r="D16" i="47"/>
  <c r="G22" i="48"/>
  <c r="L27" i="12" s="1"/>
  <c r="B17" i="47"/>
  <c r="H22" i="48" l="1"/>
  <c r="C9" i="83"/>
  <c r="C17" i="47"/>
  <c r="D10" i="83" s="1"/>
  <c r="D17" i="47"/>
  <c r="G23" i="48"/>
  <c r="L28" i="12" s="1"/>
  <c r="B18" i="47"/>
  <c r="H23" i="48" l="1"/>
  <c r="G24" i="48"/>
  <c r="C10" i="83"/>
  <c r="C18" i="47"/>
  <c r="D11" i="83" s="1"/>
  <c r="D18" i="47"/>
  <c r="B19" i="47"/>
  <c r="H24" i="48" l="1"/>
  <c r="L29" i="12"/>
  <c r="C11" i="83"/>
  <c r="C19" i="47"/>
  <c r="D12" i="83" s="1"/>
  <c r="D19" i="47"/>
  <c r="G25" i="48"/>
  <c r="L30" i="12" s="1"/>
  <c r="B20" i="47"/>
  <c r="H25" i="48" l="1"/>
  <c r="C12" i="83"/>
  <c r="C20" i="47"/>
  <c r="D13" i="83" s="1"/>
  <c r="D20" i="47"/>
  <c r="G26" i="48"/>
  <c r="L31" i="12" s="1"/>
  <c r="B21" i="47"/>
  <c r="H26" i="48" l="1"/>
  <c r="C13" i="83"/>
  <c r="C21" i="47"/>
  <c r="D14" i="83" s="1"/>
  <c r="D21" i="47"/>
  <c r="G27" i="48"/>
  <c r="L32" i="12" s="1"/>
  <c r="B22" i="47"/>
  <c r="L47" i="12" l="1"/>
  <c r="H27" i="48"/>
  <c r="C14" i="83"/>
  <c r="C22" i="47"/>
  <c r="D15" i="83" s="1"/>
  <c r="D22" i="47"/>
  <c r="H28" i="48"/>
  <c r="S59" i="12" s="1"/>
  <c r="G28" i="48"/>
  <c r="B23" i="47"/>
  <c r="C15" i="83" l="1"/>
  <c r="C23" i="47"/>
  <c r="D16" i="83" s="1"/>
  <c r="D23" i="47"/>
  <c r="B24" i="47"/>
  <c r="C16" i="83" l="1"/>
  <c r="C24" i="47"/>
  <c r="D17" i="83" s="1"/>
  <c r="D24" i="47"/>
  <c r="B25" i="47"/>
  <c r="C17" i="83" l="1"/>
  <c r="C25" i="47"/>
  <c r="D18" i="83" s="1"/>
  <c r="D25" i="47"/>
  <c r="B26" i="47"/>
  <c r="C18" i="83" l="1"/>
  <c r="C26" i="47"/>
  <c r="D19" i="83" s="1"/>
  <c r="D26" i="47"/>
  <c r="B27" i="47"/>
  <c r="C19" i="83" l="1"/>
  <c r="C27" i="47"/>
  <c r="D20" i="83" s="1"/>
  <c r="D27" i="47"/>
  <c r="B28" i="47"/>
  <c r="C20" i="83" l="1"/>
  <c r="C28" i="47"/>
  <c r="D21" i="83" s="1"/>
  <c r="D28" i="47"/>
  <c r="B29" i="47"/>
  <c r="C21" i="83" l="1"/>
  <c r="C29" i="47"/>
  <c r="D22" i="83" s="1"/>
  <c r="D29" i="47"/>
  <c r="B30" i="47"/>
  <c r="C22" i="83" l="1"/>
  <c r="C30" i="47"/>
  <c r="D23" i="83" s="1"/>
  <c r="D30" i="47"/>
  <c r="B31" i="47"/>
  <c r="C23" i="83" l="1"/>
  <c r="C31" i="47"/>
  <c r="D24" i="83" s="1"/>
  <c r="D31" i="47"/>
  <c r="B32" i="47"/>
  <c r="C24" i="83" l="1"/>
  <c r="C32" i="47"/>
  <c r="D25" i="83" s="1"/>
  <c r="D32" i="47"/>
  <c r="D57" i="12"/>
  <c r="I15" i="88" l="1"/>
  <c r="C25" i="83"/>
  <c r="D58" i="12"/>
  <c r="D56" i="12"/>
  <c r="D55" i="12"/>
  <c r="G26" i="88" l="1"/>
  <c r="G28" i="88"/>
  <c r="G20" i="88"/>
  <c r="G18" i="88"/>
  <c r="G19" i="88"/>
  <c r="G21" i="88"/>
  <c r="G22" i="88"/>
  <c r="G23" i="88"/>
  <c r="G24" i="88"/>
  <c r="G25" i="88"/>
  <c r="G27" i="88"/>
  <c r="G8" i="88" l="1"/>
  <c r="N78" i="88"/>
  <c r="Q110" i="88"/>
  <c r="P110" i="88"/>
  <c r="O110" i="88"/>
  <c r="N110" i="88"/>
  <c r="Q109" i="88"/>
  <c r="P109" i="88"/>
  <c r="O109" i="88"/>
  <c r="N109" i="88"/>
  <c r="Q108" i="88"/>
  <c r="P108" i="88"/>
  <c r="O108" i="88"/>
  <c r="N108" i="88"/>
  <c r="Q107" i="88"/>
  <c r="P107" i="88"/>
  <c r="O107" i="88"/>
  <c r="N107" i="88"/>
  <c r="Q106" i="88"/>
  <c r="P106" i="88"/>
  <c r="O106" i="88"/>
  <c r="N106" i="88"/>
  <c r="Q105" i="88"/>
  <c r="P105" i="88"/>
  <c r="O105" i="88"/>
  <c r="N105" i="88"/>
  <c r="Q104" i="88"/>
  <c r="P104" i="88"/>
  <c r="O104" i="88"/>
  <c r="N104" i="88"/>
  <c r="Q103" i="88"/>
  <c r="P103" i="88"/>
  <c r="O103" i="88"/>
  <c r="N103" i="88"/>
  <c r="Q102" i="88"/>
  <c r="P102" i="88"/>
  <c r="O102" i="88"/>
  <c r="N102" i="88"/>
  <c r="Q101" i="88"/>
  <c r="P101" i="88"/>
  <c r="O101" i="88"/>
  <c r="N101" i="88"/>
  <c r="Q100" i="88"/>
  <c r="P100" i="88"/>
  <c r="O100" i="88"/>
  <c r="N100" i="88"/>
  <c r="Q99" i="88"/>
  <c r="P99" i="88"/>
  <c r="O99" i="88"/>
  <c r="N99" i="88"/>
  <c r="Q98" i="88"/>
  <c r="P98" i="88"/>
  <c r="O98" i="88"/>
  <c r="N98" i="88"/>
  <c r="Q97" i="88"/>
  <c r="P97" i="88"/>
  <c r="O97" i="88"/>
  <c r="N97" i="88"/>
  <c r="Q80" i="88"/>
  <c r="O78" i="88"/>
  <c r="P78" i="88"/>
  <c r="Q78" i="88"/>
  <c r="O79" i="88"/>
  <c r="P79" i="88"/>
  <c r="Q79" i="88"/>
  <c r="O80" i="88"/>
  <c r="P80" i="88"/>
  <c r="O81" i="88"/>
  <c r="P81" i="88"/>
  <c r="Q81" i="88"/>
  <c r="O82" i="88"/>
  <c r="P82" i="88"/>
  <c r="Q82" i="88"/>
  <c r="O83" i="88"/>
  <c r="P83" i="88"/>
  <c r="Q83" i="88"/>
  <c r="O84" i="88"/>
  <c r="P84" i="88"/>
  <c r="Q84" i="88"/>
  <c r="O85" i="88"/>
  <c r="P85" i="88"/>
  <c r="Q85" i="88"/>
  <c r="O86" i="88"/>
  <c r="P86" i="88"/>
  <c r="Q86" i="88"/>
  <c r="O87" i="88"/>
  <c r="P87" i="88"/>
  <c r="Q87" i="88"/>
  <c r="O88" i="88"/>
  <c r="P88" i="88"/>
  <c r="Q88" i="88"/>
  <c r="O89" i="88"/>
  <c r="P89" i="88"/>
  <c r="Q89" i="88"/>
  <c r="O90" i="88"/>
  <c r="P90" i="88"/>
  <c r="Q90" i="88"/>
  <c r="O91" i="88"/>
  <c r="P91" i="88"/>
  <c r="Q91" i="88"/>
  <c r="O92" i="88"/>
  <c r="P92" i="88"/>
  <c r="Q92" i="88"/>
  <c r="O93" i="88"/>
  <c r="P93" i="88"/>
  <c r="Q93" i="88"/>
  <c r="O94" i="88"/>
  <c r="P94" i="88"/>
  <c r="Q94" i="88"/>
  <c r="N79" i="88"/>
  <c r="N80" i="88"/>
  <c r="N81" i="88"/>
  <c r="N82" i="88"/>
  <c r="N83" i="88"/>
  <c r="N84" i="88"/>
  <c r="N85" i="88"/>
  <c r="N86" i="88"/>
  <c r="N87" i="88"/>
  <c r="N88" i="88"/>
  <c r="N89" i="88"/>
  <c r="N90" i="88"/>
  <c r="N91" i="88"/>
  <c r="N92" i="88"/>
  <c r="N93" i="88"/>
  <c r="N94" i="88"/>
  <c r="J8" i="88"/>
  <c r="I8" i="88"/>
  <c r="H8" i="88"/>
  <c r="D60" i="12"/>
  <c r="D61" i="12"/>
  <c r="G14" i="88" l="1"/>
  <c r="D62" i="12"/>
  <c r="D77" i="12" l="1"/>
  <c r="D80" i="12"/>
  <c r="D81" i="12"/>
  <c r="D82" i="12"/>
  <c r="D79" i="12"/>
  <c r="D78" i="12"/>
  <c r="D83" i="12" l="1"/>
  <c r="C89" i="12" s="1"/>
  <c r="C96" i="12" s="1"/>
  <c r="C102" i="12" l="1"/>
  <c r="E6" i="47" l="1"/>
  <c r="H6" i="47"/>
  <c r="E5" i="47"/>
  <c r="E7" i="47" s="1"/>
  <c r="D7" i="47"/>
  <c r="E14" i="47"/>
  <c r="E15" i="47"/>
  <c r="E20" i="47"/>
  <c r="E21" i="47"/>
  <c r="E22" i="47"/>
  <c r="E23" i="47"/>
  <c r="E25" i="47"/>
  <c r="E26" i="47"/>
  <c r="E27" i="47"/>
  <c r="E28" i="47"/>
  <c r="E29" i="47"/>
  <c r="E30" i="47"/>
  <c r="E31" i="47"/>
  <c r="C7" i="47"/>
  <c r="E19" i="47" l="1"/>
  <c r="E18" i="47"/>
  <c r="E17" i="47"/>
  <c r="E32" i="47"/>
  <c r="E16" i="47"/>
  <c r="E24" i="47"/>
  <c r="H5" i="47" l="1"/>
  <c r="F14" i="47"/>
  <c r="J14" i="47" s="1"/>
  <c r="F15" i="47"/>
  <c r="F16" i="47"/>
  <c r="F17" i="47"/>
  <c r="F18" i="47"/>
  <c r="F19" i="47"/>
  <c r="F20" i="47"/>
  <c r="F21" i="47"/>
  <c r="F31" i="47"/>
  <c r="F23" i="47"/>
  <c r="F30" i="47"/>
  <c r="F25" i="47"/>
  <c r="F26" i="47"/>
  <c r="F27" i="47"/>
  <c r="F32" i="47"/>
  <c r="F28" i="47"/>
  <c r="F24" i="47"/>
  <c r="F29" i="47"/>
  <c r="F22" i="47"/>
  <c r="G26" i="47"/>
  <c r="G19" i="47"/>
  <c r="G27" i="47"/>
  <c r="G20" i="47"/>
  <c r="G28" i="47"/>
  <c r="G21" i="47"/>
  <c r="G29" i="47"/>
  <c r="G22" i="47"/>
  <c r="G30" i="47"/>
  <c r="G15" i="47"/>
  <c r="G23" i="47"/>
  <c r="G31" i="47"/>
  <c r="G16" i="47"/>
  <c r="G24" i="47"/>
  <c r="G32" i="47"/>
  <c r="G17" i="47"/>
  <c r="G25" i="47"/>
  <c r="G18" i="47"/>
  <c r="F7" i="47"/>
  <c r="K18" i="47" l="1"/>
  <c r="K25" i="47"/>
  <c r="K17" i="47"/>
  <c r="K32" i="47"/>
  <c r="K24" i="47"/>
  <c r="K16" i="47"/>
  <c r="K31" i="47"/>
  <c r="K23" i="47"/>
  <c r="K15" i="47"/>
  <c r="K30" i="47"/>
  <c r="K22" i="47"/>
  <c r="K29" i="47"/>
  <c r="K21" i="47"/>
  <c r="K28" i="47"/>
  <c r="K20" i="47"/>
  <c r="K27" i="47"/>
  <c r="K19" i="47"/>
  <c r="K26" i="47"/>
  <c r="J22" i="47"/>
  <c r="J29" i="47"/>
  <c r="J24" i="47"/>
  <c r="J28" i="47"/>
  <c r="J32" i="47"/>
  <c r="J27" i="47"/>
  <c r="J26" i="47"/>
  <c r="J25" i="47"/>
  <c r="J30" i="47"/>
  <c r="J23" i="47"/>
  <c r="J31" i="47"/>
  <c r="J21" i="47"/>
  <c r="J20" i="47"/>
  <c r="J19" i="47"/>
  <c r="J18" i="47"/>
  <c r="J17" i="47"/>
  <c r="J16" i="47"/>
  <c r="J15" i="47"/>
  <c r="F7" i="83"/>
  <c r="C8" i="82"/>
  <c r="C16" i="82"/>
  <c r="C23" i="82"/>
  <c r="C18" i="82"/>
  <c r="C22" i="82"/>
  <c r="C26" i="82"/>
  <c r="C21" i="82"/>
  <c r="C20" i="82"/>
  <c r="C19" i="82"/>
  <c r="C24" i="82"/>
  <c r="C17" i="82"/>
  <c r="C25" i="82"/>
  <c r="C15" i="82"/>
  <c r="C14" i="82"/>
  <c r="C13" i="82"/>
  <c r="C12" i="82"/>
  <c r="C11" i="82"/>
  <c r="C10" i="82"/>
  <c r="C9" i="82"/>
  <c r="D12" i="82"/>
  <c r="D19" i="82"/>
  <c r="E19" i="82" s="1"/>
  <c r="F19" i="82" s="1"/>
  <c r="D11" i="82"/>
  <c r="E11" i="82" s="1"/>
  <c r="F11" i="82" s="1"/>
  <c r="G11" i="82" s="1"/>
  <c r="H32" i="47"/>
  <c r="F24" i="72" s="1"/>
  <c r="D26" i="82"/>
  <c r="E26" i="82" s="1"/>
  <c r="D18" i="82"/>
  <c r="E18" i="82" s="1"/>
  <c r="F18" i="82" s="1"/>
  <c r="D10" i="82"/>
  <c r="E10" i="82" s="1"/>
  <c r="F10" i="82" s="1"/>
  <c r="D25" i="82"/>
  <c r="D17" i="82"/>
  <c r="E17" i="82" s="1"/>
  <c r="F17" i="82" s="1"/>
  <c r="D9" i="82"/>
  <c r="D24" i="82"/>
  <c r="E24" i="82" s="1"/>
  <c r="F24" i="82" s="1"/>
  <c r="D16" i="82"/>
  <c r="E16" i="82" s="1"/>
  <c r="F16" i="82" s="1"/>
  <c r="D23" i="82"/>
  <c r="D15" i="82"/>
  <c r="E15" i="82" s="1"/>
  <c r="F15" i="82" s="1"/>
  <c r="D22" i="82"/>
  <c r="E22" i="82" s="1"/>
  <c r="F22" i="82" s="1"/>
  <c r="D14" i="82"/>
  <c r="D21" i="82"/>
  <c r="E21" i="82" s="1"/>
  <c r="F21" i="82" s="1"/>
  <c r="D13" i="82"/>
  <c r="E13" i="82" s="1"/>
  <c r="F13" i="82" s="1"/>
  <c r="D20" i="82"/>
  <c r="E20" i="82" s="1"/>
  <c r="F20" i="82" s="1"/>
  <c r="C25" i="12" s="1"/>
  <c r="G7" i="47"/>
  <c r="H7" i="47"/>
  <c r="H18" i="47"/>
  <c r="F10" i="72" s="1"/>
  <c r="H25" i="47"/>
  <c r="F17" i="72" s="1"/>
  <c r="H17" i="47"/>
  <c r="F9" i="72" s="1"/>
  <c r="H24" i="47"/>
  <c r="F16" i="72" s="1"/>
  <c r="H16" i="47"/>
  <c r="F8" i="72" s="1"/>
  <c r="H31" i="47"/>
  <c r="F23" i="72" s="1"/>
  <c r="H23" i="47"/>
  <c r="F15" i="72" s="1"/>
  <c r="H15" i="47"/>
  <c r="F7" i="72" s="1"/>
  <c r="H30" i="47"/>
  <c r="F22" i="72" s="1"/>
  <c r="H22" i="47"/>
  <c r="F14" i="72" s="1"/>
  <c r="H14" i="47"/>
  <c r="F6" i="72" s="1"/>
  <c r="H29" i="47"/>
  <c r="F21" i="72" s="1"/>
  <c r="H21" i="47"/>
  <c r="F13" i="72" s="1"/>
  <c r="H28" i="47"/>
  <c r="F20" i="72" s="1"/>
  <c r="H20" i="47"/>
  <c r="F12" i="72" s="1"/>
  <c r="H27" i="47"/>
  <c r="F19" i="72" s="1"/>
  <c r="H19" i="47"/>
  <c r="F11" i="72" s="1"/>
  <c r="H26" i="47"/>
  <c r="F18" i="72" s="1"/>
  <c r="C26" i="12" l="1"/>
  <c r="C27" i="12"/>
  <c r="C21" i="12"/>
  <c r="C22" i="12"/>
  <c r="C23" i="12"/>
  <c r="C32" i="12"/>
  <c r="C16" i="12"/>
  <c r="C24" i="12"/>
  <c r="E14" i="82"/>
  <c r="F14" i="82" s="1"/>
  <c r="E25" i="82"/>
  <c r="F25" i="82" s="1"/>
  <c r="E12" i="82"/>
  <c r="F12" i="82" s="1"/>
  <c r="C18" i="12" s="1"/>
  <c r="G6" i="72"/>
  <c r="F17" i="83"/>
  <c r="F22" i="83"/>
  <c r="F25" i="83"/>
  <c r="F14" i="83"/>
  <c r="F15" i="83"/>
  <c r="F10" i="83"/>
  <c r="G16" i="72"/>
  <c r="J16" i="72" s="1"/>
  <c r="G9" i="72"/>
  <c r="F19" i="83"/>
  <c r="F23" i="83"/>
  <c r="F18" i="83"/>
  <c r="G18" i="72"/>
  <c r="J18" i="72" s="1"/>
  <c r="F12" i="83"/>
  <c r="F8" i="83"/>
  <c r="F11" i="83"/>
  <c r="F21" i="83"/>
  <c r="F20" i="83"/>
  <c r="F16" i="83"/>
  <c r="G13" i="72"/>
  <c r="J13" i="72" s="1"/>
  <c r="G24" i="72"/>
  <c r="F13" i="83"/>
  <c r="F24" i="83"/>
  <c r="F9" i="83"/>
  <c r="E23" i="82"/>
  <c r="F23" i="82" s="1"/>
  <c r="E9" i="82"/>
  <c r="F9" i="82" s="1"/>
  <c r="E8" i="83"/>
  <c r="G8" i="83" s="1"/>
  <c r="E9" i="83"/>
  <c r="E10" i="83"/>
  <c r="G10" i="83" s="1"/>
  <c r="E11" i="83"/>
  <c r="G11" i="83" s="1"/>
  <c r="E12" i="83"/>
  <c r="G12" i="83" s="1"/>
  <c r="E13" i="83"/>
  <c r="E14" i="83"/>
  <c r="E24" i="83"/>
  <c r="G24" i="83" s="1"/>
  <c r="E16" i="83"/>
  <c r="G16" i="83" s="1"/>
  <c r="E23" i="83"/>
  <c r="E18" i="83"/>
  <c r="G18" i="83" s="1"/>
  <c r="E19" i="83"/>
  <c r="G19" i="83" s="1"/>
  <c r="E20" i="83"/>
  <c r="G20" i="83" s="1"/>
  <c r="E25" i="83"/>
  <c r="G25" i="83" s="1"/>
  <c r="E32" i="12" s="1"/>
  <c r="E21" i="83"/>
  <c r="G21" i="83" s="1"/>
  <c r="E17" i="83"/>
  <c r="G17" i="83" s="1"/>
  <c r="E22" i="83"/>
  <c r="G22" i="83" s="1"/>
  <c r="E15" i="83"/>
  <c r="G15" i="83" s="1"/>
  <c r="C8" i="81"/>
  <c r="D8" i="81" s="1"/>
  <c r="E8" i="81" s="1"/>
  <c r="E7" i="83"/>
  <c r="E8" i="82"/>
  <c r="F8" i="82" s="1"/>
  <c r="C13" i="12" s="1"/>
  <c r="D7" i="81"/>
  <c r="E7" i="81" s="1"/>
  <c r="C5" i="72"/>
  <c r="J5" i="72"/>
  <c r="I5" i="72"/>
  <c r="L5" i="72" s="1"/>
  <c r="K5" i="72"/>
  <c r="C6" i="72"/>
  <c r="D6" i="72" s="1"/>
  <c r="E6" i="72" s="1"/>
  <c r="H6" i="72"/>
  <c r="K6" i="72" s="1"/>
  <c r="I6" i="72"/>
  <c r="L6" i="72" s="1"/>
  <c r="G20" i="82"/>
  <c r="G13" i="82"/>
  <c r="G21" i="82"/>
  <c r="G14" i="82"/>
  <c r="G22" i="82"/>
  <c r="G15" i="82"/>
  <c r="G16" i="82"/>
  <c r="G24" i="82"/>
  <c r="G17" i="82"/>
  <c r="G25" i="82"/>
  <c r="G10" i="82"/>
  <c r="G18" i="82"/>
  <c r="G26" i="82"/>
  <c r="G19" i="82"/>
  <c r="C20" i="81"/>
  <c r="D20" i="81" s="1"/>
  <c r="C9" i="72"/>
  <c r="C14" i="12" l="1"/>
  <c r="C15" i="12"/>
  <c r="C28" i="12"/>
  <c r="C29" i="12"/>
  <c r="C30" i="12"/>
  <c r="C31" i="12"/>
  <c r="C19" i="12"/>
  <c r="C20" i="12"/>
  <c r="G9" i="83"/>
  <c r="G13" i="83"/>
  <c r="M5" i="72"/>
  <c r="G12" i="72"/>
  <c r="J12" i="72" s="1"/>
  <c r="C16" i="81"/>
  <c r="D16" i="81" s="1"/>
  <c r="C23" i="81"/>
  <c r="D23" i="81" s="1"/>
  <c r="I9" i="72"/>
  <c r="C11" i="81"/>
  <c r="D11" i="81" s="1"/>
  <c r="G23" i="82"/>
  <c r="G12" i="82"/>
  <c r="C17" i="12"/>
  <c r="G9" i="82"/>
  <c r="G8" i="82"/>
  <c r="G27" i="82" s="1"/>
  <c r="S51" i="12" s="1"/>
  <c r="C47" i="12"/>
  <c r="H9" i="72"/>
  <c r="C13" i="72"/>
  <c r="D13" i="72" s="1"/>
  <c r="E13" i="72" s="1"/>
  <c r="I13" i="72"/>
  <c r="L13" i="72" s="1"/>
  <c r="H13" i="72"/>
  <c r="K13" i="72" s="1"/>
  <c r="I18" i="72"/>
  <c r="L18" i="72" s="1"/>
  <c r="C15" i="81"/>
  <c r="D15" i="81" s="1"/>
  <c r="H18" i="72"/>
  <c r="K18" i="72" s="1"/>
  <c r="I16" i="72"/>
  <c r="L16" i="72" s="1"/>
  <c r="C12" i="72"/>
  <c r="D12" i="72" s="1"/>
  <c r="E12" i="72" s="1"/>
  <c r="C16" i="72"/>
  <c r="D16" i="72" s="1"/>
  <c r="E16" i="72" s="1"/>
  <c r="I14" i="72"/>
  <c r="L14" i="72" s="1"/>
  <c r="C14" i="81"/>
  <c r="D14" i="81" s="1"/>
  <c r="E14" i="81" s="1"/>
  <c r="C18" i="72"/>
  <c r="D18" i="72" s="1"/>
  <c r="E18" i="72" s="1"/>
  <c r="I12" i="72"/>
  <c r="L12" i="72" s="1"/>
  <c r="H14" i="72"/>
  <c r="K14" i="72" s="1"/>
  <c r="H16" i="72"/>
  <c r="K16" i="72" s="1"/>
  <c r="M16" i="72" s="1"/>
  <c r="C14" i="72"/>
  <c r="D14" i="72" s="1"/>
  <c r="E14" i="72" s="1"/>
  <c r="K21" i="12" s="1"/>
  <c r="C18" i="81"/>
  <c r="D18" i="81" s="1"/>
  <c r="E18" i="81" s="1"/>
  <c r="H12" i="72"/>
  <c r="K12" i="72" s="1"/>
  <c r="G14" i="72"/>
  <c r="J14" i="72" s="1"/>
  <c r="G21" i="72"/>
  <c r="J21" i="72" s="1"/>
  <c r="G23" i="83"/>
  <c r="E29" i="12" s="1"/>
  <c r="G20" i="72"/>
  <c r="G15" i="72"/>
  <c r="G22" i="72"/>
  <c r="G23" i="72"/>
  <c r="G17" i="72"/>
  <c r="G7" i="72"/>
  <c r="I21" i="72"/>
  <c r="L21" i="72" s="1"/>
  <c r="G14" i="83"/>
  <c r="G19" i="72"/>
  <c r="G8" i="72"/>
  <c r="H21" i="72"/>
  <c r="K21" i="72" s="1"/>
  <c r="C21" i="72"/>
  <c r="D21" i="72" s="1"/>
  <c r="E21" i="72" s="1"/>
  <c r="G11" i="72"/>
  <c r="G10" i="72"/>
  <c r="J6" i="72"/>
  <c r="M6" i="72" s="1"/>
  <c r="D5" i="72"/>
  <c r="E5" i="72" s="1"/>
  <c r="E20" i="81"/>
  <c r="H16" i="83"/>
  <c r="E22" i="12"/>
  <c r="H8" i="83"/>
  <c r="F20" i="12"/>
  <c r="E15" i="81"/>
  <c r="H17" i="83"/>
  <c r="E23" i="12"/>
  <c r="H24" i="83"/>
  <c r="E30" i="12"/>
  <c r="H22" i="83"/>
  <c r="E28" i="12"/>
  <c r="H21" i="83"/>
  <c r="E27" i="12"/>
  <c r="H14" i="83"/>
  <c r="E20" i="12"/>
  <c r="E11" i="81"/>
  <c r="H25" i="83"/>
  <c r="E31" i="12"/>
  <c r="H13" i="83"/>
  <c r="E19" i="12"/>
  <c r="E23" i="81"/>
  <c r="H20" i="83"/>
  <c r="E26" i="12"/>
  <c r="E18" i="12"/>
  <c r="H12" i="83"/>
  <c r="H19" i="83"/>
  <c r="E25" i="12"/>
  <c r="H11" i="83"/>
  <c r="E17" i="12"/>
  <c r="F21" i="12"/>
  <c r="E16" i="81"/>
  <c r="F13" i="12"/>
  <c r="H18" i="83"/>
  <c r="E24" i="12"/>
  <c r="H10" i="83"/>
  <c r="E16" i="12"/>
  <c r="M13" i="72"/>
  <c r="O13" i="72" s="1"/>
  <c r="E21" i="12"/>
  <c r="H15" i="83"/>
  <c r="H9" i="83"/>
  <c r="E15" i="12"/>
  <c r="F12" i="12"/>
  <c r="G7" i="83"/>
  <c r="E14" i="12" s="1"/>
  <c r="I24" i="72"/>
  <c r="L24" i="72" s="1"/>
  <c r="J24" i="72"/>
  <c r="C26" i="81"/>
  <c r="D26" i="81" s="1"/>
  <c r="F32" i="12" s="1"/>
  <c r="C24" i="72"/>
  <c r="D24" i="72" s="1"/>
  <c r="E24" i="72" s="1"/>
  <c r="H24" i="72"/>
  <c r="K24" i="72" s="1"/>
  <c r="J9" i="72"/>
  <c r="K9" i="72"/>
  <c r="D9" i="72"/>
  <c r="E9" i="72" s="1"/>
  <c r="L9" i="72"/>
  <c r="K32" i="12" l="1"/>
  <c r="K12" i="12"/>
  <c r="K13" i="12"/>
  <c r="K20" i="12"/>
  <c r="H23" i="83"/>
  <c r="M14" i="72"/>
  <c r="M18" i="72"/>
  <c r="M21" i="72"/>
  <c r="N21" i="72" s="1"/>
  <c r="P21" i="72" s="1"/>
  <c r="O16" i="72"/>
  <c r="M12" i="72"/>
  <c r="N5" i="72"/>
  <c r="P5" i="72" s="1"/>
  <c r="O5" i="72"/>
  <c r="J15" i="72"/>
  <c r="C17" i="81"/>
  <c r="D17" i="81" s="1"/>
  <c r="F23" i="12" s="1"/>
  <c r="I15" i="72"/>
  <c r="L15" i="72" s="1"/>
  <c r="C15" i="72"/>
  <c r="D15" i="72" s="1"/>
  <c r="E15" i="72" s="1"/>
  <c r="H15" i="72"/>
  <c r="K15" i="72" s="1"/>
  <c r="C9" i="81"/>
  <c r="D9" i="81" s="1"/>
  <c r="C7" i="72"/>
  <c r="D7" i="72" s="1"/>
  <c r="E7" i="72" s="1"/>
  <c r="K14" i="12" s="1"/>
  <c r="H7" i="72"/>
  <c r="K7" i="72" s="1"/>
  <c r="I7" i="72"/>
  <c r="L7" i="72" s="1"/>
  <c r="J20" i="72"/>
  <c r="I20" i="72"/>
  <c r="L20" i="72" s="1"/>
  <c r="C20" i="72"/>
  <c r="D20" i="72" s="1"/>
  <c r="E20" i="72" s="1"/>
  <c r="C22" i="81"/>
  <c r="D22" i="81" s="1"/>
  <c r="F28" i="12" s="1"/>
  <c r="H20" i="72"/>
  <c r="K20" i="72" s="1"/>
  <c r="J17" i="72"/>
  <c r="C17" i="72"/>
  <c r="D17" i="72" s="1"/>
  <c r="E17" i="72" s="1"/>
  <c r="H17" i="72"/>
  <c r="K17" i="72" s="1"/>
  <c r="C19" i="81"/>
  <c r="D19" i="81" s="1"/>
  <c r="F25" i="12" s="1"/>
  <c r="I17" i="72"/>
  <c r="L17" i="72" s="1"/>
  <c r="J8" i="72"/>
  <c r="C8" i="72"/>
  <c r="D8" i="72" s="1"/>
  <c r="E8" i="72" s="1"/>
  <c r="H8" i="72"/>
  <c r="K8" i="72" s="1"/>
  <c r="I8" i="72"/>
  <c r="L8" i="72" s="1"/>
  <c r="C10" i="81"/>
  <c r="D10" i="81" s="1"/>
  <c r="F16" i="12" s="1"/>
  <c r="J23" i="72"/>
  <c r="C23" i="72"/>
  <c r="D23" i="72" s="1"/>
  <c r="E23" i="72" s="1"/>
  <c r="C25" i="81"/>
  <c r="D25" i="81" s="1"/>
  <c r="I23" i="72"/>
  <c r="L23" i="72" s="1"/>
  <c r="H23" i="72"/>
  <c r="K23" i="72" s="1"/>
  <c r="J10" i="72"/>
  <c r="H10" i="72"/>
  <c r="K10" i="72" s="1"/>
  <c r="C12" i="81"/>
  <c r="D12" i="81" s="1"/>
  <c r="C10" i="72"/>
  <c r="D10" i="72" s="1"/>
  <c r="E10" i="72" s="1"/>
  <c r="K17" i="12" s="1"/>
  <c r="I10" i="72"/>
  <c r="L10" i="72" s="1"/>
  <c r="J11" i="72"/>
  <c r="C13" i="81"/>
  <c r="D13" i="81" s="1"/>
  <c r="F19" i="12" s="1"/>
  <c r="C11" i="72"/>
  <c r="D11" i="72" s="1"/>
  <c r="E11" i="72" s="1"/>
  <c r="H11" i="72"/>
  <c r="K11" i="72" s="1"/>
  <c r="I11" i="72"/>
  <c r="L11" i="72" s="1"/>
  <c r="J19" i="72"/>
  <c r="C21" i="81"/>
  <c r="D21" i="81" s="1"/>
  <c r="C19" i="72"/>
  <c r="D19" i="72" s="1"/>
  <c r="E19" i="72" s="1"/>
  <c r="K26" i="12" s="1"/>
  <c r="H19" i="72"/>
  <c r="K19" i="72" s="1"/>
  <c r="I19" i="72"/>
  <c r="L19" i="72" s="1"/>
  <c r="J22" i="72"/>
  <c r="H22" i="72"/>
  <c r="K22" i="72" s="1"/>
  <c r="I22" i="72"/>
  <c r="L22" i="72" s="1"/>
  <c r="C22" i="72"/>
  <c r="D22" i="72" s="1"/>
  <c r="E22" i="72" s="1"/>
  <c r="K29" i="12" s="1"/>
  <c r="C24" i="81"/>
  <c r="D24" i="81" s="1"/>
  <c r="E26" i="81"/>
  <c r="F31" i="12"/>
  <c r="E13" i="12"/>
  <c r="E47" i="12" s="1"/>
  <c r="H7" i="83"/>
  <c r="H26" i="83" s="1"/>
  <c r="N16" i="72"/>
  <c r="P16" i="72" s="1"/>
  <c r="N12" i="72"/>
  <c r="P12" i="72" s="1"/>
  <c r="J12" i="12"/>
  <c r="N6" i="72"/>
  <c r="P6" i="72" s="1"/>
  <c r="J13" i="12"/>
  <c r="N13" i="72"/>
  <c r="P13" i="72" s="1"/>
  <c r="J20" i="12"/>
  <c r="N18" i="72"/>
  <c r="P18" i="72" s="1"/>
  <c r="N14" i="72"/>
  <c r="P14" i="72" s="1"/>
  <c r="J21" i="12"/>
  <c r="O6" i="72"/>
  <c r="M24" i="72"/>
  <c r="J32" i="12" s="1"/>
  <c r="O18" i="72"/>
  <c r="O12" i="72"/>
  <c r="O14" i="72"/>
  <c r="M9" i="72"/>
  <c r="K18" i="12" l="1"/>
  <c r="K19" i="12"/>
  <c r="K30" i="12"/>
  <c r="K31" i="12"/>
  <c r="K15" i="12"/>
  <c r="K16" i="12"/>
  <c r="K24" i="12"/>
  <c r="K25" i="12"/>
  <c r="K27" i="12"/>
  <c r="K28" i="12"/>
  <c r="K22" i="12"/>
  <c r="K23" i="12"/>
  <c r="O21" i="72"/>
  <c r="K47" i="12"/>
  <c r="N12" i="12"/>
  <c r="O12" i="12" s="1"/>
  <c r="E25" i="72"/>
  <c r="I25" i="72"/>
  <c r="I26" i="72" s="1"/>
  <c r="C25" i="72"/>
  <c r="M11" i="72"/>
  <c r="J19" i="12" s="1"/>
  <c r="M8" i="72"/>
  <c r="M17" i="72"/>
  <c r="M22" i="72"/>
  <c r="M10" i="72"/>
  <c r="F14" i="12"/>
  <c r="E9" i="81"/>
  <c r="E13" i="81"/>
  <c r="F18" i="12"/>
  <c r="E22" i="81"/>
  <c r="F27" i="12"/>
  <c r="G25" i="72"/>
  <c r="G26" i="72" s="1"/>
  <c r="J7" i="72"/>
  <c r="M7" i="72" s="1"/>
  <c r="F30" i="12"/>
  <c r="E25" i="81"/>
  <c r="F29" i="12"/>
  <c r="E24" i="81"/>
  <c r="E21" i="81"/>
  <c r="F26" i="12"/>
  <c r="E19" i="81"/>
  <c r="F24" i="12"/>
  <c r="M20" i="72"/>
  <c r="J28" i="12" s="1"/>
  <c r="M19" i="72"/>
  <c r="M23" i="72"/>
  <c r="E17" i="81"/>
  <c r="F22" i="12"/>
  <c r="H25" i="72"/>
  <c r="H26" i="72" s="1"/>
  <c r="F17" i="12"/>
  <c r="E12" i="81"/>
  <c r="E10" i="81"/>
  <c r="F15" i="12"/>
  <c r="M15" i="72"/>
  <c r="J23" i="12" s="1"/>
  <c r="J16" i="12"/>
  <c r="N9" i="72"/>
  <c r="J31" i="12"/>
  <c r="N24" i="72"/>
  <c r="P24" i="72" s="1"/>
  <c r="O24" i="72"/>
  <c r="O9" i="72"/>
  <c r="J24" i="12" l="1"/>
  <c r="J25" i="12"/>
  <c r="F47" i="12"/>
  <c r="E27" i="81"/>
  <c r="S54" i="12" s="1"/>
  <c r="N17" i="72"/>
  <c r="P17" i="72" s="1"/>
  <c r="O17" i="72"/>
  <c r="N8" i="72"/>
  <c r="P8" i="72" s="1"/>
  <c r="J15" i="12"/>
  <c r="O8" i="72"/>
  <c r="J18" i="12"/>
  <c r="N11" i="72"/>
  <c r="P11" i="72" s="1"/>
  <c r="O11" i="72"/>
  <c r="O15" i="72"/>
  <c r="J22" i="12"/>
  <c r="N15" i="72"/>
  <c r="P15" i="72" s="1"/>
  <c r="O23" i="72"/>
  <c r="J30" i="12"/>
  <c r="N23" i="72"/>
  <c r="P23" i="72" s="1"/>
  <c r="J26" i="12"/>
  <c r="N19" i="72"/>
  <c r="P19" i="72" s="1"/>
  <c r="O19" i="72"/>
  <c r="O20" i="72"/>
  <c r="N20" i="72"/>
  <c r="P20" i="72" s="1"/>
  <c r="J27" i="12"/>
  <c r="O7" i="72"/>
  <c r="J14" i="12"/>
  <c r="N7" i="72"/>
  <c r="P7" i="72" s="1"/>
  <c r="O10" i="72"/>
  <c r="J17" i="12"/>
  <c r="N10" i="72"/>
  <c r="P10" i="72" s="1"/>
  <c r="N22" i="72"/>
  <c r="P22" i="72" s="1"/>
  <c r="O22" i="72"/>
  <c r="J29" i="12"/>
  <c r="P9" i="72"/>
  <c r="J47" i="12" l="1"/>
  <c r="P25" i="72"/>
  <c r="S58" i="12" s="1"/>
  <c r="N25" i="72"/>
  <c r="O25" i="72"/>
  <c r="J40" i="88" l="1"/>
  <c r="O54" i="88"/>
  <c r="O59" i="88" s="1"/>
  <c r="H9" i="88" s="1"/>
  <c r="N54" i="88" l="1"/>
  <c r="N59" i="88" s="1"/>
  <c r="Q54" i="88"/>
  <c r="Q59" i="88" s="1"/>
  <c r="J9" i="88" s="1"/>
  <c r="P54" i="88"/>
  <c r="P59" i="88" s="1"/>
  <c r="I9" i="88" s="1"/>
  <c r="K9" i="88" l="1"/>
  <c r="H15" i="88" s="1"/>
  <c r="H14" i="88" l="1"/>
  <c r="C11" i="88" l="1"/>
  <c r="C8" i="88"/>
  <c r="C7" i="88"/>
  <c r="C10" i="88"/>
  <c r="C13" i="88"/>
  <c r="C23" i="88"/>
  <c r="C14" i="88"/>
  <c r="C12" i="88"/>
  <c r="C25" i="88"/>
  <c r="C20" i="88"/>
  <c r="C9" i="88"/>
  <c r="C24" i="88"/>
  <c r="C19" i="88"/>
  <c r="C26" i="88"/>
  <c r="C17" i="88"/>
  <c r="C18" i="88"/>
  <c r="C16" i="88"/>
  <c r="C15" i="88"/>
  <c r="C21" i="88"/>
  <c r="C22" i="88"/>
  <c r="D22" i="88" l="1"/>
  <c r="G28" i="12"/>
  <c r="D21" i="88"/>
  <c r="G27" i="12"/>
  <c r="D15" i="88"/>
  <c r="G21" i="12"/>
  <c r="D16" i="88"/>
  <c r="G22" i="12"/>
  <c r="D18" i="88"/>
  <c r="G24" i="12"/>
  <c r="D17" i="88"/>
  <c r="G23" i="12"/>
  <c r="D26" i="88"/>
  <c r="G32" i="12"/>
  <c r="D19" i="88"/>
  <c r="G25" i="12"/>
  <c r="D24" i="88"/>
  <c r="G30" i="12"/>
  <c r="D9" i="88"/>
  <c r="G15" i="12"/>
  <c r="D20" i="88"/>
  <c r="G26" i="12"/>
  <c r="D25" i="88"/>
  <c r="G31" i="12"/>
  <c r="D12" i="88"/>
  <c r="G18" i="12"/>
  <c r="D14" i="88"/>
  <c r="G20" i="12"/>
  <c r="D23" i="88"/>
  <c r="G29" i="12"/>
  <c r="D13" i="88"/>
  <c r="G19" i="12"/>
  <c r="D10" i="88"/>
  <c r="G16" i="12"/>
  <c r="D7" i="88"/>
  <c r="G13" i="12"/>
  <c r="D8" i="88"/>
  <c r="G14" i="12"/>
  <c r="D11" i="88"/>
  <c r="G17" i="12"/>
  <c r="N14" i="12"/>
  <c r="O14" i="12" s="1"/>
  <c r="N28" i="12"/>
  <c r="O28" i="12" s="1"/>
  <c r="N27" i="12"/>
  <c r="O27" i="12" s="1"/>
  <c r="N21" i="12"/>
  <c r="O21" i="12" s="1"/>
  <c r="N22" i="12"/>
  <c r="O22" i="12" s="1"/>
  <c r="N24" i="12"/>
  <c r="O24" i="12" s="1"/>
  <c r="N23" i="12"/>
  <c r="O23" i="12" s="1"/>
  <c r="N32" i="12"/>
  <c r="O32" i="12" s="1"/>
  <c r="N25" i="12"/>
  <c r="O25" i="12" s="1"/>
  <c r="N30" i="12"/>
  <c r="O30" i="12" s="1"/>
  <c r="N15" i="12"/>
  <c r="O15" i="12" s="1"/>
  <c r="N26" i="12"/>
  <c r="O26" i="12" s="1"/>
  <c r="N31" i="12"/>
  <c r="O31" i="12" s="1"/>
  <c r="N18" i="12"/>
  <c r="O18" i="12" s="1"/>
  <c r="N17" i="12"/>
  <c r="O17" i="12" s="1"/>
  <c r="N20" i="12"/>
  <c r="O20" i="12" s="1"/>
  <c r="N29" i="12"/>
  <c r="O29" i="12" s="1"/>
  <c r="N19" i="12"/>
  <c r="O19" i="12" s="1"/>
  <c r="N16" i="12"/>
  <c r="O16" i="12" s="1"/>
  <c r="N13" i="12"/>
  <c r="O13" i="12" s="1"/>
  <c r="D27" i="88" l="1"/>
  <c r="O47" i="12"/>
  <c r="G47" i="12"/>
  <c r="O48" i="12" l="1"/>
  <c r="S55" i="12"/>
  <c r="S61" i="12" s="1"/>
  <c r="C88" i="12"/>
  <c r="C91" i="12" s="1"/>
  <c r="O49" i="12"/>
  <c r="C95" i="12" l="1"/>
  <c r="C90" i="12"/>
  <c r="C101" i="12" l="1"/>
  <c r="C97" i="12"/>
  <c r="C103" i="12" s="1"/>
  <c r="C98" i="12"/>
  <c r="C104" i="12" s="1"/>
</calcChain>
</file>

<file path=xl/sharedStrings.xml><?xml version="1.0" encoding="utf-8"?>
<sst xmlns="http://schemas.openxmlformats.org/spreadsheetml/2006/main" count="18881" uniqueCount="1231">
  <si>
    <t>Analysis Year</t>
  </si>
  <si>
    <t>7% Discount</t>
  </si>
  <si>
    <t>Total Benefit</t>
  </si>
  <si>
    <t>NOTES:</t>
  </si>
  <si>
    <t>Total Cost</t>
  </si>
  <si>
    <t xml:space="preserve">Cost Category </t>
  </si>
  <si>
    <t>Life (years)</t>
  </si>
  <si>
    <t>BENEFITS</t>
  </si>
  <si>
    <t>COSTS</t>
  </si>
  <si>
    <t>Capital Costs</t>
  </si>
  <si>
    <t>Benefits</t>
  </si>
  <si>
    <t>Costs</t>
  </si>
  <si>
    <t>B/C Ratio</t>
  </si>
  <si>
    <t>ENVIRONMENTAL SUSTAINABILITY - AIR QUALITY</t>
  </si>
  <si>
    <t>SUMMARY</t>
  </si>
  <si>
    <t>n/a</t>
  </si>
  <si>
    <t>RCV Factor (7%)</t>
  </si>
  <si>
    <t>RCV  (7%)</t>
  </si>
  <si>
    <t>Remaining Capital Value</t>
  </si>
  <si>
    <t>2)</t>
  </si>
  <si>
    <t>1)</t>
  </si>
  <si>
    <t xml:space="preserve">Capital Cost </t>
  </si>
  <si>
    <t>Total Remaining Capital Value</t>
  </si>
  <si>
    <t>Right-of-Way</t>
  </si>
  <si>
    <t>Major Structures</t>
  </si>
  <si>
    <t>Grading and Drainage</t>
  </si>
  <si>
    <t>Sub Base and Base</t>
  </si>
  <si>
    <t>Surface</t>
  </si>
  <si>
    <t>Miscellaneous (Sunk)</t>
  </si>
  <si>
    <t>No Build</t>
  </si>
  <si>
    <t>Build</t>
  </si>
  <si>
    <t>Total</t>
  </si>
  <si>
    <t>Years of Construction</t>
  </si>
  <si>
    <r>
      <t xml:space="preserve">Table 1 - Years of Construction </t>
    </r>
    <r>
      <rPr>
        <b/>
        <vertAlign val="superscript"/>
        <sz val="11"/>
        <color theme="1"/>
        <rFont val="Calibri"/>
        <family val="2"/>
        <scheme val="minor"/>
      </rPr>
      <t>1</t>
    </r>
  </si>
  <si>
    <t>Construction Year</t>
  </si>
  <si>
    <t>Table 2 - Construction Costs</t>
  </si>
  <si>
    <t>Crash Cost Savings</t>
  </si>
  <si>
    <t>A</t>
  </si>
  <si>
    <t>B</t>
  </si>
  <si>
    <t>C</t>
  </si>
  <si>
    <t>Economic Competitiveness</t>
  </si>
  <si>
    <t>Safety</t>
  </si>
  <si>
    <t>Environmental Sustainability</t>
  </si>
  <si>
    <t>Auto Percentage</t>
  </si>
  <si>
    <t>Truck Percentage</t>
  </si>
  <si>
    <t>Truck Travel Time Cost</t>
  </si>
  <si>
    <t>Aggregate Travel Time Cost</t>
  </si>
  <si>
    <t>Auto Vehicle Occupancy</t>
  </si>
  <si>
    <t>Truck Vehicle Occupancy</t>
  </si>
  <si>
    <t>Difference</t>
  </si>
  <si>
    <t>Annual Growth</t>
  </si>
  <si>
    <t>Annualized Operations</t>
  </si>
  <si>
    <t>Differential</t>
  </si>
  <si>
    <t>Travel Time Cost Savings</t>
  </si>
  <si>
    <t>Annual Total Network VHT</t>
  </si>
  <si>
    <t>STATE OF GOOD REPAIR - OPERATION AND MAINTENANCE COSTS</t>
  </si>
  <si>
    <t>State of Good Repair</t>
  </si>
  <si>
    <t>Operation and Maintenance Costs</t>
  </si>
  <si>
    <t>PDO</t>
  </si>
  <si>
    <t>Table 1 - Analysis Timeframe Assumptions</t>
  </si>
  <si>
    <t>Years of Benefit-Cost Analysis Period</t>
  </si>
  <si>
    <t>Benefit-Cost Final Year of Benefit</t>
  </si>
  <si>
    <t>Days in Traffic Analysis Year</t>
  </si>
  <si>
    <t>Year</t>
  </si>
  <si>
    <r>
      <t>Constant Dollar RCV in (7%)</t>
    </r>
    <r>
      <rPr>
        <vertAlign val="superscript"/>
        <sz val="9"/>
        <color theme="1"/>
        <rFont val="Calibri"/>
        <family val="2"/>
        <scheme val="minor"/>
      </rPr>
      <t>2</t>
    </r>
  </si>
  <si>
    <r>
      <t>Present Value RCV in (7%)</t>
    </r>
    <r>
      <rPr>
        <vertAlign val="superscript"/>
        <sz val="9"/>
        <color theme="1"/>
        <rFont val="Calibri"/>
        <family val="2"/>
        <scheme val="minor"/>
      </rPr>
      <t>2</t>
    </r>
  </si>
  <si>
    <t>Total Net Cost</t>
  </si>
  <si>
    <t>Activity</t>
  </si>
  <si>
    <t>Medium (4”) bituminous mill &amp; overlay</t>
  </si>
  <si>
    <t>Thin (2”) bituminous mill &amp; overlay</t>
  </si>
  <si>
    <t>Unbonded concrete overlay</t>
  </si>
  <si>
    <t>Annual Total Network VMT</t>
  </si>
  <si>
    <t>SubTotal</t>
  </si>
  <si>
    <r>
      <t xml:space="preserve">Table 3 - Remaining Capital Value Factors </t>
    </r>
    <r>
      <rPr>
        <b/>
        <vertAlign val="superscript"/>
        <sz val="11"/>
        <color theme="1"/>
        <rFont val="Calibri"/>
        <family val="2"/>
        <scheme val="minor"/>
      </rPr>
      <t>2</t>
    </r>
  </si>
  <si>
    <t>Cost (per lane-mile)</t>
  </si>
  <si>
    <t>NPV</t>
  </si>
  <si>
    <t>CAPITAL COST AND RESIDUAL PROJECT VALUE</t>
  </si>
  <si>
    <t>All-Purpose Travel Time Cost</t>
  </si>
  <si>
    <t>Table 2 - No Build Rehab and Maintenance Schedule</t>
  </si>
  <si>
    <t>Table 3 - Build Rehab and Maintenance Schedule</t>
  </si>
  <si>
    <t>Residual capital value (RCV) was calculated for those capital purchases with lifetimes extending beyond the study period. Values were calculated using the following formula and were included as a benefit:
RCV = A*(B-C)/B
where:
A = (1+r)^n
B = ((1+r)^L-1)/(r(1+r)^L)
C = ((1+r)^n-1)/(r(1+r)^n)
and: n = analysis period, r = discount rate, L = service life</t>
  </si>
  <si>
    <t>Table 1 - Construction Information</t>
  </si>
  <si>
    <t>Beginning of Construction</t>
  </si>
  <si>
    <t>Duration of Construction</t>
  </si>
  <si>
    <t>Benefit-Cost First Year of Benefit</t>
  </si>
  <si>
    <t>Forecast Traffic Year</t>
  </si>
  <si>
    <t>Year(s)</t>
  </si>
  <si>
    <t>Total Project</t>
  </si>
  <si>
    <t>3)</t>
  </si>
  <si>
    <t>5)</t>
  </si>
  <si>
    <t>Benefits (millions)</t>
  </si>
  <si>
    <t>Costs (millions)</t>
  </si>
  <si>
    <t>Net Present Value (millions)</t>
  </si>
  <si>
    <t>Base Year</t>
  </si>
  <si>
    <t>VHT</t>
  </si>
  <si>
    <t>VMT</t>
  </si>
  <si>
    <t>Subtotal</t>
  </si>
  <si>
    <t>CO2 Savings Estimations</t>
  </si>
  <si>
    <t>3% Discount</t>
  </si>
  <si>
    <r>
      <t>Change in NOx 
(metric tons)</t>
    </r>
    <r>
      <rPr>
        <vertAlign val="superscript"/>
        <sz val="9"/>
        <color theme="1"/>
        <rFont val="Calibri"/>
        <family val="2"/>
        <scheme val="minor"/>
      </rPr>
      <t>1</t>
    </r>
  </si>
  <si>
    <r>
      <t>Change in SO2
(metric tons)</t>
    </r>
    <r>
      <rPr>
        <vertAlign val="superscript"/>
        <sz val="9"/>
        <color theme="1"/>
        <rFont val="Calibri"/>
        <family val="2"/>
        <scheme val="minor"/>
      </rPr>
      <t>1</t>
    </r>
  </si>
  <si>
    <r>
      <t>Change in PM
(metric tons)</t>
    </r>
    <r>
      <rPr>
        <vertAlign val="superscript"/>
        <sz val="9"/>
        <color theme="1"/>
        <rFont val="Calibri"/>
        <family val="2"/>
        <scheme val="minor"/>
      </rPr>
      <t>1</t>
    </r>
  </si>
  <si>
    <r>
      <t>Change in PM
($)</t>
    </r>
    <r>
      <rPr>
        <vertAlign val="superscript"/>
        <sz val="9"/>
        <color theme="1"/>
        <rFont val="Calibri"/>
        <family val="2"/>
        <scheme val="minor"/>
      </rPr>
      <t>(2)</t>
    </r>
  </si>
  <si>
    <r>
      <t xml:space="preserve">Yearly Emissions Savings in Current Dollars ($) </t>
    </r>
    <r>
      <rPr>
        <vertAlign val="superscript"/>
        <sz val="9"/>
        <color theme="1"/>
        <rFont val="Calibri"/>
        <family val="2"/>
        <scheme val="minor"/>
      </rPr>
      <t>(2)</t>
    </r>
  </si>
  <si>
    <t xml:space="preserve"> 7%Discounted</t>
  </si>
  <si>
    <t>SO2</t>
  </si>
  <si>
    <t>CO2</t>
  </si>
  <si>
    <t>NOX</t>
  </si>
  <si>
    <t>PM2.5</t>
  </si>
  <si>
    <t>Build Project Length</t>
  </si>
  <si>
    <t>Other Emissions Cost Savings</t>
  </si>
  <si>
    <t>MOVES Model Output (grams per VMT)</t>
  </si>
  <si>
    <t>Mode</t>
  </si>
  <si>
    <t>Source Type</t>
  </si>
  <si>
    <t>HPMS Description</t>
  </si>
  <si>
    <t>Auto/Truck</t>
  </si>
  <si>
    <t>Automobile</t>
  </si>
  <si>
    <t>Motorcycle</t>
  </si>
  <si>
    <t>Auto</t>
  </si>
  <si>
    <t>Trucks</t>
  </si>
  <si>
    <t>Light-Duty Vehicle</t>
  </si>
  <si>
    <t>Buses</t>
  </si>
  <si>
    <t>Truck</t>
  </si>
  <si>
    <t>Single-Unit Truck</t>
  </si>
  <si>
    <t>Combination Truck</t>
  </si>
  <si>
    <r>
      <t>Air quality (no CO</t>
    </r>
    <r>
      <rPr>
        <vertAlign val="subscript"/>
        <sz val="9"/>
        <color theme="1"/>
        <rFont val="Calibri"/>
        <family val="2"/>
        <scheme val="minor"/>
      </rPr>
      <t>2</t>
    </r>
    <r>
      <rPr>
        <sz val="9"/>
        <color theme="1"/>
        <rFont val="Calibri"/>
        <family val="2"/>
        <scheme val="minor"/>
      </rPr>
      <t>)</t>
    </r>
  </si>
  <si>
    <r>
      <t>CO</t>
    </r>
    <r>
      <rPr>
        <vertAlign val="subscript"/>
        <sz val="9"/>
        <color theme="1"/>
        <rFont val="Calibri"/>
        <family val="2"/>
        <scheme val="minor"/>
      </rPr>
      <t>2</t>
    </r>
    <r>
      <rPr>
        <sz val="9"/>
        <color theme="1"/>
        <rFont val="Calibri"/>
        <family val="2"/>
        <scheme val="minor"/>
      </rPr>
      <t xml:space="preserve"> Discounted at 3%</t>
    </r>
  </si>
  <si>
    <t>S</t>
  </si>
  <si>
    <t>INCIDENTID</t>
  </si>
  <si>
    <t>RTESYSCODE</t>
  </si>
  <si>
    <t>RTENUMBER</t>
  </si>
  <si>
    <t>MEASURE</t>
  </si>
  <si>
    <t>COUNTY_SPATIAL</t>
  </si>
  <si>
    <t>CITY_NAME</t>
  </si>
  <si>
    <t>TOWNSHIP_NAME</t>
  </si>
  <si>
    <t>MNDOT_DISTRICT_SPATIAL</t>
  </si>
  <si>
    <t>STATE_PATROL_DIST_SPATIAL</t>
  </si>
  <si>
    <t>TRIBAL_GOVERNMENT_SPATIAL</t>
  </si>
  <si>
    <t>LOCALID</t>
  </si>
  <si>
    <t>ACCIDENT_NUMBER</t>
  </si>
  <si>
    <t>CRASH_MONTH</t>
  </si>
  <si>
    <t>CRASH_DAY</t>
  </si>
  <si>
    <t>CRASH_YEAR</t>
  </si>
  <si>
    <t>CRASH_DAYOFWEEK</t>
  </si>
  <si>
    <t>CRASH_HOUR</t>
  </si>
  <si>
    <t>DIVIDEDRDWYDIR</t>
  </si>
  <si>
    <t>CRASHSEVERITY</t>
  </si>
  <si>
    <t>NUMBERKILLED</t>
  </si>
  <si>
    <t>NUMBEROFVEHICLES</t>
  </si>
  <si>
    <t>MANNEROFCOLLISION</t>
  </si>
  <si>
    <t>FIRSTHARMFULEVENT</t>
  </si>
  <si>
    <t>RELATIONTOINTERSECTION</t>
  </si>
  <si>
    <t>LIGHTCONDITION</t>
  </si>
  <si>
    <t>WEATHERPRIMARY</t>
  </si>
  <si>
    <t>WEATHERSECONDARY</t>
  </si>
  <si>
    <t>RDWYSURFACE</t>
  </si>
  <si>
    <t>WORKZONETYPE</t>
  </si>
  <si>
    <t>ROADWAY_NAME</t>
  </si>
  <si>
    <t>INTERSECTION_NAME</t>
  </si>
  <si>
    <t>ROUTE_ID</t>
  </si>
  <si>
    <t>BASIC_TYPE</t>
  </si>
  <si>
    <t>UNITTYPEU1</t>
  </si>
  <si>
    <t>VEHICLETYPEU1</t>
  </si>
  <si>
    <t>DIRECTIONU1</t>
  </si>
  <si>
    <t>PRECRASHMANEUVERU1</t>
  </si>
  <si>
    <t>AGEU1</t>
  </si>
  <si>
    <t>SEXU1</t>
  </si>
  <si>
    <t>PHYSICALCONDITIONU1</t>
  </si>
  <si>
    <t>CONTRIBFACTOR1U1</t>
  </si>
  <si>
    <t>CONTRIBFACTOR2U1</t>
  </si>
  <si>
    <t>NONMOTORISTMANEUVERU1</t>
  </si>
  <si>
    <t>NONMOTORISTLOCATIONU1</t>
  </si>
  <si>
    <t>RDWYDESIGNU1</t>
  </si>
  <si>
    <t>TRAFFICCONTROLDEVICEU1</t>
  </si>
  <si>
    <t>SPEEDLIMITU1</t>
  </si>
  <si>
    <t>ALIGNMENTU1</t>
  </si>
  <si>
    <t>GRADEU1</t>
  </si>
  <si>
    <t>UNITTYPEU2</t>
  </si>
  <si>
    <t>VEHICLETYPEU2</t>
  </si>
  <si>
    <t>DIRECTIONU2</t>
  </si>
  <si>
    <t>PRECRASHMANEUVERU2</t>
  </si>
  <si>
    <t>AGEU2</t>
  </si>
  <si>
    <t>SEXU2</t>
  </si>
  <si>
    <t>PHYSICALCONDITIONU2</t>
  </si>
  <si>
    <t>CONTRIBFACTOR1U2</t>
  </si>
  <si>
    <t>CONTRIBFACTOR2U2</t>
  </si>
  <si>
    <t>NONMOTORISTMANEUVERU2</t>
  </si>
  <si>
    <t>NONMOTORISTLOCATIONU2</t>
  </si>
  <si>
    <t>RDWYDESIGNU2</t>
  </si>
  <si>
    <t>TRAFFICCONTROLDEVICEU2</t>
  </si>
  <si>
    <t>SPEEDLIMITU2</t>
  </si>
  <si>
    <t>ALIGNMENTU2</t>
  </si>
  <si>
    <t>GRADEU2</t>
  </si>
  <si>
    <t>UNITTYPEU3</t>
  </si>
  <si>
    <t>VEHICLETYPEU3</t>
  </si>
  <si>
    <t>DIRECTIONU3</t>
  </si>
  <si>
    <t>PRECRASHMANEUVERU3</t>
  </si>
  <si>
    <t>AGEU3</t>
  </si>
  <si>
    <t>SEXU3</t>
  </si>
  <si>
    <t>PHYSICALCONDITIONU3</t>
  </si>
  <si>
    <t>CONTRIBFACTOR1U3</t>
  </si>
  <si>
    <t>CONTRIBFACTOR2U3</t>
  </si>
  <si>
    <t>NONMOTORISTMANEUVERU3</t>
  </si>
  <si>
    <t>NONMOTORISTLOCATIONU3</t>
  </si>
  <si>
    <t>RDWYDESIGNU3</t>
  </si>
  <si>
    <t>TRAFFICCONTROLDEVICEU3</t>
  </si>
  <si>
    <t>SPEEDLIMITU3</t>
  </si>
  <si>
    <t>ALIGNMENTU3</t>
  </si>
  <si>
    <t>GRADEU3</t>
  </si>
  <si>
    <t>UNITTYPEU4</t>
  </si>
  <si>
    <t>VEHICLETYPEU4</t>
  </si>
  <si>
    <t>DIRECTIONU4</t>
  </si>
  <si>
    <t>PRECRASHMANEUVERU4</t>
  </si>
  <si>
    <t>AGEU4</t>
  </si>
  <si>
    <t>SEXU4</t>
  </si>
  <si>
    <t>PHYSICALCONDITIONU4</t>
  </si>
  <si>
    <t>CONTRIBFACTOR1U4</t>
  </si>
  <si>
    <t>CONTRIBFACTOR2U4</t>
  </si>
  <si>
    <t>NONMOTORISTMANEUVERU4</t>
  </si>
  <si>
    <t>NONMOTORISTLOCATIONU4</t>
  </si>
  <si>
    <t>RDWYDESIGNU4</t>
  </si>
  <si>
    <t>TRAFFICCONTROLDEVICEU4</t>
  </si>
  <si>
    <t>SPEEDLIMITU4</t>
  </si>
  <si>
    <t>ALIGNMENTU4</t>
  </si>
  <si>
    <t>GRADEU4</t>
  </si>
  <si>
    <t>UTMX</t>
  </si>
  <si>
    <t>UTMY</t>
  </si>
  <si>
    <t>LATITUDE</t>
  </si>
  <si>
    <t>LONGITUDE</t>
  </si>
  <si>
    <t>STATUS</t>
  </si>
  <si>
    <t>NARRATIVE</t>
  </si>
  <si>
    <t>Accepted</t>
  </si>
  <si>
    <t>Main St</t>
  </si>
  <si>
    <t>Change in NOx 
($)(2)</t>
  </si>
  <si>
    <r>
      <t>Change in SO2
($)</t>
    </r>
    <r>
      <rPr>
        <vertAlign val="superscript"/>
        <sz val="9"/>
        <color theme="1"/>
        <rFont val="Calibri"/>
        <family val="2"/>
        <scheme val="minor"/>
      </rPr>
      <t>(2)</t>
    </r>
  </si>
  <si>
    <t>No Build AADT</t>
  </si>
  <si>
    <t>Build AADT</t>
  </si>
  <si>
    <t>Total (CO2 + Other Emissions)</t>
  </si>
  <si>
    <r>
      <t>Change in C02</t>
    </r>
    <r>
      <rPr>
        <vertAlign val="superscript"/>
        <sz val="9"/>
        <color theme="1"/>
        <rFont val="Calibri"/>
        <family val="2"/>
        <scheme val="minor"/>
      </rPr>
      <t>3</t>
    </r>
    <r>
      <rPr>
        <sz val="9"/>
        <color theme="1"/>
        <rFont val="Calibri"/>
        <family val="2"/>
        <scheme val="minor"/>
      </rPr>
      <t xml:space="preserve"> (metric tons)</t>
    </r>
  </si>
  <si>
    <t>Change in Annual Network VMT</t>
  </si>
  <si>
    <t>Table 1 - Pollution Emission by Mode (g/VMT)</t>
  </si>
  <si>
    <t>Table 3 - Average Gallons of Fuel Consumed Per Hour Idle</t>
  </si>
  <si>
    <t>Automobile (gallons per hour)</t>
  </si>
  <si>
    <t>Source: U.S. Department of Energy</t>
  </si>
  <si>
    <t>*Note conservative estimate does not include trucks which  reflects an undercount in benefits.</t>
  </si>
  <si>
    <t>U.S. Department of Energy, Vehicle Technology Office</t>
  </si>
  <si>
    <t>Fact of the Week # 861</t>
  </si>
  <si>
    <t>Table4 - Average MPG for VMT Equivalent</t>
  </si>
  <si>
    <t>Type</t>
  </si>
  <si>
    <t>Average MPG</t>
  </si>
  <si>
    <t>Idle Consumption at Idle for Selected Gasoline and Diesel Vehicles</t>
  </si>
  <si>
    <t>Table 2 - Damage Costs for Emissions per metric ton</t>
  </si>
  <si>
    <t>Vehicle Type</t>
  </si>
  <si>
    <t>Fuel Type</t>
  </si>
  <si>
    <t>Engine Size (liter)</t>
  </si>
  <si>
    <t>Gross Vehicle Weight (GVW) (lb)</t>
  </si>
  <si>
    <t>Idling fuel use (Gal/hr with no load)</t>
  </si>
  <si>
    <t>Tractor-Semitrailer</t>
  </si>
  <si>
    <t>Diesel</t>
  </si>
  <si>
    <t>-</t>
  </si>
  <si>
    <t>Bucket Truck</t>
  </si>
  <si>
    <t>1 hour of delay is equivalent to</t>
  </si>
  <si>
    <t>Transit Bus</t>
  </si>
  <si>
    <t>Medium Heavy Truck</t>
  </si>
  <si>
    <t>6-10</t>
  </si>
  <si>
    <t>23,000-33,000</t>
  </si>
  <si>
    <t>Tow Truck</t>
  </si>
  <si>
    <t>Delivery Truck</t>
  </si>
  <si>
    <t>Gas</t>
  </si>
  <si>
    <t>5-7</t>
  </si>
  <si>
    <t>19,700-26,000</t>
  </si>
  <si>
    <t>Compact Sedan</t>
  </si>
  <si>
    <t>Large Sedan</t>
  </si>
  <si>
    <t>Results</t>
  </si>
  <si>
    <t>Capital Costs (2021$)</t>
  </si>
  <si>
    <t>Construction Letting</t>
  </si>
  <si>
    <t>Contingency</t>
  </si>
  <si>
    <t>Other construction</t>
  </si>
  <si>
    <t>R/W</t>
  </si>
  <si>
    <t>Engineering</t>
  </si>
  <si>
    <t>Construction engineering</t>
  </si>
  <si>
    <t>Total:</t>
  </si>
  <si>
    <t>Cross</t>
  </si>
  <si>
    <t>CURR</t>
  </si>
  <si>
    <t>Recc</t>
  </si>
  <si>
    <t>Alternative</t>
  </si>
  <si>
    <t>AM</t>
  </si>
  <si>
    <t>MD</t>
  </si>
  <si>
    <t>PM</t>
  </si>
  <si>
    <t>S 4th St</t>
  </si>
  <si>
    <t>Minor Stop</t>
  </si>
  <si>
    <t>None</t>
  </si>
  <si>
    <t>2nd/CC Dr</t>
  </si>
  <si>
    <t>Signal</t>
  </si>
  <si>
    <t>Roundabout</t>
  </si>
  <si>
    <t>Alt 6</t>
  </si>
  <si>
    <t>Saratoga</t>
  </si>
  <si>
    <t>Lyon</t>
  </si>
  <si>
    <t>signal</t>
  </si>
  <si>
    <t>Marshall</t>
  </si>
  <si>
    <t>RI/RO Access</t>
  </si>
  <si>
    <t>Alt 5</t>
  </si>
  <si>
    <t>N 3rd</t>
  </si>
  <si>
    <t>Bruce</t>
  </si>
  <si>
    <t>Section</t>
  </si>
  <si>
    <t>AADT</t>
  </si>
  <si>
    <t>HCAADT</t>
  </si>
  <si>
    <t>4th - Marshall</t>
  </si>
  <si>
    <t>AADT Year</t>
  </si>
  <si>
    <t>Grow AADT</t>
  </si>
  <si>
    <t>College - Main St</t>
  </si>
  <si>
    <t>Main - 3rd</t>
  </si>
  <si>
    <t>3rd - End</t>
  </si>
  <si>
    <t>2045 AADT</t>
  </si>
  <si>
    <t>Length</t>
  </si>
  <si>
    <t>Avg.</t>
  </si>
  <si>
    <t>2021 AADT</t>
  </si>
  <si>
    <t>Serious Injury</t>
  </si>
  <si>
    <t>Minor Injury</t>
  </si>
  <si>
    <t>Possible Injury</t>
  </si>
  <si>
    <t>Property Damage Only</t>
  </si>
  <si>
    <t>&lt;Null&gt;</t>
  </si>
  <si>
    <t>MN 19 &amp; Bruce</t>
  </si>
  <si>
    <t>MN 19 &amp; Greeley</t>
  </si>
  <si>
    <t>MN 19 &amp; Hill St</t>
  </si>
  <si>
    <t>MN 19 &amp; Legion Field</t>
  </si>
  <si>
    <t>MN 19 &amp; Lyon St</t>
  </si>
  <si>
    <t>MN 19 &amp; Main St</t>
  </si>
  <si>
    <t>MN 19 &amp; Marlene St</t>
  </si>
  <si>
    <t>MN 19 &amp; Marvin Schwan</t>
  </si>
  <si>
    <t>MN 19 &amp; N 3rd</t>
  </si>
  <si>
    <t>MN 19 &amp; Park Ave</t>
  </si>
  <si>
    <t>MN 19 &amp; S 4th St</t>
  </si>
  <si>
    <t>MN 19 &amp; Saratoga W</t>
  </si>
  <si>
    <t>MN 19 &amp; Whitney Dr</t>
  </si>
  <si>
    <t>COMMUNITY LIVABILITY (QUALITY OF LIFE) BENEFITS OF TRAIL FACILITY</t>
  </si>
  <si>
    <t>Impacted by New Bike Lane</t>
  </si>
  <si>
    <t>Annual Quality of Benefits</t>
  </si>
  <si>
    <t>Base year</t>
  </si>
  <si>
    <t>Existing Daily Cyclists - Commuter</t>
  </si>
  <si>
    <t>Existing Daily Cyclists - Recreational</t>
  </si>
  <si>
    <t>Mobility Cost Savings</t>
  </si>
  <si>
    <t>Increase Cycling Lane Miles</t>
  </si>
  <si>
    <t>Quality of Life Benefits</t>
  </si>
  <si>
    <t>New Dedicated Bike Lane Length (mi)</t>
  </si>
  <si>
    <r>
      <t>Table 1 - 2019 Population Near Project Area</t>
    </r>
    <r>
      <rPr>
        <b/>
        <vertAlign val="superscript"/>
        <sz val="11"/>
        <color theme="1"/>
        <rFont val="Calibri"/>
        <family val="2"/>
        <scheme val="minor"/>
      </rPr>
      <t>1</t>
    </r>
  </si>
  <si>
    <t>Distance from project</t>
  </si>
  <si>
    <t>Population</t>
  </si>
  <si>
    <t>Less than 1/4 mile</t>
  </si>
  <si>
    <t>1/4 mile to 1/2 mile</t>
  </si>
  <si>
    <t>1/2 mile to 1 mile</t>
  </si>
  <si>
    <t>Table 2 - Relevent Population Characteristics</t>
  </si>
  <si>
    <r>
      <t>Annual population growth rate</t>
    </r>
    <r>
      <rPr>
        <vertAlign val="superscript"/>
        <sz val="11"/>
        <color theme="1"/>
        <rFont val="Calibri"/>
        <family val="2"/>
        <scheme val="minor"/>
      </rPr>
      <t>2</t>
    </r>
  </si>
  <si>
    <r>
      <t>Population between 20-65 years old</t>
    </r>
    <r>
      <rPr>
        <vertAlign val="superscript"/>
        <sz val="11"/>
        <color theme="1"/>
        <rFont val="Calibri"/>
        <family val="2"/>
        <scheme val="minor"/>
      </rPr>
      <t>3</t>
    </r>
  </si>
  <si>
    <r>
      <t>Commute to work on bicycle</t>
    </r>
    <r>
      <rPr>
        <vertAlign val="superscript"/>
        <sz val="11"/>
        <color theme="1"/>
        <rFont val="Calibri"/>
        <family val="2"/>
        <scheme val="minor"/>
      </rPr>
      <t>4</t>
    </r>
  </si>
  <si>
    <r>
      <t>Adults who commute</t>
    </r>
    <r>
      <rPr>
        <vertAlign val="superscript"/>
        <sz val="11"/>
        <color theme="1"/>
        <rFont val="Calibri"/>
        <family val="2"/>
        <scheme val="minor"/>
      </rPr>
      <t>5</t>
    </r>
  </si>
  <si>
    <t>Rpt 552, page# 38</t>
  </si>
  <si>
    <r>
      <t>Average Cycling Trip Length (miles)</t>
    </r>
    <r>
      <rPr>
        <vertAlign val="superscript"/>
        <sz val="11"/>
        <color theme="1"/>
        <rFont val="Calibri"/>
        <family val="2"/>
        <scheme val="minor"/>
      </rPr>
      <t>6</t>
    </r>
  </si>
  <si>
    <t xml:space="preserve">Project length or average trip length, whichever is smaller. The estimated value per projected cyclist on a proposed facility should be capped at 2.38 miles, the average length of a cycling trip in the 2017 National Household Travel Survey </t>
  </si>
  <si>
    <t>Total daily adult cyclists</t>
  </si>
  <si>
    <r>
      <t>Table 3 - Existing Cyclists</t>
    </r>
    <r>
      <rPr>
        <b/>
        <vertAlign val="superscript"/>
        <sz val="11"/>
        <color theme="1"/>
        <rFont val="Calibri"/>
        <family val="2"/>
        <scheme val="minor"/>
      </rPr>
      <t>5</t>
    </r>
    <r>
      <rPr>
        <b/>
        <sz val="11"/>
        <color theme="1"/>
        <rFont val="Calibri"/>
        <family val="2"/>
        <scheme val="minor"/>
      </rPr>
      <t xml:space="preserve"> </t>
    </r>
    <r>
      <rPr>
        <b/>
        <i/>
        <sz val="11"/>
        <color theme="1"/>
        <rFont val="Calibri"/>
        <family val="2"/>
        <scheme val="minor"/>
      </rPr>
      <t>(Rpt 552 page 38-39)</t>
    </r>
  </si>
  <si>
    <t>Commuters</t>
  </si>
  <si>
    <t>Recreational</t>
  </si>
  <si>
    <t>All Adult Bicyclists</t>
  </si>
  <si>
    <t>Low Estimate</t>
  </si>
  <si>
    <t>Moderate Estimate</t>
  </si>
  <si>
    <t>High Estimate</t>
  </si>
  <si>
    <t>Existing daily cyclists (2019)</t>
  </si>
  <si>
    <t>Daily Total (2019)</t>
  </si>
  <si>
    <t>Moderate Estimate Assumed</t>
  </si>
  <si>
    <t>Table 4- Mobility Benefit Calculations</t>
  </si>
  <si>
    <t>Totals</t>
  </si>
  <si>
    <r>
      <t xml:space="preserve">Commuting days per year </t>
    </r>
    <r>
      <rPr>
        <vertAlign val="superscript"/>
        <sz val="11"/>
        <color theme="1"/>
        <rFont val="Calibri"/>
        <family val="2"/>
        <scheme val="minor"/>
      </rPr>
      <t>5</t>
    </r>
  </si>
  <si>
    <r>
      <t xml:space="preserve">Trips per day </t>
    </r>
    <r>
      <rPr>
        <vertAlign val="superscript"/>
        <sz val="11"/>
        <color theme="1"/>
        <rFont val="Calibri"/>
        <family val="2"/>
        <scheme val="minor"/>
      </rPr>
      <t>5</t>
    </r>
  </si>
  <si>
    <r>
      <t xml:space="preserve">Willingness to travel (minutes) </t>
    </r>
    <r>
      <rPr>
        <vertAlign val="superscript"/>
        <sz val="11"/>
        <color theme="1"/>
        <rFont val="Calibri"/>
        <family val="2"/>
        <scheme val="minor"/>
      </rPr>
      <t>5</t>
    </r>
  </si>
  <si>
    <r>
      <t xml:space="preserve">Mobility adjustment factor </t>
    </r>
    <r>
      <rPr>
        <vertAlign val="superscript"/>
        <sz val="11"/>
        <color theme="1"/>
        <rFont val="Calibri"/>
        <family val="2"/>
        <scheme val="minor"/>
      </rPr>
      <t>7</t>
    </r>
  </si>
  <si>
    <t xml:space="preserve">Population was determined using 2015 - 2019 American Community Survey Estimates at the 2010 census tract level. A buffer was created in GIS with no overlap. The census tract data was apportioned based on the area meaning if 25% of the tract was in the buffer than 25% of the population from the ACS estimates was included in the buffer. A Map showing the buffer is to the right of Table 1. </t>
  </si>
  <si>
    <r>
      <t>Dedicated Cycle Lane Value Per Bike Mile</t>
    </r>
    <r>
      <rPr>
        <vertAlign val="superscript"/>
        <sz val="11"/>
        <color theme="1"/>
        <rFont val="Calibri"/>
        <family val="2"/>
        <scheme val="minor"/>
      </rPr>
      <t>6</t>
    </r>
  </si>
  <si>
    <t>Rpt 552, page# 39 (50 wks, 5 days per week)</t>
  </si>
  <si>
    <r>
      <t xml:space="preserve">Table 5 - Inflation Factor </t>
    </r>
    <r>
      <rPr>
        <b/>
        <vertAlign val="superscript"/>
        <sz val="11"/>
        <color theme="1"/>
        <rFont val="Calibri"/>
        <family val="2"/>
        <scheme val="minor"/>
      </rPr>
      <t>6</t>
    </r>
  </si>
  <si>
    <t>Rpt 552, page# 39</t>
  </si>
  <si>
    <t>NCHRP 552 Logit model (page# D-11 Table 24): Facility D to A improvement is worth 21.6 min; B to A: 5.2 min; E to A: 30.5 min; and E to C: 16.4 min.</t>
  </si>
  <si>
    <t>Lyon County Census Quickfacts April 1, 2020 to July 1, 2021 to determine the annual population growth rate  https://www.census.gov/quickfacts/fact/table/lyoncountyminnesota/PST120221#PST120221</t>
  </si>
  <si>
    <t>Rpt 552, page# 36</t>
  </si>
  <si>
    <t>Fraction of riders accounted for mobility benefits</t>
  </si>
  <si>
    <t>Population percentage between 20-65 was determined by using the 2020 ACS 5-year estimates (Table S0101) https://data.census.gov/cedsci/table?q=S0101&amp;g=0500000US27083&amp;tid=ACSST5Y2020.S0101</t>
  </si>
  <si>
    <t>Rpt 552, page# 39, E-1</t>
  </si>
  <si>
    <t>4)</t>
  </si>
  <si>
    <r>
      <rPr>
        <sz val="11"/>
        <rFont val="Calibri"/>
        <family val="2"/>
        <scheme val="minor"/>
      </rPr>
      <t>Percentage of Cycling commuters were determined by using 2019 ACS 5-Year Estimates (Table S0801) for MN</t>
    </r>
    <r>
      <rPr>
        <u/>
        <sz val="11"/>
        <color theme="10"/>
        <rFont val="Calibri"/>
        <family val="2"/>
        <scheme val="minor"/>
      </rPr>
      <t xml:space="preserve"> </t>
    </r>
    <r>
      <rPr>
        <sz val="11"/>
        <rFont val="Calibri"/>
        <family val="2"/>
        <scheme val="minor"/>
      </rPr>
      <t>https://data.census.gov/cedsci/table?q=cycling%20commuter&amp;g=0400000US27&amp;tid=ACSST5Y2019.S0801</t>
    </r>
  </si>
  <si>
    <t>Page# 39 uses 365 days. 3 months were excluded to acount for the local weather conditions</t>
  </si>
  <si>
    <t xml:space="preserve">Values for bicycle demand and benefit calculations based on a methodology described in the National Cooperative Highway Research Program's (NCHRP) Report 552: Guidelines for Analysis of Investments in Bicycle Facilities (2006). (http://onlinepubs.trb.org/onlinepubs/nchrp/nchrp_rpt_552.pdf). </t>
  </si>
  <si>
    <t>6)</t>
  </si>
  <si>
    <t>Recommended values were obtained from Benefit-Cost Analysis Guidance for Discretionary Grant Programs - March 2022 (Revised).</t>
  </si>
  <si>
    <t>Rpt 552, page# 39, G-1</t>
  </si>
  <si>
    <t>7)</t>
  </si>
  <si>
    <r>
      <t>Mobility benefit methodology</t>
    </r>
    <r>
      <rPr>
        <vertAlign val="superscript"/>
        <sz val="11"/>
        <color theme="1"/>
        <rFont val="Calibri"/>
        <family val="2"/>
        <scheme val="minor"/>
      </rPr>
      <t>5</t>
    </r>
    <r>
      <rPr>
        <sz val="11"/>
        <color theme="1"/>
        <rFont val="Calibri"/>
        <family val="2"/>
        <scheme val="minor"/>
      </rPr>
      <t xml:space="preserve"> assumes, "no bicycle facility previously existed nearby, aside from streets with parking".</t>
    </r>
  </si>
  <si>
    <t>8)</t>
  </si>
  <si>
    <t>Benefit-Cost Analysis Guidance for BUILD Applications, January 2020 &amp; Implicit Price Deflators for Gross Domestic Product (Bureau of Economic Analysis). The recommended values for operative cost were inflated to year 2020 dollars from year 2018 dollars.</t>
  </si>
  <si>
    <r>
      <t xml:space="preserve">Page# 39: 3.5₵ </t>
    </r>
    <r>
      <rPr>
        <i/>
        <sz val="9.35"/>
        <color theme="0" tint="-0.499984740745262"/>
        <rFont val="Calibri"/>
        <family val="2"/>
      </rPr>
      <t>for Congestion, 4₵ for pollution, and 3₵ for user cost savings assuming the average between central city and suburban land uses.</t>
    </r>
  </si>
  <si>
    <t>Quality of Life</t>
  </si>
  <si>
    <t>RRFB</t>
  </si>
  <si>
    <t>CRASH_DATE_TIME</t>
  </si>
  <si>
    <t>STATUS_NOTE</t>
  </si>
  <si>
    <t>AGENCY_ORI</t>
  </si>
  <si>
    <t>AGENCY_ORI_GROUP</t>
  </si>
  <si>
    <t>02-USTH</t>
  </si>
  <si>
    <t>D8-WILLMAR</t>
  </si>
  <si>
    <t>03-Tues</t>
  </si>
  <si>
    <t>Sideswipe - Same Direction</t>
  </si>
  <si>
    <t>Motor Vehicle In Transport</t>
  </si>
  <si>
    <t>Not at Intersection or Interch</t>
  </si>
  <si>
    <t>Dark (Str Lights On)</t>
  </si>
  <si>
    <t>Clear</t>
  </si>
  <si>
    <t>Ice/Frost</t>
  </si>
  <si>
    <t>NOT APPLICABLE</t>
  </si>
  <si>
    <t>0200000000000059-I</t>
  </si>
  <si>
    <t>Sideswipe Same Direction</t>
  </si>
  <si>
    <t>Motor Vehicle in Transport</t>
  </si>
  <si>
    <t>Sport Utility Vehicle</t>
  </si>
  <si>
    <t>Turning Right</t>
  </si>
  <si>
    <t>Male</t>
  </si>
  <si>
    <t>Apparently Normal</t>
  </si>
  <si>
    <t>Not Applicable</t>
  </si>
  <si>
    <t>Straight</t>
  </si>
  <si>
    <t>Level</t>
  </si>
  <si>
    <t>Passenger Car</t>
  </si>
  <si>
    <t>Moving Forward</t>
  </si>
  <si>
    <t>Female</t>
  </si>
  <si>
    <t>No Clear Contributing Action</t>
  </si>
  <si>
    <t>Reportable</t>
  </si>
  <si>
    <t>Unknown</t>
  </si>
  <si>
    <t>02-Mon</t>
  </si>
  <si>
    <t>Utility Pole/Light Support</t>
  </si>
  <si>
    <t>Daylight</t>
  </si>
  <si>
    <t>Dry</t>
  </si>
  <si>
    <t>E MAIN ST</t>
  </si>
  <si>
    <t>Single Vehicle Run Off Road</t>
  </si>
  <si>
    <t>Medium / Heavy Trucks (More than 10,000lbs)</t>
  </si>
  <si>
    <t>Not on Roadway</t>
  </si>
  <si>
    <t>Backing</t>
  </si>
  <si>
    <t>Other Contributing Action</t>
  </si>
  <si>
    <t>Two-Way, Not Divided</t>
  </si>
  <si>
    <t>No Controls</t>
  </si>
  <si>
    <t>MN State Patrol District 2600 - St Cloud</t>
  </si>
  <si>
    <t>State Patrol</t>
  </si>
  <si>
    <t>V1 was an oversized load that State Patrol was escorting through the City of Marshall.  During the escort making the turn off of Highway 19 onto Highway 68 V1 had to back up.  V1 struck a utility/ light pole while backing up to make the turn.  Believe the rear escort was not paying attention to the load when it turned.  No injuries.  Marshall PD assisted at the scene with clean up.</t>
  </si>
  <si>
    <t>Cloudy</t>
  </si>
  <si>
    <t>Rear End</t>
  </si>
  <si>
    <t>Eastbound</t>
  </si>
  <si>
    <t>Traffic Control Signal</t>
  </si>
  <si>
    <t>North</t>
  </si>
  <si>
    <t>Angle</t>
  </si>
  <si>
    <t>Four-Way Intersection</t>
  </si>
  <si>
    <t>Northbound</t>
  </si>
  <si>
    <t>Failure to Yield Right-of-Way</t>
  </si>
  <si>
    <t>Marshall Police Dept</t>
  </si>
  <si>
    <t>Police</t>
  </si>
  <si>
    <t>Unit 1 was traveling east bound on East College Drive, approaching the intersection with West Main Street. It should be noted, this intersection is controlled by a traffic control signal. At the time of the crash, the traffic control signal was flashing red, and not fully operational as it was intended. Unit 1 stopped for the red flashing signal and began proceeding into the intersection. Unit 2 was traveling northwest on East Main Street, approaching East College Drive. Unit 2 stated she observed the other vehicles near her traveling through the intersection and assumed the traffic signal was green. Unit 2 struck Unit 1 while Unit 1 was in the intersection. Unit 2 stated she was unsure if she stopped for the flashing traffic signal.</t>
  </si>
  <si>
    <t>05-Thu</t>
  </si>
  <si>
    <t>West</t>
  </si>
  <si>
    <t>Intersection Related</t>
  </si>
  <si>
    <t>Westbound</t>
  </si>
  <si>
    <t>Improper Turn/Merge</t>
  </si>
  <si>
    <t>Other</t>
  </si>
  <si>
    <t>03-MNTH</t>
  </si>
  <si>
    <t>19-20279</t>
  </si>
  <si>
    <t>East</t>
  </si>
  <si>
    <t>Snow</t>
  </si>
  <si>
    <t>Blowing Sand/Soil/Dirt/Snow</t>
  </si>
  <si>
    <t>W COLLEGE DR</t>
  </si>
  <si>
    <t>COUNRTY CLUB DR</t>
  </si>
  <si>
    <t>0300000000000019-I</t>
  </si>
  <si>
    <t>Southbound</t>
  </si>
  <si>
    <t>Ran Red Light</t>
  </si>
  <si>
    <t>v1 was traveling north on S 2nd ST.  V1 driver said she had a green light.  V2 was traveling northeast on Country Club DR.  The vehicles collided in the middle of the intersection. 
The roads were snow and ice packed and there was blowing snow.</t>
  </si>
  <si>
    <t>21-15291</t>
  </si>
  <si>
    <t>Front to Rear</t>
  </si>
  <si>
    <t>E COLLEGE DR</t>
  </si>
  <si>
    <t>Pickup</t>
  </si>
  <si>
    <t>Driver Distracted</t>
  </si>
  <si>
    <t>Vehicle Stopped or Stalled in Roadway</t>
  </si>
  <si>
    <t>Driver 1 stated she was headed straight (in outside lane) on main when she was coming up to the intersection. She stated she was on a hands free device when she noticed something fall to the floor. She stated she looked down to see what it was. She stated she looked back up and noticed everyone stopped and ended up hitting the car in front of her. The driver provided her required information. While looking at the pickup truck, I observed minor to moderate damage to the front of the pickup. The pickup is still drivable. 
Driver 2 stated she was stopped at the light waiting when she was rear ended. I asked if she needed an ambulance. She stated she was not sure as her neck was hurting. She later stated she had previous issues with her head and neck/ headache and was worried about that. She stated she did not want an ambulance. She stated she would go to the ER and get checked out after she was free to leave. She stated she was transporting her mother and father in-law while the accident happened. She stated they were both fine. The driver provided her required information. In looking at the car, I observed moderate to heavy damage to the rear trunk area. The car was still drivable. 
Driver 3 stated he was sitting at the stoplight waiting for it to turn green when his vehicle was bumped slightly in the rear. He stated there was minor scratches and a dent in the rear bumper area. The car was drivable.</t>
  </si>
  <si>
    <t>19-4909</t>
  </si>
  <si>
    <t>SARATOGA ST</t>
  </si>
  <si>
    <t>Vehicle #1 was stopped for a red light on W. College DR. at the intersection with Saratoga ST. Vehicle #1 was traveling in a northeasterly direction. 
Vehicle #2 was also traveling northeasterly on W. College DR.  and approaching the intersection with Saratoga ST.  The driver indicated as he was approaching the intersection he had looked down at his cellular phone.  Vehicle #2 rear-ended Vehicle #1.</t>
  </si>
  <si>
    <t>06-Fri</t>
  </si>
  <si>
    <t>Left Turn</t>
  </si>
  <si>
    <t>Turning Left</t>
  </si>
  <si>
    <t>19-21422</t>
  </si>
  <si>
    <t>01-Sun</t>
  </si>
  <si>
    <t>Traffic Signal or Signal Structure</t>
  </si>
  <si>
    <t>Unit 1 was attempting to make a left hand turn off W College Drive on to E Saratoga Street. Unit 1 loss traction on snow covered roads and left the roadway. Unit 1 struck the southeastern traffic signal breaking the base and knocking it over. Unit 1 had moderate damage to the front bumper.</t>
  </si>
  <si>
    <t>Roadway Sign or Sign Structure</t>
  </si>
  <si>
    <t>20-2380</t>
  </si>
  <si>
    <t>04-Wed</t>
  </si>
  <si>
    <t>South</t>
  </si>
  <si>
    <t>Ran Stop Sign</t>
  </si>
  <si>
    <t>Unit 1 was travelling south on E College Drive approaching Main Street. Unit 2 was travelling eastbound on W Main Street and traveled into the intersection. Unit 2 had a green light and was behind 2 other vehicles. Unit 1 had a red light and was unable to stop and went into the intersection. Unit 1 was struck on the passenger side by Unit 2. Officer witnessed accident and had it recorded on squad camera.</t>
  </si>
  <si>
    <t>20-17136</t>
  </si>
  <si>
    <t>Vehicle #2 stopped in a northeasterly direction on College Dr. at the intersection with W. Main Street.  Driver #2 said she stopped for a red light at that location and waited for her light to turn green before proceeding forward.  Driver #2 said that as she was proceeding forward, she observed vehicle #1 traveling toward her vehicle so she turned to the right trying to keep vehicle #1 from crashing into her, but the two vehicles still crashed.  Vehicle #2 had the right of way.
Vehicle #1 was traveling in an easterly direction on W. Main Street.  Driver #1 said she remembers seeing her light yellow as she was approaching the intersection.  Driver #1 was not certain what color the light was when she entered the intersection.  Driver #1 said she did not see the other vehicle involved in the crash until they were about to crash.  Driver #1 failed to yield to the right of way of vehicle #2.  The passenger in vehicle #1 said that he was looking down at his phone and did not see anything until the crash happened.  He said he was not aware of what color the light was prior to the crash.</t>
  </si>
  <si>
    <t>T Intersection</t>
  </si>
  <si>
    <t>MARLENE ST</t>
  </si>
  <si>
    <t>Making a U Turn</t>
  </si>
  <si>
    <t>Vehicle #2 had been traveling east on W. College Dr.  Driver #2 partially turned onto Marlene Ave to make a U-turn.  As Vehicle #2 was in the process of a U-turn, Vehicle #1 was traveling east on W. College Dr and going through the intersection with W. College Dr.  Vehicle #2 struck Vehicle #1 in the side.</t>
  </si>
  <si>
    <t>Hit-And-Run Vehicle</t>
  </si>
  <si>
    <t>Hit and run with no veh information. Damaged State Highway Sign, Garbage Can and a utility box.</t>
  </si>
  <si>
    <t>07-Sat</t>
  </si>
  <si>
    <t>Parked Motor Vehicle</t>
  </si>
  <si>
    <t>Parked/Stalled Motor Vehicle</t>
  </si>
  <si>
    <t>20-1119</t>
  </si>
  <si>
    <t>Sunrise</t>
  </si>
  <si>
    <t>S 4TH ST</t>
  </si>
  <si>
    <t>Stop Sign</t>
  </si>
  <si>
    <t>Unit 1 was stopped at the stop sign of S 4th Street and W College Drive. Unit 2 was travelling westbound on W College Drive. Driver of Unit 1 didn't see Unit 2 and started to cross the roadway. Unit 1 failed to yield the right of way causing Unit 2 to strike it in the front passenger side. Unit 2 is a rental vehicle self insured by US Bank.</t>
  </si>
  <si>
    <t>Passenger Van (Seats Installed Behind Driver)</t>
  </si>
  <si>
    <t>20-9977</t>
  </si>
  <si>
    <t>Disregard Other Traffic Signs</t>
  </si>
  <si>
    <t>In speaking with driver of vehicle 1, he stated he was heading to a friends home and was looking at the map on his phone. He stated he was trying to figure out a way there due to construction on South 4th Street. He stated as he was trying to figure out how to get to his friends home, he never saw the stop sign. He stated he then hit the other vehicle. He later advised the car was not his, but family friends. He also stated he was only 17 years of age. He stated he was not hurt. A family member came and took custody of him due to his age. 
Vehicle 1 was not towed, but only received moderate damage to the front bumper area. No air bags went off. 
In speaking with driver 2, she stated she was heading west as she was going to work at the pool. She stated she was only going approx. 30 mph or less. She stated she briefly saw the white car and felt the hit. She indicated the car was her mothers and that she is only 19 years of age. She stated she only had some scrapes, belt burns, and minor cuts. 
Vehicle 2 received minor damage at point of contact. Due to point of contact on the rear passenger corner/ tire, the car spun around and flipped onto its driver side. It should be noted the fire department had to cut the front windshield out to get the driver out. 
In speaking with all witness, they all stated vehicle 2 was heading west on Hwy 19 (West College Drive) when vehicle 1 failed to stop at the stop sign. They stated the car was heading south on South 4th Street when it hit vehicle 2 in the intersection.</t>
  </si>
  <si>
    <t>20-10472</t>
  </si>
  <si>
    <t>Vehicle #2 was traveling westbound on W. College Dr./Hwy 19.  As the vehicle was traveling westbound at the intersection with S. 4th Street, vehicle #1 fail to yeild to the oncoming vehicle #2 and pulled out from the southbound traffic stop sign and crashed into vehicle #2.
Driver #1 said she stopped for the stop sign southbound on S. 4th Street.  She stated she observed vehicle #2 traveling westbound, but she thought the driver was slowing down so she started to cross over W. College Dr. and her vehicle crashed into vehicle #2.
Driver #1 and vehicle #1 left the scene prior to officer arrival so information was gathered over the phone regarding this vehicle/driver.
Photographs of vehicle #2 were taken and will be included with kept with this case file at the Marshall Police Dept.</t>
  </si>
  <si>
    <t>Unit 1 was traveling Eastbound on West College Drive approaching the intersection with South 4th Street. Unit 2 was southbound on South 4th Street, went through a stop sign at West College Drive without stopping while attempting to continue southbound on South 4th Street. Unit 1 collided with Unit 2 in the intersection of West College Drive and South 4th Street.</t>
  </si>
  <si>
    <t>Rain</t>
  </si>
  <si>
    <t>Sleet, Hail (Freezing Rain/Drizzle)</t>
  </si>
  <si>
    <t>Wet</t>
  </si>
  <si>
    <t>Operated Motor Vehicle: Careless/Negligent/Erratic</t>
  </si>
  <si>
    <t>Sideswipe - Opposing</t>
  </si>
  <si>
    <t>Sideswipe Opposing</t>
  </si>
  <si>
    <t>19-19365</t>
  </si>
  <si>
    <t>Pedestrian</t>
  </si>
  <si>
    <t>Walk/Cycle Across Traffic (X-ing)</t>
  </si>
  <si>
    <t>Intersection - Marked Crosswalk</t>
  </si>
  <si>
    <t>Vehicle #1 was traveling easterly on W. College Dr.  Vehicle #1 was passing trough the intersection with Saratoga Street.  Vehicle #1 had a green light to pass through the interesction.  As Vehicle #1 passed through the interestion and was nearing the cross walki on the east side of the interection the signal light turned yellow.  When Vehicle #1 passed trough the cross walk Pedestrian #1 had entered the crossed walk on a a red light (Don't Walk signal) and was struck by Vehicle #1.  Pedestrian #1 refused medical treatment.</t>
  </si>
  <si>
    <t>Following Too Closely</t>
  </si>
  <si>
    <t>Unit 1 was stopped at the stop light on West Main Street at East College Drive. Unit 2 was directly behind Unit 1. Unit 1 stated Unit 2 rear ended her while she was at the stop light. Both drivers agreed to pull over off the roadway. Unit 1 stated Unit 2 did not pull over and drove away from the scene.
Unit 2 was later identified and found to have a revoked driver's license.</t>
  </si>
  <si>
    <t>21-11628</t>
  </si>
  <si>
    <t>Curve Right</t>
  </si>
  <si>
    <t>Curve Left</t>
  </si>
  <si>
    <t>Unit 1 was westbound on W College Drive approaching the W College Drive/Country Club Drive intersections. Unit 2 was eastbound on W College Drive and thought he had observed his dogs running out in the road as he lives close by. Unit 2 attempted a left hand turn in to a parking lot and struck the rear drivers side of Unit 1.</t>
  </si>
  <si>
    <t>Failure to Obey Traffic Signs, Signals, Officer</t>
  </si>
  <si>
    <t>Driveway Access Related</t>
  </si>
  <si>
    <t>Leaving Traffic Lane</t>
  </si>
  <si>
    <t>Driver of Vehicle #1 was traveling NE on College Drive, driver of Vehicle #2 was traveling behind Vehicle #1. Vehicle #1 slowed down and began to take a right hand turn into the Bremmer Bank parking lot. While turning, Vehicle #1 was struck by the driver of Vehicle #2 from the rear.
Passenger of Vehicle #2 said she may have distracted the driver by asking questions regarding her cell phone. driver of Vehicle #2 said she was not distracted.</t>
  </si>
  <si>
    <t>Unit 1 was traveling west on East College Drive, traveling through the intersection with Bruce Street. Unit 2 was exiting the Speedway (1001 East College Drive) parking lot, attempting to turn east onto East College Drive. Unit 2, while attempting to turn left out of the parking lot, turned in front of Unit 1. Unit 1 collided with Unit 2. Driver of Unit 2 states Unit 1 ran a red light at the intersection of East College Drive and Bruce Street. Unit 1 states the traffic signal was yellow when she proceeded through the intersection.</t>
  </si>
  <si>
    <t>19-7252</t>
  </si>
  <si>
    <t>Two-Way, Not Divided, Continous LTL</t>
  </si>
  <si>
    <t>Unit 1 was traveling westbound on E. College Dr. Unit 1 stopped for red light at the intersection of E. College Dr. and Bruce St. Unit 2 failed to stop. Unit 2 rear-ended Unit 1. Unit 1 suffered minor damage to the rear end of the vehicle. Unit 2 suffered severe damage to the front of the vehicle. Driver of Unit 2 was cited for failure to drive with due care.</t>
  </si>
  <si>
    <t>21-13661</t>
  </si>
  <si>
    <t>Sunset</t>
  </si>
  <si>
    <t>Other Personal Conveyance</t>
  </si>
  <si>
    <t>Walk/Cycle With Traffic</t>
  </si>
  <si>
    <t>Travel Lane - Other Location</t>
  </si>
  <si>
    <t>Unit 2 was southbound on Saratoga ST.  Unit 2 was she had a green light and was proceeding southbound.  Unit 1 is a Himiway ebike.  Unit 1 was traveling westbound on W College DR when if failed to stop at the red semaphore.  Unit 1 continued into the intersection and collided into the drivers side of unit 2.  
Witness 1 stated she was westbound on W College DR.  The unit 1 was in front of her a little ways.  She said she observed unit 1 drive though the red light and collide into unit 2.  She wasn't sure how fast he was going.  She said she isn't a good judge on estimating speed.  She said that once unit 1 driver saw the van he "did something" but wasn't stopping.  
Witness 2 stated she was stopped at the red light on W College DR facing east.  She observed unit 1 drive though the red light and collide into unit 2.
While on scene and while unit 1 driver was talking with the ambulance staff, I heard him say the sun was in his eyes and he ran into a car.
On 09-24-21, I spoke with Avera Sioux Falls hospital and they advised unit 1 driver is in stable condition.</t>
  </si>
  <si>
    <t>Pedalcyclist (Bicyclist)</t>
  </si>
  <si>
    <t>Bike</t>
  </si>
  <si>
    <t>Bicycle</t>
  </si>
  <si>
    <t>20-1075</t>
  </si>
  <si>
    <t>Unit 1 was stopped at a red light facing northeast on W College Drive at the intersection of W College Drive/Saratoga St. Unit 2 was approaching the intersection and slid on a patch of ice striking Unit 1 in the rear. Both vehicles sustained damage.</t>
  </si>
  <si>
    <t>Other - Fixed Object</t>
  </si>
  <si>
    <t>W MAIN ST</t>
  </si>
  <si>
    <t>0300000000000068-I</t>
  </si>
  <si>
    <t>Vehicle #1 had been traveling southeasterly on W. Main ST.  At the infection with W. College DR, the driver made a right-hand turn.  Because of a recent snow fall, snow crews had piled snow in the middle of the roadways. Because of that the driver was not able to take a wide turn and the rear wheels on the trailer that was being pulled ran over 3- decorative cast bollards.</t>
  </si>
  <si>
    <t>Has Been Drinking Alcohol</t>
  </si>
  <si>
    <t>21-12838</t>
  </si>
  <si>
    <t>MARVIN SCHWAN MEMORIAL DRIVE</t>
  </si>
  <si>
    <t>On September 8th 2021 at approx. 1238 hours Marshall PD was advised of an accident that occurred in the area of West College Drive and Marvin Schwan Memorial Drive. 
I arrived on scene just behind Cpl. Rieke. I observed two vehicle with moderate damage. I observed vehicle 1 sitting on the right side of the driving lane with moderate front end damage. I observed a lone male who was later identified as the driver. I then observed a red car in front of vehicle 1. This vehicle (vehicle 2) had moderate damage to the rear of the car. This car was also sitting at an angle due to the impact. The front of the car was facing north while the rear of the car was facing south. It should be noted the street is going Northeast/Southwest. In vehicle 2 I located a single female in the driver seat. She was crying and in neck pain due to the accident. She was later treated and transported to the Marshall Avera ER by North Memorial EMS. I was later informed by Cpl. Rieke that Vehicle 2 had rear ended vehicle 3. He stated vehicle 2 hit the back driver side bumper of vehicle 3 with the front passenger side bumper of vehicle 2. Damage to Vehicle 3 was minor while damage to vehicle 2 was minor to moderate. 
In speaking with driver 1 of vehicle 1, he stated he left home and was heading to the job site. He stated he did not know the address so he was looking it up/ using the vehicle in dash map. He admitted he did not have the hands free/ voice app active. He stated he was looking at the map when he rear ended vehicle 2. He stated he hit his brakes, but still hit vehicle 2. Driver 1 was later cited and told court was mandatory. 
In speaking with driver 2 of vehicle 2 at the Marshall Avera ER, she stated she first saw vehicle 1 coming towards her intersection before the crash. She stated she did not think he was going to stop then. She stated she then went and stopped in the street due to stopped traffic in front of her. She stated she noticed vehicle 1 coming up on her rear really fast. She stated she again did not think they were going to stop. She stated the next thing she knew she was hit from the rear. 
I learned from Cpl. Rieke that driver 3 only felt a small bump as his vehicle was hit. He stated he did not see or hear anything other than the bump.</t>
  </si>
  <si>
    <t>19-10007</t>
  </si>
  <si>
    <t>Other Post, Pole or Support</t>
  </si>
  <si>
    <t>Vehicle #1 had been traveling southwesterly on E.College DR.  At the intersection with W. Main ST., the driver made a right turn.  While in the turn, the trailer of the unit struck the two Bollards which were positioned near the curb, at the intersection.</t>
  </si>
  <si>
    <t>Front to Front</t>
  </si>
  <si>
    <t>Unit 1 states she was stopped at the traffic signal on West Main Street at the intersection of West College Drive. Unit 1 states she was waiting for the red light. Unit 1 states she was rear-ended by a white, newer style pickup. The driver of the pickup flagged her to go forward. When she pulled over, the driver of the pickup drove off.</t>
  </si>
  <si>
    <t>05-MSAS</t>
  </si>
  <si>
    <t>S BRUCE ST</t>
  </si>
  <si>
    <t>0500023950220107-I</t>
  </si>
  <si>
    <t>Unit 1 was travelling south on South Bruce Street.  Unit 1 stopped for a vehicle waiting to turn left into a parking lot.  Unit 2 tried to stop, but was unable to due to the slippery road conditions.  Unit 2 struck the rear end of Unit 1.</t>
  </si>
  <si>
    <t>20-13041</t>
  </si>
  <si>
    <t>Amended Draft</t>
  </si>
  <si>
    <t>Vehicle 2 driver stated he was stopped at the red light for the College &amp; Main Street light. He stated he was on West College Drive waiting to go through the intersection when he was rear ended. He stated after the accident, the passenger stated his back and neck started to hurt. Driver 2 stated he was fine. 
Driver 1 stated he was heading north from West College over Main Street to East College Drive. He stated when he looked up he thought the light was green when in actuality it was red. He stated he rear ended the vehicle in front of him. 
While looking at both cars, I found very minor damage. Vehicle 1 passenger was later taken to Avera ER by EMS for his back and neck issues. The passenger stated he just moved back to Minnesota and is living with Driver 1. Passenger has a MN and IA driver license.</t>
  </si>
  <si>
    <t>19-2068</t>
  </si>
  <si>
    <t>Head On</t>
  </si>
  <si>
    <t>Unit 1 was travelling southbound on N Bruce Street approaching the intersection of N Bruce Street and E College Drive. Unit 2 was attempting to turn left on to E College Drive from S Bruce Street. Both units had green lights. Unit 2 failed to yield the right of way to Unit 1 and struck Unit 1 on the front driver's side.</t>
  </si>
  <si>
    <t>Unit 1 was traveling West on E College Drive towards the intersection of E College Dr and Bruce St. Unit 1 entered the intersection, while the semaphore showed a green light, in order to make a left-hand turn onto S Bruce St. Unit 2 was approaching the same intersection while traveling East on E College Dr. Unit 1 observed that the semaphore turned to yellow and then red, and instead of yielding the right-of-way to unit 2, it began maneuvering a left-hand turn. Unit 1 began its left hand turn, but the road conditions were icy and slick. Unit 2 could not slow down to avoid a collision with Unit 1 also due to the conditions. While conducting the left hand turn, Unit 1 collided into Unit 2's front driver's side quarter panel and drivers door. The collision caused Unit 2 to skid into a Push Button Pedestrian Crossing System thus uprooting the device from the concrete sidewalk. Unit 2 received disabling damage to its front driver's side tire due to the initial collision rendering the vehicle inoperable. The driver's side door of Unit 2 was also severely damaged. Unit 1 had moderate damage centralized on the front bumper.</t>
  </si>
  <si>
    <t>Flashing Overhead Traffic Cont</t>
  </si>
  <si>
    <t>Has Been Taking Illicit Drugs</t>
  </si>
  <si>
    <t>MN State Patrol District 2300 - Marshall</t>
  </si>
  <si>
    <t>This crash involves a State Patrol Unit (V1) pursuing a vehicle (V2) that fled from a traffic stop.  V1 had stopped vehicle and made contact with driver.  Upon driver being told he was under arrest, he fled.  V1 gave pursuit and attempted two intentional contacts to get the vehicle stopped.  Minor damage to V2 and V1 occurred during those attempts.  V1 also completed a successful Pursuit Intervention Techique, but V2 did not stall out and was able to continue on.  Damage to right rear of V2 and left front of V1 occurred during this contact.</t>
  </si>
  <si>
    <t>W LYON ST</t>
  </si>
  <si>
    <t>Vehicle #1 was stopped for the traffic light on E. College DR at the intersection with W. Lyon ST.
Vehicle #2 came up behind Vehicle #1 and did not come to a full stop before crashing into Vehicle #1.</t>
  </si>
  <si>
    <t>Unit 1 was heading East on East College Drive. Unit 2 was travelling directly behind Unit 1. When attempting to brake at the West Lyon/East College Drive intersection, Unit 2 rear ended Unit 1.</t>
  </si>
  <si>
    <t>19-14970</t>
  </si>
  <si>
    <t>Hillcrest</t>
  </si>
  <si>
    <t>Driver of vehicle 1 stated he was turning left from North Bruce Street onto East College Drive. He stated as he was in the other lane, vehicle 2 had hit him and spun the truck around. It should be noted the signal only has green lights. No arrows. 
Driver of vehicle 2 stated she was heading north on Bruce street when she hit vehicle 1 on the passenger door area as it was turning left. She stated vehicle 1 turned in front of her. 
In speaking with a witness, she stated vehicle 1 had turned in front of vehicle 2 as vehicle 1 was going straight. 
Vehicle 1 received moderate damage to the passenger side door area. Vehicle 2 received moderate to heavy damage to the front. Vehicle 2 was towed from the scene. No one was injured. Pictures of the scene were taken. It should be noted driver 2 is valid to drive in state of Virginia, but suspended in Minnesota. She was advised of this and to also update her DL info/ address.</t>
  </si>
  <si>
    <t>19-18313</t>
  </si>
  <si>
    <t>0500023950220111-I</t>
  </si>
  <si>
    <t>Unit 1 was travelling westbound on E Saratoga Street approaching W College Drive. Unit 1 had a green light and attempted a left hand turn to turn on to W College Drive. Unit 1 turned to sharp and struck Unit 2 disabling both vehicles.</t>
  </si>
  <si>
    <t>Slowing</t>
  </si>
  <si>
    <t>Medical Issue (Ill, Sick or Fainted)</t>
  </si>
  <si>
    <t>Standing Tree/Shrubbery</t>
  </si>
  <si>
    <t>Unit 1 was traveling west on East College Drive. Unit 1 struck curb on East College Drive and drove over a tree located at the intersection of East College Drive and North 3rd Street. Unit 1 then continued heading west on East College Drive.</t>
  </si>
  <si>
    <t>0500023950220115-I</t>
  </si>
  <si>
    <t>Unit 1 was traveling S. on N. Bruce St. and made a right turn onto W. bound E. College Dr. when the traffic control device turned green. Unit 2 was traveling N. on S. Bruce St. and made a left hand turn at the intersection to also travel W. bound on E. College Dr. The vehicles turned at the same time and collided with each other in the W. bound lanes of E. College Dr. Unit 1 sustained damage to the front driver side headlight area and Unit 2 sustained damage all along the passenger side of the vehicle- scrapes /dents front he front passenger side door to the rear passenger side door.</t>
  </si>
  <si>
    <t>Swerved or Attempt to Avoid Object in Roadway</t>
  </si>
  <si>
    <t>Unit 1 was Westbound on East College drive arriving at a road curve to the left. Unit 2 was driving eastbound on East College Drive and lost control around the curve. Unit 2 entered Unit 1s lane of travel. Unit 2 attempted to gain control and struck Unit 1 with the front drivers side bumper to Unit 1's Passenger side front bumper.</t>
  </si>
  <si>
    <t>10-MUN</t>
  </si>
  <si>
    <t>HILL ST</t>
  </si>
  <si>
    <t>1000023950220012-I</t>
  </si>
  <si>
    <t>Two-Way, Divided, No Median Barrier</t>
  </si>
  <si>
    <t>Downhill</t>
  </si>
  <si>
    <t>Unit 1 was stopped at the stop sign on South Hill Street at East College Drive. Unit 2 was traveling north on South Hill Street, approaching Unit 1. It should be noted, the roads were snow/ice packed at the time of the crash. Unit 2 stated he was going too fast and was unable to stop his vehicle. Unit 2 ran into the rear end of Unit 1.</t>
  </si>
  <si>
    <t>20-1000</t>
  </si>
  <si>
    <t>Unit 1 was travelling westbound on the 600 block of E College Drive. Driver was travelling behind witness to the accident. A vehicle had pulled out in front of the vehicle the witness was driving and he tapped his brakes but didn't stop. Unit 1 was unable to stop and left the roadway into the north snow embankment. Unit 1 was towed out of the snowbank by Pulver's Towing.</t>
  </si>
  <si>
    <t>Other Light Trucks (10,000lbs)</t>
  </si>
  <si>
    <t>Unit 3 was traveling eastbound on E. College Dr. Unit 2 was traveling behind Unit 3 traveling eastbound. Unit 1 was behind Unit 2 traveling eastbound on E. College Dr. Unit 3 began to slow down to make a right hand turn into the alleyway between S. Hill St. and S. Whitney St. Unit 2 began to brake. Unit 1 did not see Unit 2 braking. Unit 1 rear-ended Unit 2, causing Unit 2 to rear-end Unit 3. Unit 3 turned into the alleyway, while Unit 2 and Unit 1 stayed on E. College Dr. Unit suffered damage to the front end. Unit 2 was disabled due to front-end and rear-end damage. Unit 3 suffered minor scratches and a dent on the driver's side rear quarter panel. Unit was towed by Pulver's Towing to their lot. All three driver's stated they were not injured.</t>
  </si>
  <si>
    <t>WHITNEY ST</t>
  </si>
  <si>
    <t>1000023950220014-D</t>
  </si>
  <si>
    <t>No Improper Action</t>
  </si>
  <si>
    <t>Unit #2 said they were crossing S.Whitney street traveling west on E. College St. he said he was riding his bike while crossing. He said he was then struck by Unit #1 as he was in the intersection. 
Driver of Unit #1 said he was traveling south on N. Whitney street, stopped at the stop sign. He said when he saw there was an opening in the line of traffic on E.College he started to cross E. College to S. Whitney St. he said as he crossed he was entering S.Whitney St he observed Unit #1 in the crosswalk. He stated he attempted to stop before striking Unit #2, but was unable to.
Operator of Unit #2 was struck and his knee was scrapped up.</t>
  </si>
  <si>
    <t>Operated Vehicle: Reckless/Aggressive</t>
  </si>
  <si>
    <t>Vehicle 1 was heading E on E College Dr and Vehicle 2 was heading the opposite direction. The driver of vehicle 1 was intoxicated and suicidal. According to a witness, Vehicle 1 hit the passenger side curb after passing Minnesota St. on E College Dr., regained control, and then went directly over the center line/turn lane striking Vehicle 2 head on. At the scene, the driver of Vehicle 1 admitted to using/drinking a lot of alcohol before driving and to wanting to end his life. The driver of vehicle 1 did not sustain any injuries and was transported to Avera for a mental health evaluation. Vehicle 1's air bag deployed and sustained damage to the front bumper and driver's side door area. The driver's side door had to be pried open to get the driver out. The driver of Vehicle 2 sustained significant injuries to his lower extremities. Vehicle 2 sustained damage to the front of the vehicle and the entire driver's side corner was pushed in. The top of the vehicle was removed by the fire department to get the driver out. Both vehicles were towed by Pulver Towing.</t>
  </si>
  <si>
    <t>N BRUCE ST</t>
  </si>
  <si>
    <t>Unit 1 was traveling westbound in the left lane on East College Drive, approaching North Bruce Street.  Unit 2 was traveling eastbound on East College Drive, approaching North Bruce Street.  The traffic signal at the intersection was green for both eastbound and westbound traffic on East College Drive.  Unit 2 made a left turn onto North Bruce Street in front of Unit 1.  Unit 1 was unable to stop and collided with the rear passenger side of Unit 2.  The rear passenger side wheel broke free from the axle on Unit 2 and was lodged under the front of Unit 1.  Unit 1 traveled approximately 100 feet before coming to a stop on the westbound sidewalk, in front of 1000 East College Drive.  Unit 2 appeared to have spun 180 degrees and came to a stop on the sidewalk on the northeast corner of the intersection.  Unit 2 collided with and knocked over a crosswalk button post, then collided with the sign for Dominos Pizza, before coming to a stop.  The driver of Unit 2 fled from the scene on foot.
The driver of Unit 1 stated he was traveling westbound in the left lane on East College Drive.  As he approached the intersection of N Bruce St, he observed two vehicles in the left turn lane, with their turn signals activated, make left turns to the north on N Bruce St.    The driver of Unit 1 stated when he saw the vehicles begin to turn, he started to slow down by applying brakes.  He stated he looked at his speed before slowing, and he was going approximately 35 mph.  He said the vehicle was not in the left turn lane and did not have a turn signal on.  He said He said he noticed a third vehicle (Unit 2) a short distance behind the first two that turned.  He said the vehicle did not have a turn signal activated.  He stated his foot was still on the brake, and he was likely traveling 30mph or less.  He stated he observed the vehicle abruptly turn in front of him.  He stated he steered Unit 1 to the left and applied more brake.  He said he was unable to avoid the collision.
The passenger in Unit 1 stated that she wasn't paying much attention to what was going on.  She stated she was looking at her phone changing music and looked up briefly before the crash.  She stated she observed Unit 2 turned in front of Unit 1.  She stated she felt the driver of Unit 1 apply the brakes, but they weren't able to stop.  She was seen at Avera ER and stated she had minor injuries to her knees and soreness from the seatbelt.
Witnesses #1 and #2 state they believed Unit 1 was traveling well over the posted speed limit.  They estimated Unit 1's speed to be 40-45mph.  They stated that they could hear the tires were very loud, which indicated to them the vehicle was traveling very fast.  They stated the sound of the tires is what drew their attention to the vehicle before the crash had occurred.  They had no other references to determine the speed of Unit 1.
While inspecting vehicle damage, I noticed the Ram had a more aggressive all-terrain type tire, which could account for the louder sound on the roadway.
Witness #3 provided her information at the crash scene but has not returned any phone calls for a statement.
The driver of Unit 2 was later located but provided no statement.</t>
  </si>
  <si>
    <t>Unit 1 was driving Northbound on Bruce Street, attempting to cross over East College Drive. Unit 2 was driving southbound attempting to turn Eastbound on East college Drive. Unit 2 crossed into Unit 1's direction of travel and Unit 1 struck Unit 2. One witness observed the event.</t>
  </si>
  <si>
    <t>Unit 1 was southbound on North Bruce Street making a left turn onto Eastbound East College Drive. Unit 2 was northbound on South Bruce Street. Unit 2 was proceeding south through the intersection with East College Drive to continue north on North Bruce Street. Unit 1 and Unit 2 collided in the middle of the intersection.</t>
  </si>
  <si>
    <t>20-2418</t>
  </si>
  <si>
    <t>Uphill</t>
  </si>
  <si>
    <t>Unit 1 was stopped facing south at a red light on N Bruce Street attempting to make a right turn. Unit 2 approached the intersection and struck Unit 1 in the rear. Driver of Unit 2 had no recollection of accident. Unit 1 was pushed into the intersection after being struck by Unit 2. Unit 1 then struck Unit 3 on the drivers side.</t>
  </si>
  <si>
    <t>1000023950220049-I</t>
  </si>
  <si>
    <t>Unit 2 was slowing and then came to a stop at the stop light in the southbound straight away lane on E. College Dr. at the intersection at W. Lyon St. Unit 2 stopped at the red light and was then rear ended by unit 1. The driver of unit 1 stated she was reaching for her sandwich and didn't see the light had turned red. Unit 1 sustained damage to the front bumper area and unit 2 sustained damage to the rear of the vehicle. Unit 2 had a single passenger in the front passenger's seat. The driver of unit 2 was taker to the hospital as a precaution. The passenger of unit 2 stated she did not have any injuries.</t>
  </si>
  <si>
    <t>21-8532</t>
  </si>
  <si>
    <t>Unit 1 was on E Main Street facing northwest at the intersection of E Main Street and E College Drive. Unit 1 was stopped for a red light and attempting a right hand turn on to E College Drive. Unit 1 was waiting for a pedestrian in the crosswalk. Unit 2 was northeast bound on E College Drive and had a green light. Unit 1 didn't see Unit 2 and turned on to E College Drive striking Unit 2 in the rear passenger side.</t>
  </si>
  <si>
    <t>21-3801</t>
  </si>
  <si>
    <t>Unit 1 was traveling E on W Main St. and made a left turn at the intersection of W Main St. and W College Dr. in Marshall. When unit 1 turned onto W College Dr., he pack of the semi trailer (ME LIC 2442427) struck two green pylons that were along the sidewalk at the intersection of W Main St. and W College Dr. 219 observed and witnessed the crash as it occurred. Officer 219 made contact with driver and collected information.</t>
  </si>
  <si>
    <t>21-4344</t>
  </si>
  <si>
    <t>Semi Truck and Trailer #1 was making a right turn from E. College Dr. onto W. Main Street.  During the turn, the trailer left the roadway and crashed into four green bollards along the northwest curb and caused damage to them.  A witness observed the crash and reported it to the Marshall Police Dept.  The witness also provided the trailer license plate and advised that the semi was currently stopped near Turkey Valley.  Officer VanLeeuwe located the semi and spoke with the driver.  Driver #1 said he was aware of the accident, but due to traffic was not able to stop at that location.  He had not yet been able to report the accident at the time he was contacted, but he planned to go back and report the accident.  Officer VanLeeuwe observed green paint transfer along the right side of the semi trailer and green scuff marks on the right rear semi tires.  This damage was consistent with the reported damage to the green bollards.  Officer Kelly assessed the damaged bollards.  Photographs of the bollards and semi/semi trailer will be saved with this case file at the Marshall Police Dept.
Semi insured by United Specialty Ins. Co. at phone (800) 597-6148.
Policy # GWP 62822-00</t>
  </si>
  <si>
    <t>Other Traffic Barrier</t>
  </si>
  <si>
    <t>Swerved or Avoided Due to Wind</t>
  </si>
  <si>
    <t>Driver of Veh #1 said while he was making a right hand turn onto West Main street a oncoming vehicle of approaching him, not allowing him to make a wide enough turn. He said he either would have had to hit the oncoming vehicle or sharply turn. He said he turned sharply casuing the trailer to hit 3 bollards on the sidewalk.</t>
  </si>
  <si>
    <t>Other Bus</t>
  </si>
  <si>
    <t>Veh #1 was traveling N bound on Bruce St through the intersection of Bruce and E. Collge Dr., While in the intersection it was struck by Veh #2 in the right front quarter panel. driver of Veh #1 said he had a green light. Driver of Veh #2 stated she was talking to her friend in the passenger seat and when she looked back at the road she was already in the intersection, and observed the traffic light was red. She stated she had very little time to react before the crash but tried to turn left and break. She was traveling W on E. College Drive.</t>
  </si>
  <si>
    <t>1000023950220014-I</t>
  </si>
  <si>
    <t>Complainant noticed her vehicle was hit overnight by an unknown vehicle</t>
  </si>
  <si>
    <t>21-18860</t>
  </si>
  <si>
    <t>Unit 1 was attempting to take a left hand turn from E College Drive on to W Lyon Street. Unit 2 was travelling southbound on E College Drive. Both Units had green lights. Driver of Unit 1 didn't see Unit 2 and started to turn. Unit 2 struck Unit 1 causing moderate damage to both vehicles.</t>
  </si>
  <si>
    <t>Unit 2 was approaching a 4 way intersection and was intending to continue forward as the semaphore indicated a green light. When crossing the intersection, Unit 1 began maneuvering a left hand turn, crossing in front of Unit 2. Unit 2 swerved to avoid Unit 1 and collided with the passenger side wheel well of Unit 1. Minor damage was sustained to both vehicles.</t>
  </si>
  <si>
    <t>S 2ND ST</t>
  </si>
  <si>
    <t>1000023950220066-I</t>
  </si>
  <si>
    <t>Unit 1 was stopped at a semaphore waiting to continue forward. The driver of Unit 2 was approaching the rear of Unit 1 slowly and an item had fallen inside of the vehicle thus distracting the driver of Unit 2 for a brief moment. Unit 2 then collided with the rear of Unit 1 causing minor damage to the rear bumper area of Unit 1.</t>
  </si>
  <si>
    <t>20-12724</t>
  </si>
  <si>
    <t>GREELEY ST</t>
  </si>
  <si>
    <t>1000023950220069-I</t>
  </si>
  <si>
    <t>Walk/Cycle on Sidewalk</t>
  </si>
  <si>
    <t>Unit 1 was stopped at the stop sign on Greeley ST.  Driver said she was waiting to make a right turn onto W. College DR.  When she proceeded she collided with Unit 2.  
Unit 2 was a bicyclist.  Unit 2 was biking on the sidewalk along W. College DR, going west.  Unit 2 operator said Unit 1 was stopped behind the crosswalk.  Unit 2 operator said he thought Unit 1 was stopped waiting for him to cross.  He continued to bike across Greeley ST in the sidewalk.  Unit 2 said Unit 1 started to go forward, so unit 2 tried to swerve his bicycle to get out of the way, but was struck.</t>
  </si>
  <si>
    <t>OBJECTID *</t>
  </si>
  <si>
    <t>Shape *</t>
  </si>
  <si>
    <t>Join_Count</t>
  </si>
  <si>
    <t>TARGET_FID</t>
  </si>
  <si>
    <t>Id</t>
  </si>
  <si>
    <t>Intersect</t>
  </si>
  <si>
    <t>Point</t>
  </si>
  <si>
    <t>MN 19 &amp; CC Dr</t>
  </si>
  <si>
    <t>MN 19 &amp; Redwood</t>
  </si>
  <si>
    <t>MN 19 &amp; Marshall</t>
  </si>
  <si>
    <t>MN 19 &amp; High St</t>
  </si>
  <si>
    <t>AADT Based Estimates</t>
  </si>
  <si>
    <t>AADT Base Estimates</t>
  </si>
  <si>
    <t>Current Date</t>
  </si>
  <si>
    <t>Oldest</t>
  </si>
  <si>
    <t>Number of Years</t>
  </si>
  <si>
    <t>Cost Over Period</t>
  </si>
  <si>
    <t>Yearly Cost</t>
  </si>
  <si>
    <t>Inflation from year 2022 to 2021 from GDP Deflators</t>
  </si>
  <si>
    <t>No Build Annual Delay VHT</t>
  </si>
  <si>
    <t>Build - Annual Delay VHT</t>
  </si>
  <si>
    <t>Delay Differences</t>
  </si>
  <si>
    <t>Number</t>
  </si>
  <si>
    <t>AM App</t>
  </si>
  <si>
    <t>MD App</t>
  </si>
  <si>
    <t>PM App</t>
  </si>
  <si>
    <t>AVG</t>
  </si>
  <si>
    <t>No-Build Conditions</t>
  </si>
  <si>
    <t>Build Conditions</t>
  </si>
  <si>
    <t>Route Length (miles)</t>
  </si>
  <si>
    <t>2021-2045</t>
  </si>
  <si>
    <t>Base Cost</t>
  </si>
  <si>
    <t>10 Year Growth Rate</t>
  </si>
  <si>
    <t>Annual</t>
  </si>
  <si>
    <t>Weight</t>
  </si>
  <si>
    <r>
      <t xml:space="preserve">Yearly Carbon Emissions in Current Dollars ($) </t>
    </r>
    <r>
      <rPr>
        <vertAlign val="superscript"/>
        <sz val="9"/>
        <color theme="1"/>
        <rFont val="Calibri"/>
        <family val="2"/>
        <scheme val="minor"/>
      </rPr>
      <t>2</t>
    </r>
  </si>
  <si>
    <t xml:space="preserve">Remaining Capital Value </t>
  </si>
  <si>
    <t>Delay Savings</t>
  </si>
  <si>
    <t>User travel time benefits were valued in accordance with the Benefit-Cost Analysis Guidance for Discretionary Grant Programs - January 2023. The recommended values for travel time were provided in year 2021 dollars.</t>
  </si>
  <si>
    <t xml:space="preserve">Changes in emissions are expected to be impacted by the extended amount of time vehicles are traveling under the no build detrou conditions. VHT change is estimated using changes in travel time. VHT is then converted to equivalents of vehicle-miles traveled (VMT) by applying fuel consumption for idling vehicles to average miles per gallon for passenger cars. The change in VMT equivalents was then applied to emission rates by vehicle type. Average emission rates per vehicle type were obtained from the Environmental Protection Agency’s Motor Vehicle Emission Simulator (MOVES) version 3. </t>
  </si>
  <si>
    <t>Total change in emissions was valued in accordance with the Benefit Cost Analysis Guidance for Discretionary Grant Programs, dated January 2023.</t>
  </si>
  <si>
    <t>Observed Breaks</t>
  </si>
  <si>
    <t>Break Cost</t>
  </si>
  <si>
    <t>Projected Breaks</t>
  </si>
  <si>
    <t>This analysis assumed that construction would take place from year 2024 to 2025. Initial capital cost were brought back to 2021 dollars to determine present value.</t>
  </si>
  <si>
    <t>K:\Trans\Grant Applications\2023 Grants\RAISE\MnDOT MN 19 Marshall\Cost\2023 RAISE_Cost Estimate_TH 19_Marshall_updates_1-27-23.xlsx</t>
  </si>
  <si>
    <t>Category</t>
  </si>
  <si>
    <t>Cost 2022 $</t>
  </si>
  <si>
    <t>Capital Costs (2022$)</t>
  </si>
  <si>
    <t>Light Duty</t>
  </si>
  <si>
    <t>Commercial</t>
  </si>
  <si>
    <t>Effective</t>
  </si>
  <si>
    <t>Fuel Savings</t>
  </si>
  <si>
    <t>Totals and Discountounting</t>
  </si>
  <si>
    <t>Fleet Composition</t>
  </si>
  <si>
    <t>Operating Costs</t>
  </si>
  <si>
    <r>
      <t>No Build Annual VHT</t>
    </r>
    <r>
      <rPr>
        <vertAlign val="superscript"/>
        <sz val="9"/>
        <color theme="1"/>
        <rFont val="Calibri"/>
        <family val="2"/>
        <scheme val="minor"/>
      </rPr>
      <t>1</t>
    </r>
  </si>
  <si>
    <r>
      <t>Build Annual VHT</t>
    </r>
    <r>
      <rPr>
        <vertAlign val="superscript"/>
        <sz val="9"/>
        <color theme="1"/>
        <rFont val="Calibri"/>
        <family val="2"/>
        <scheme val="minor"/>
      </rPr>
      <t>1</t>
    </r>
  </si>
  <si>
    <t>Travel Time Savings</t>
  </si>
  <si>
    <t>ECONOMIC COMPETITIVENESS - USER BENEFIT CALCULATION OF VEHICLE OPERATING COSTS DUE TO PAVEMENT ROUGHNESS</t>
  </si>
  <si>
    <t>Speed</t>
  </si>
  <si>
    <t>Vehicle Class</t>
  </si>
  <si>
    <t>Baseline Cost cents/mile</t>
  </si>
  <si>
    <t>Adjustment Factors from Baseline</t>
  </si>
  <si>
    <t>Veh Op Cost (VOC) for IRI level (cents/mile)</t>
  </si>
  <si>
    <t>Average VOC with roughness</t>
  </si>
  <si>
    <t>Net increase in VOC from Baseline</t>
  </si>
  <si>
    <r>
      <t xml:space="preserve">No Build Annual VMT </t>
    </r>
    <r>
      <rPr>
        <vertAlign val="superscript"/>
        <sz val="9"/>
        <color theme="1"/>
        <rFont val="Calibri"/>
        <family val="2"/>
        <scheme val="minor"/>
      </rPr>
      <t>5</t>
    </r>
  </si>
  <si>
    <t>Build Annual VMT</t>
  </si>
  <si>
    <t>No Build VMT Cost</t>
  </si>
  <si>
    <t>Build VMT Cost</t>
  </si>
  <si>
    <t>VMT Cost Savings</t>
  </si>
  <si>
    <t>IRI</t>
  </si>
  <si>
    <t>cents/mile</t>
  </si>
  <si>
    <t>dollar/mile</t>
  </si>
  <si>
    <t>4,5,6</t>
  </si>
  <si>
    <t>Auto Vehicle Operating Cost - Roughness</t>
  </si>
  <si>
    <t>Medium Car</t>
  </si>
  <si>
    <t>Truck Vehicle Operating Cost - Roughness</t>
  </si>
  <si>
    <t>Van</t>
  </si>
  <si>
    <t>SUV</t>
  </si>
  <si>
    <t>Light Truck</t>
  </si>
  <si>
    <t>Articulated Truck</t>
  </si>
  <si>
    <t>Auto VOC</t>
  </si>
  <si>
    <t>Truck VOC</t>
  </si>
  <si>
    <t>Table 3 - Per-mile Operating Cost</t>
  </si>
  <si>
    <t>Aggregate Vehicle Operating Cost - Roughness</t>
  </si>
  <si>
    <t>Source: NCHRP Report 720</t>
  </si>
  <si>
    <t>Estimating the Effects of Pavement Condition on Vehicle Operating Costs (2012)</t>
  </si>
  <si>
    <t>https://www.nap.edu/download/22808</t>
  </si>
  <si>
    <t>Per-mile operating costs associated with additional impacts of pavement roughness were derived using values from NCHRP Report 720 - "Estimating the Effects of Pavement Condition on Vehicle Operating Costs"; Table 7-5 (see calculations to the right). Current and future pavement roughness under the No Build scenario was assumed to fall in the bottom three categories (used an average of 4-6 in Table 7-5) based on current pavement condition and the expectation that pavement were further deteriorate if left unmaintained.</t>
  </si>
  <si>
    <t>Opperating Cost (Fuel) Savings</t>
  </si>
  <si>
    <t>Opperating Cost (Roughness) Savings</t>
  </si>
  <si>
    <r>
      <t>Value of time (2021 Dollars per minute)</t>
    </r>
    <r>
      <rPr>
        <vertAlign val="superscript"/>
        <sz val="11"/>
        <color theme="1"/>
        <rFont val="Calibri"/>
        <family val="2"/>
        <scheme val="minor"/>
      </rPr>
      <t>8</t>
    </r>
  </si>
  <si>
    <t>35 MPH</t>
  </si>
  <si>
    <t>The truck percentage used in the analysis was 4.0 percent was estimated from MnDOT traffic counts available online. Truck counts were compared to traffic to calculate the 4% value</t>
  </si>
  <si>
    <r>
      <t>Table 2 - Fleet Composition</t>
    </r>
    <r>
      <rPr>
        <b/>
        <vertAlign val="superscript"/>
        <sz val="11"/>
        <color theme="1"/>
        <rFont val="Calibri"/>
        <family val="2"/>
        <scheme val="minor"/>
      </rPr>
      <t>2</t>
    </r>
  </si>
  <si>
    <r>
      <t>Table 2 - Per-hour Travel Time Cost by Type</t>
    </r>
    <r>
      <rPr>
        <b/>
        <vertAlign val="superscript"/>
        <sz val="11"/>
        <color theme="1"/>
        <rFont val="Calibri"/>
        <family val="2"/>
        <scheme val="minor"/>
      </rPr>
      <t>1</t>
    </r>
  </si>
  <si>
    <r>
      <t>Table 3 - Fleet Composition</t>
    </r>
    <r>
      <rPr>
        <b/>
        <vertAlign val="superscript"/>
        <sz val="11"/>
        <color theme="1"/>
        <rFont val="Calibri"/>
        <family val="2"/>
        <scheme val="minor"/>
      </rPr>
      <t>2</t>
    </r>
  </si>
  <si>
    <r>
      <t>Table 4 - Vehicle Occupancy</t>
    </r>
    <r>
      <rPr>
        <b/>
        <vertAlign val="superscript"/>
        <sz val="11"/>
        <color theme="1"/>
        <rFont val="Calibri"/>
        <family val="2"/>
        <scheme val="minor"/>
      </rPr>
      <t>2</t>
    </r>
  </si>
  <si>
    <t>Table 5 - Per-mile Travel Time Cost</t>
  </si>
  <si>
    <r>
      <t>Table 6 - AADT Summary</t>
    </r>
    <r>
      <rPr>
        <b/>
        <vertAlign val="superscript"/>
        <sz val="11"/>
        <color theme="1"/>
        <rFont val="Calibri"/>
        <family val="2"/>
        <scheme val="minor"/>
      </rPr>
      <t>3</t>
    </r>
  </si>
  <si>
    <r>
      <t>Table 7 - VMT Equivalent</t>
    </r>
    <r>
      <rPr>
        <b/>
        <vertAlign val="superscript"/>
        <sz val="11"/>
        <color theme="1"/>
        <rFont val="Calibri"/>
        <family val="2"/>
        <scheme val="minor"/>
      </rPr>
      <t>4</t>
    </r>
  </si>
  <si>
    <r>
      <t>Table 1 - Per-mile Operating Cost</t>
    </r>
    <r>
      <rPr>
        <b/>
        <vertAlign val="superscript"/>
        <sz val="11"/>
        <color theme="1"/>
        <rFont val="Calibri"/>
        <family val="2"/>
        <scheme val="minor"/>
      </rPr>
      <t>1</t>
    </r>
  </si>
  <si>
    <t>* Values inflated from year 2011 to 2021 with GDP deflators</t>
  </si>
  <si>
    <t>Table 4 - GDP Deflators - BCA Guidence</t>
  </si>
  <si>
    <t>Factor</t>
  </si>
  <si>
    <t>Existing and 20-year forecast daily traffic volumes were estimated using the Intersection Control Evaluation Report TH19 (College Drive) - S. 4th Street to Bruce Street, Marshall, Minnesota, July 14, 2020</t>
  </si>
  <si>
    <t>Future No Build</t>
  </si>
  <si>
    <t>N</t>
  </si>
  <si>
    <t>E</t>
  </si>
  <si>
    <t>W</t>
  </si>
  <si>
    <t>2021 No Build</t>
  </si>
  <si>
    <t>2021 Build</t>
  </si>
  <si>
    <t>2045 No Build</t>
  </si>
  <si>
    <t>Country Club</t>
  </si>
  <si>
    <t>Saratoga St</t>
  </si>
  <si>
    <t>Main</t>
  </si>
  <si>
    <t>Daily Entering</t>
  </si>
  <si>
    <t>Base Delay</t>
  </si>
  <si>
    <t>No Build Annual VHT</t>
  </si>
  <si>
    <t>Future Build</t>
  </si>
  <si>
    <t>Base Build/No Build</t>
  </si>
  <si>
    <t xml:space="preserve">2045 Build </t>
  </si>
  <si>
    <t>2021 Build Annual VHT</t>
  </si>
  <si>
    <t>Build Base Estimate</t>
  </si>
  <si>
    <t>Travel Time (hours)</t>
  </si>
  <si>
    <t>Build Cost</t>
  </si>
  <si>
    <t>Intersection</t>
  </si>
  <si>
    <t>Change in VMT Equivalents for Vehicle Idling</t>
  </si>
  <si>
    <t>Driver stated he was looking at which direction the train was traveling to determine if he should continue home on W College Drive or turn north onto Legion Field Road to go home. Driver stated he determined he needed to go north on Legion Field Road and made a right hand turn. Driver stated "cut the corner to sharp", went up over the curb and collided with the light pole on the northeast corner of the intersection.
The vehicle sustained very minor damage. The light pole was bent over completely onto the ground and the globe on top was broken. 
Driver did not show signs of impairment but voluntarily offered to take a PBT to verify he was sober. Driver provided a good breath sample with a .000 AC result.</t>
  </si>
  <si>
    <t>1000023950220269-I</t>
  </si>
  <si>
    <t>LEGION FIELD RD</t>
  </si>
  <si>
    <t>unit two was stopped at the stop sign.  unit one was travelling south, approaching the intersection.  Unit one attempted to stop but slid on the ice. Driver of unit one attempted to maneuver away from unit two.  unit one turned 90 degrees to the left but continued moving south towards unit two.  unit one struck unit two in the rear.  unit one sustained minor damage to the rear passenger side and unit two sustained moderate damage to the rear.</t>
  </si>
  <si>
    <t>Rear to Side</t>
  </si>
  <si>
    <t>Unit 1 was traveling traveling Westbound on W College Dr. Unit 2 was stopped at the stop sign on Legion Field Rd. facing W college Dr. Unit 2 attempted a left turn onto W College Dr. going Eastbound and collided with Unit 1. Unit 1 and 2 sustained minor damage to both front bumpers.</t>
  </si>
  <si>
    <t>Vehicle #2 was traveling West on E. College Drive. Vehicle #1 stopped at the stop sign on W. Marshall St. to go straight across the intersection and proceed northwest on  W. Marshall Street.   Driver #1 explained that the bridge on E. College Drive obstructed his vision in addition to the window post on his vehicle and he didn't see vehicle #2 coming prior to striking #2 in the intersection.  Driver #2 states that vehicle #1 pulled out from the stop sign and struck the left side of his vehicle.</t>
  </si>
  <si>
    <t>1000023950220222-I</t>
  </si>
  <si>
    <t>W MARSHALL ST</t>
  </si>
  <si>
    <t>16-13328</t>
  </si>
  <si>
    <t>Unit 1 was stopped at the stop sign facing southeast at West Marshall Street and East College Drive.  Unit 2 was travelling southwest on East College Drive.  Unit 1 entered the intersection to turn northeast onto East College Drive, failing to yield to Unit 2.  Unit 2 struck Unit 1 on the left front quarter, causing Unit 1 to spin up onto the boulevard.  The driver of Unit 1 stated she did not see Unit 2 coming, due to the bridge blocking her view of traffic from the northeast.  The driver of Unit 2 stated he attempted to stop but did not have enough time.</t>
  </si>
  <si>
    <t>Unit 1 was on W Marshall St at the stop sign facing southeast. Unit 2 was traveling southwest on E College Dr. Unit 1 stated she looked both ways, didn't see any vehicles, and pulled out to make a left hand turn. When Unit 1 pulled into the intersection to turn left, Unit 2 collided with the front end of Unit 1. Unit 1 driver stated she never saw Unit 2. Unit 2 had the right of way and Unit 1 should have yielded to Unit 2. It should be noted that at that intersection, it can be difficult to tell if a vehicle is coming from the left because the bridge is just to the north of the intersection. The west barrier of the bridge, almost completely blocks the view of traffic going southwest on E College Drive. Photos were taken at the scene, including a photo of the bridge from that intersection. The photos will be attached to this ICR.</t>
  </si>
  <si>
    <t>On 11-27-15 at approximately 1313 hrs Unit 2 was stopped at the intersection of E College Dr and W Main St facing west. Unit 1 was behind Unit 2. Unit 1 collided into Unit 2.
The driver of Unit 1, Jasmine Brown, said she wasn't paying attention and collided into the other vehicle. Jasmine also indicated she did not have any insurance coverage on the vehicle. Jasmine was cited for No Insurance and her vehicle was left parked legally on E College Dr.
Neither driver reported any injuries.</t>
  </si>
  <si>
    <t>VEH STOPPED IN TRAFFIC</t>
  </si>
  <si>
    <t>W Main St</t>
  </si>
  <si>
    <t>E College Dr</t>
  </si>
  <si>
    <t>REAR-END</t>
  </si>
  <si>
    <t>15-21720</t>
  </si>
  <si>
    <t>Vehicle #2 was traveling westerly on E. College Drive, and approaching the intersection with W. Marshall ST.  
Vehicle #1 was traveling southerly on W. Marshall ST. Vehicle #1 had stopped at the stop sign and then proceeded through the intersection.  Driver of Vehicle #1 indicated she had not seen Vehicle #2 approaching.  The two vehicles collided in the middle of the intersection.</t>
  </si>
  <si>
    <t>18-4574</t>
  </si>
  <si>
    <t>Unit 1 was behind unit 2 at a stop sign on Marshall St. and cross street East College Drive. Unit 2 began to move but stopped again and waited for cars to pass. Unit 1 then hit unit 2 in the rear bumper. 
The driver of unit 1 said she thought unit 2 was going to go through the intersection but quickly stopped. 
The driver of unit 2 said he stopped at the stop sign. He then moved forward a little and then stopped and waited for more cars to pass. At this time he said his vehicle was hit.</t>
  </si>
  <si>
    <t>16-11415</t>
  </si>
  <si>
    <t>Vehicle one rear ended vehicle 2. Driver 1 stated he was slowing down when he saw some people making a left turn onto Marvin Schwan Memorial Drive from College. He stated he rear ended vehicle 2 as he did not see them stop quickly. 
Driver 2 stated he slowed down as people might want to make a left turn onto Marvin Schwan Memorial Drive from College. He stated he saw the vehicle coming at him and it seem liked he was not slowing down. Driver two stated he and his baby in the back seat were ok.</t>
  </si>
  <si>
    <t>GRADE (pre 2016)</t>
  </si>
  <si>
    <t>2-LANES 1-ECH-WY</t>
  </si>
  <si>
    <t>Inattentive/Distraction (Talking, Eating)</t>
  </si>
  <si>
    <t>1000023950220096-I</t>
  </si>
  <si>
    <t>Marvin Schwan Memorial Drive</t>
  </si>
  <si>
    <t>MN Hwy 19</t>
  </si>
  <si>
    <t>15-17679</t>
  </si>
  <si>
    <t>On 03-18-22, at approximately 0705 hrs, I Officer Klenken was dispatched to Caseys regarding a hit and run accident.  
Upon arrival I met with Marian Drumm by her vehicle.  Her vehicle had MN license 942VVC.  Marian explained to me she was on Marvin Schwan Memorial Dr stopped at the stop sign at the intersection of W College DR.  When she attempted to make a right turn onto W College DR she was struck by another vehicle.  The other vehicle was also eastbound on W College DR, she suspected the other vehicle was speeding because of how fast it appeared.  
After the collision she said she pulled over but the other vehicle continued east on W College DR.  Marian described the other vehicle as a silver 4 door.  She said she didnt get a plate number.  She described the driver as possibly being a male, with gray hair in their 40s.</t>
  </si>
  <si>
    <t>MARVIN SCHWAN MEMORIAL DR</t>
  </si>
  <si>
    <t>Unit 1 was travelling west on E Lyon Street towards E College Drive. Unit 2 was in the left turn lane just prior to intersection. Unit 2 attempted a lane change and struck Unit 1 along the drivers side of the vehicle. Unit 2 was damaged near the passenger wheel. Unit 1 received damage along the drivers side of the vehicle.</t>
  </si>
  <si>
    <t>22-5248</t>
  </si>
  <si>
    <t>V1 was traveling WB on E College DR.  V1 stopped inline at the stoplight.  V2 driver stated he wasn't able to stop because his brakes malfunctioned.</t>
  </si>
  <si>
    <t>3 LANES UNDIVIDD</t>
  </si>
  <si>
    <t>VAN OR MINIVAN</t>
  </si>
  <si>
    <t>W Lyon ST</t>
  </si>
  <si>
    <t>E. College DR</t>
  </si>
  <si>
    <t>15-19457</t>
  </si>
  <si>
    <t>Unit 1 was traveling N on S Hill St. Unit 1 attempted to stop at the stop sign on S Hill at E College Dr., the vehicle slid on ice/snow and passed the stop line- entering the E bound driving lane of E College Dr. Unit 1 made contact with Unit 2 at an angle- the front bumper of Unit 1 made contact with the rear passenger side bumper of Unit 2. Prior to the collision, Unit 2 was heading E bound on E College Dr. The driver of Unit 2 stated that her car spun a bit when Unit 1 made impact with her vehicle (Unit 2).The damage sustained by both vehicles appeared to be minor. Unit 1 sustained damage to the front bumper (cracked and scraped) and Unit 2 sustained damage to the rear passenger side bumper (scraped and dented).</t>
  </si>
  <si>
    <t>Sag (Bottom)</t>
  </si>
  <si>
    <t>EAST COLLEGE DRIVE</t>
  </si>
  <si>
    <t>22-2622</t>
  </si>
  <si>
    <t>Veh 1 was traveling West on MNTH 19.  Veh 2 was traveling East on MNTH 19.  Veh 1 crossed in to opposing lane.  Veh 2 moved over to shoulder.   The two vehicles struck driver`s side mirrors.</t>
  </si>
  <si>
    <t>DRVNG LFT OF CTR</t>
  </si>
  <si>
    <t>Wrong Way into Opposing Traffic</t>
  </si>
  <si>
    <t>1000023950220047-I</t>
  </si>
  <si>
    <t>REDWOOD LYON ROAD</t>
  </si>
  <si>
    <t>19 HWY</t>
  </si>
  <si>
    <t>Unit 1 was traveling westbound on W. Saratoga St. and was sitting at the semaphore at W. Saratoga St. and W. College Dr. Unit 1 began to move forward into the intersection when the light turned green. Unit 2 was traveling westbound on W. College Dr. Unit 2 entered the intersection as Unit 1 was entering the intersection. Unit 1 struck Unit 2 on the driver's side. Unit 1 suffered severe front end damage. Unit 1's front airbags were deployed. Unit 2 suffered severe damage to the driver's side of the vehicle. Unit 2's airbags were deployed. The driver of Unit 1 was pregnant and complained of abdominal pain. Unit 1's driver had a 4 year old boy in the rear driver's side seat. The boy suffered no apparent injury. Unit 1's driver and the boy were taken by ambulance to the Avera Marshall ER. The driver of Unit 2 suffered no apparent injury. Another officer observed Unit 2's seatbelt was buckled. Unit 2's driver admitted he had the seatbelt buckled behind him. Unit 2's driver admitted to not wearing the seatbelt as he found it uncomfortable. Both vehicles were towed by Pulver's.</t>
  </si>
  <si>
    <t>W. COLLEGE DR.</t>
  </si>
  <si>
    <t>Unit 1 had a green light and was traveling southbound on Saratoga St. Unit 2 was stopped at a red light facing east on W College Dr. Unit 2 stated he looked down for a second then proceeded to make a right turn onto Saratoga St going southbound when he collided with Unit 1. Unit 2 collided with it's front bumper to Unit 1 passenger side rear wheel well. Unit 1 was towed due to disabling damage by Pulver's Towing. Unit 2 sustained minor damage. Unit 2 was not towed.</t>
  </si>
  <si>
    <t>On 05-26-22 at approximately 1001 hrs Unit 2 was traveling south on Saratoga Street crossing West College Drive. Unit 1 was traveling north of Saratoga Street and then was attempting to make a left turn onto West College Drive and travel west. Unit 1 collided into Unit 2 while making a lefthand turn.
Both drivers did not report any injuries. Both vehicles were drivable. The driver of Unit 1, Michael Runholt, did not see Unit 2 and failed to yield.</t>
  </si>
  <si>
    <t>22-7549</t>
  </si>
  <si>
    <t>Unit 1 was travelling south on South 4th St.  The driver stated he stopped for the stop sign at West College Dr.  Unit 2 was travelling east on W College Dr, approaching S 4th St.  The driver of Unit 1 said he looked, both ways, then proceeded through the intersection.  He said he was blinded by the sun, which was low in the sky, and did not see Unit 2.  Unit 1 T-Boned Unit 2 on the driver side.  A witness later informed me that he believed Unit 1 did not stop at the Stop Sign, but was not sure.</t>
  </si>
  <si>
    <t>0500023950220124-I</t>
  </si>
  <si>
    <t>Unit 2 just went through the intersection at College and Bruce Street and was going to make a left turn into Super America. Unit 1 collided with Unit 2 ejecting Unit 1 driver. Unit 1 landed on top of Unit 1 driver. Unit 1 sustained moderate damage and Unit 2 sustained light to no damage. Unit 1 registered owner cited for No-No Fault Insurance. Unit 1 driver transported to ER for medical treatment.</t>
  </si>
  <si>
    <t>DRIVR INXPERENCE</t>
  </si>
  <si>
    <t>MOPED/MOTORZ BIKE</t>
  </si>
  <si>
    <t>E College Drive</t>
  </si>
  <si>
    <t>North Bruce St.</t>
  </si>
  <si>
    <t>13-13274</t>
  </si>
  <si>
    <t>Unit 1 was northbound on Bruce St.  Unit 2 was in the left turn lane.  Unit 2 made a left turn colliding with Unit 1 as it crossed over E College DR.  
Unit 2 driver had a valid instructional permit, however there wasn't a licensed driver with her.</t>
  </si>
  <si>
    <t>Unit 1 was headed east on East College Drive. Witnesses state Unit 1 was stopped waiting for red light. Light changed to green and unit 1 continued to stay stopped at traffic light for a few seconds. Unit 2 was traveling west on East College Drive proceeding through the intersection. It should be noted, Unit 2 was a semi with 2 trailers hauling a wind turbine base, so it was a wide load with two flaggers. Unit 1 began traveling and started to drift into the westbound lane. Unit 1 struck Unit 2 and then spun out. Driver of Unit 1 stated he had dropped his cigarettes and was reaching for them. Driver of Unit 2 states he observed driver of Unit 1 looking down, as if he was on his phone or sleeping. Unit 1 sustained severe disabling damage and was towed to Pulver Towing lot. Unit 2 was inspected by State Patrol.</t>
  </si>
  <si>
    <t>Failed to Keep in Proper Lane</t>
  </si>
  <si>
    <t>On 01-29-16 at approximately 0925 hrs Unit 2 was traveling north on Bruce Street about to cross over East College Drive. Unit 2 was traveling south on Bruce Street about to make a lefthand turn onto East College Drive. Unit 2 collided into Unit 1 in the intersection. Both vehicles had a green lights, but there are no green arrows for left turns. Unit 1 was towed away from the scene by SW Towing. The driver and passenger of Unit 1 were transported to the Marshall ER by North Ambulance. The driver of Unit 2 was not injured and the vehicle was able to be driven away from the scene. The driver of Unit 1 explained she did not see Unit 2 and that's why the accident happened. See MPD narrative report on 16-1556 for further information.</t>
  </si>
  <si>
    <t>16-1556</t>
  </si>
  <si>
    <t>UNIT 1 WAS STOPPED IN TRAFFIC FOR THE RED LIGHT AT BRUCE STREET.  UNIT 2 WAS STOPPED IN TRAFFIC FOR THE RED LIGHT AT BRUCE ST.  UNIT 3 WAS APPROACHING UNIT 2 FROM THE REAR.  A WITNESS STATED THE OCCUPANTS OF UNIT 3WERE DISTRACTED BY A SIGN SHE WAS HOLDING FOR PAPA JOHN'S PIZZA.  THE OCCUPANTS OF UNIT 3 WERE WAVING AND YELLING AT THE WITNESS.  UNIT 3 STRUCK THE REAR END OF UNIT 2.  UNIT 4 THEN STRUCK THE REAR END OF UNIT 3, SANDIWCHING IT BETWEEN UINTS 2 AND 4.  UNIT 2 LIGHTLY STRUCK THE REAR END OF UNIT 1</t>
  </si>
  <si>
    <t>4-6 LNS 2-3-EACH</t>
  </si>
  <si>
    <t>Bruce St</t>
  </si>
  <si>
    <t>East College Drive</t>
  </si>
  <si>
    <t>v1 was west bound on E. College DR.  As v1 started to round the curve it lost traction in the slush and spun out into the opposing lane.  v2 collided with v1.</t>
  </si>
  <si>
    <t>CURVE (pre 2016)</t>
  </si>
  <si>
    <t>0500023950220112-I</t>
  </si>
  <si>
    <t>N 3rd ST</t>
  </si>
  <si>
    <t>Slush</t>
  </si>
  <si>
    <t>15-5049</t>
  </si>
  <si>
    <t>driver was traveling west on E. College Drive.  Driver was attempting to turn right onto N. 3rd Street.  Driver turned too soon, leaving the roadway.  Driver continued driving and struck a city park sign.</t>
  </si>
  <si>
    <t>N 3RD ST</t>
  </si>
  <si>
    <t>Unit 1 was southbound on N Bruce St, at E College Dr, in the left turn lane, with the turn signal activated, in preparation to turn left (east) onto E College Dr.  Unit 1 had a green light.  Unit 2 was eastbound on E College Dr, approaching S Bruce St.  Unit 2 had a red light. Unit 1 proceeded straight through the intersection, instead of turning left.  Unit 2 collided with the rear passenger side of Unit 1, near the rear wheel.
The driver of Unit 1 stated she had been in the left turn lane on N Bruce St, to turn east on E College Dr.  She stated she decided she no longer wanted to turn onto E College Dr but wanted to continue south on S Bruce St.  She stated she deactivated her turn signal and proceeded south through the intersection.  She stated Unit 2 then collided with the rear passenger side of her vehicle.
The driver of Unit 2 stated she arrived at the red light and checked for cross traffic.  She stated she observed no cross traffic from the north, but observed Unit 1 in the left turn lane, with the left turn signal activated.  She stated she began her turn and turned her focus to the direction she was driving.  She stated she then observed Unit 1 crossing in front of her, but too late to stop.</t>
  </si>
  <si>
    <t>Unit 1 was traveling south on Saratoga Street approaching the intersection with West College Drive. Unit 1 stated she had a green light to proceed through the intersection. Unit 2 was traveling north on West College Drive. Unit 2 ran the red light and crashed into Unit 1 in the middle of the intersection. Unit 1 was towed to Abra by Southwest Towing at the owners request.</t>
  </si>
  <si>
    <t>Unit #1 was traveling west on College Dr.  The accelerator of Unit #1 became stuck and the throttle remained open causing Unit #1 to accelerate forward for more than three blocks.  Driver of Unit #1 applied brakes, but Unit #1 did not stop.  Unit #1 collided with and rear-ended Unit #2, which was stopped at a red light.  Unit #1 pushed Unit #2 through the intersection.  After colliding with Unit #2, Unit #1 was still unable to stop.  Driver of Unit #1 ran Unit #1 into a light pole in the County Fair parking lot to stop the vehicle.  After colliding with light pole, Unit #1 engine still revved high and brakes were hot and smoking.</t>
  </si>
  <si>
    <t>SOUTHWEST</t>
  </si>
  <si>
    <t>W. Saratoga St.</t>
  </si>
  <si>
    <t>W. College Dr.</t>
  </si>
  <si>
    <t>On 06-18-15 at approximately 1500 hrs Unit 1 was attempting to turn into one of the Schwan's corp. parking lots off of Saratoga Street. Unit 2 was traveling south on Saratoga Street. While Unit 1 was turning, Unit 2 collided into Unit 1.
Unit 2 was an illegal motor scooter which was unlicensed. The driver of Unit 2, Jose Villeda, had a revoked driving status. Villeda did not stay at the scene. An Officer later made contact with Villeda and cited him for several violations.
Neither driver reported any injuries. See MPD narrative report on this incident for further information.</t>
  </si>
  <si>
    <t>Moped or Motor Scooter</t>
  </si>
  <si>
    <t>West College Drive</t>
  </si>
  <si>
    <t>Saratoga Street</t>
  </si>
  <si>
    <t>15-11017</t>
  </si>
  <si>
    <t>On May 16th the three vehicles were traveling west bound on Saratoga Street. Unit 2 and 3 were slowing down when unit 1 hit unit 2 causing Unit 2 to hit unit 3. 
Unit 1 was being driven by an employee of Murrays Auto Glass. We were given the insurance information from the Murrays Auto Glass. The insurance company was American Family policy number 22X6514911. 
There were no apparent injuries and all vehicles were able to be driven. No pictures were taken at the scene.</t>
  </si>
  <si>
    <t>2016-8593</t>
  </si>
  <si>
    <t>Unit 1 was plowing snow northbound on West College Drive before executing a "U" Turn in the the intersection of West College Drive at West Main Street. After performing the "U" Turn, Unit 1 re-oriented and began to travel south on West College Drive. Unit 1 then came to a stop, and reversed back into the intersection. While Unit 1 was moving snow in the intersection, Unit 2 was traveling southbound in the inside lane of West Main Street before entering the intersection of West Main Street and West College Drive. Unit 1, which was slowly backing up, collided with the trailer being pulled by Unit 2 as Unit 2 crossed through the intersection. Driver of Unit 2, as well as a witness indicated that Unit 2 had a green light. Witness also indicated that Unit 1 had amber lights activated while plowing snow. Unit 1 and the trailer being pulled by Unit 2 (MN LIC/ FLA2806) sustained moderate damage.</t>
  </si>
  <si>
    <t>Sheriff</t>
  </si>
  <si>
    <t>Lyon County Sheriff</t>
  </si>
  <si>
    <t>Improper Backing</t>
  </si>
  <si>
    <t>Working Vehicle / Equipment</t>
  </si>
  <si>
    <t>E COLLEGE DRIVE</t>
  </si>
  <si>
    <t>Intermittent or Moving Work Zone</t>
  </si>
  <si>
    <t>Fog/Smog/Smoke</t>
  </si>
  <si>
    <t>Unit 1 was travelling east on Main Street in the #1 lane, Unit 2 was travelling east on Main Street in the #2 lane.  Both units were crossing College Drive.  Driver of Unit 1 stated she began to merge as she did not see any vehicles in the #2 lane.  Driver of Unit 2 stated he could not maneuver to avoid a collision as there was a curb and traffic pillars to his right.  Driver of Unit #1 merged the front passenger quarter panel into the rear driver side quarter panel of unit #2.</t>
  </si>
  <si>
    <t>Changing Lanes</t>
  </si>
  <si>
    <t>COLLEGE DR</t>
  </si>
  <si>
    <t>Unit 1 was making a right hand turn from E College Drive on to W Main Street. Trailer of Unit 1 was described as a 48 foot trailer jumped over curb and struck 3 green posts on the edge of the sidewalk damaging them.</t>
  </si>
  <si>
    <t>22-2636</t>
  </si>
  <si>
    <t>Unit one was stopped at the stop sign on S 4th Street on the N side of the intersection of S 4th Street / W College Drive.  Unit two was traveling eastbound on W College Drive.  Driver of unit one did not see unit two, began crossing the intersection.  Unit two could not stop and struck unit one on the rear passenger side tire.  Both units appear to be totaled with extensive damage.</t>
  </si>
  <si>
    <t>0500023950220110-I</t>
  </si>
  <si>
    <t>#1 was stopped on South 4th Street northbound.  There were several vehicles parked on Hwy 19 to east of 4th Street.  The parked vehicles blocked the view of driver #1.  Driver #1 pulled out into the intersection striking #2 which was westbound.</t>
  </si>
  <si>
    <t>16-749</t>
  </si>
  <si>
    <t>Unit #2 was following another snow plow and assisting in clearing snow from the center turn only lane.  Unit #2 had its yellow light flashing on top of the vehicle.  Unit #1 followed behind Unit #2.  Driver of Unit #1 thought she was driving in the inside driving lane to travel west and didn't realize she was in the turn lane. She said she followed the snow plows as she believed they were in the driving lane.  She apologized and said it was her fault. Driver of Unit #2 said he backed up four feet to reposition the vehicle to clear snow and in the process Unit #2's hitch collided with the front bumper of Unit #1.</t>
  </si>
  <si>
    <t>NORTHWEST</t>
  </si>
  <si>
    <t>BK SLG/STPG/STNG</t>
  </si>
  <si>
    <t>IMPRP/UNSF LN US</t>
  </si>
  <si>
    <t>4th St.</t>
  </si>
  <si>
    <t>W. Main St.</t>
  </si>
  <si>
    <t>Unit 2 was traveling eastbound on Main St. Unit 1 was behind Unit 2. Unit 2 was slowing down for a red light at the intersection of Main St. and E. College Dr. Unit 1 was unable to see Unit 2's brakes as the sun was shining in front of both vehicles. Unit 1 was slow to brake and rear ended Unit 2. Unit 1 suffered moderate damage to the front end, but the vehicle was drivable. Unit 2 suffered minor rear end damage. Both parties exchanged insurance and contact information. No citations were issued.</t>
  </si>
  <si>
    <t>E. COLLEGE DR</t>
  </si>
  <si>
    <t>On 07-26-22 at approximately 1605 hrs Unit 1 was attempting to make a right turn onto West College Drive off of West Main Street. While making this turn, Unit 1 struck a small green ballast pole located on the sidewalk on the Northwest corner of this intersection. This pole is owned by the City of Marshall.
The driver of Unit 1, Michael Jurgensen, said he thought a truck on West College Drive was going to stay back and instead kept coming as he was turning. He said he then wasn't able to make a normal wide turn and the semi trailer struck the pole.
Jurgensen was not injured. Pictures were taken of the pole.</t>
  </si>
  <si>
    <t>22-10847</t>
  </si>
  <si>
    <t>On 02-13-22 at approximately 0111 hrs Unit 1 was traveling east on East College Drive near Park Ave. Unit 1 went off the roadway colliding into a snowbank on East College Drive. Unit 1 then spun to the side and also collided into another snowbank at the intersection of Park Ave and East College Drive.
The driver of Unit 1, Edward Morales, was believed to be intoxicated and was arrested for DWI. The front seat passenger, Andrew Pacheco, was passed out in the vehicle and was later vomiting outside and in the ambulance. Pacheco was transported to the Avera Hospital by North Memorial Ambulance for possible injuries and because he was intoxicated.
Photos were taken of the scene. Unit 1 was towed away from the scene by Pulver Towing.
See narrative report on MPD Case #: 22-2103 for more information.</t>
  </si>
  <si>
    <t>PARK AVE</t>
  </si>
  <si>
    <t>Snowbank</t>
  </si>
  <si>
    <t>22-2103</t>
  </si>
  <si>
    <t>Unit 1 was heading west on East College Drive. Unit 2 was at the intersection of South Bruce Street and East College Drive. Unit 1 stated she had a green light to proceed through the intersection. When she got approximately half way through the intersection, the traffic light changed from green to yellow. Unit 1 stated Unit 2 hit the back drivers side of her vehicle. Unit 2 stated the traffic signal had just turned green for him and he proceeded into the intersection, striking unit 1. Unit 2 had moderate damage to the front bumper.</t>
  </si>
  <si>
    <t>On 11-21-16 at approximately 1825 hrs Unit 1 was at the intersection of Bruce Street and East College Drive facing north and attempting to make a lefthand turn onto East College Drive. Unit 2 was traveling south on Bruce Street crossing over East College Drive. In the intersection, Unit 1 turned and Unit 2 collided into Unit 1.
Witnesses and both drivers said there was a green light from both sides (There is no green arrow from either side). The driver of Unit 1, Elva Rodriguez, admitted she turned in front of Unit 2, failing to yield. The driver of Unit 2, Brendin Otto, gave the same story. Neither driver reported any injuries and both vehicles were able to be driven away from the scene.</t>
  </si>
  <si>
    <t>16-21233</t>
  </si>
  <si>
    <t>Vehicle #2 was stopped on North Bruce St. facing south at a red light.  Vehicle #1 was traveling west on East College and was turning north onto Bruce St.  Due to the snow vehicle number 1 slid into vehicle number 2.</t>
  </si>
  <si>
    <t>Unit 1 was stopped on E. College Dr. westbound at the red semaphore at E. College Dr. and W. Lyon St. Unit 2 was traveling westbound on E. College Dr. Unit 2 rear-ended Unit 1 while it was stopped at the red light. Unit 2 driver admitted to getting a phone call and had went to answer it with her hands-free option. Unit 2's driver stated she thought Unit 1 had a green light and was beginning to move forward. Driver of Unit 2 was cited for failure to drive with due care. Unit 1 suffered a large dent in the rear facing door. Unit 1 suffered moderate front end damage.</t>
  </si>
  <si>
    <t>Unit 1 turned from E College Drive onto W Main St. to head towards Turkey Valley Farms. Unit 1 was pulling a full load of turkeys. Unit 1 clipped the corner of the intersection and damaged 2 green pylons. A witness observed the semi hit the pylons and then removed on of them from the roadway. The witness then saw a deputy drive by and flagged them down. The witness reported that the suspect semi was a a green Peterbilt pulling a trailer of turkeys. The suspect unit was then located on the scale at turkey valley farms. The driver of unit 1 stated he was aware he had clipped the curb at the intersection, but was unaware he had hit the pylons themselves.</t>
  </si>
  <si>
    <t>22-7530</t>
  </si>
  <si>
    <t>Unit 1 was traveling in the inside lane and went to turn right into the outside lane.  Unit 2 was in the outside lane and was unable to slow down or stop as Unit 1 came into the outside lane.  Unit 2's snowplow damaged the passenger door of Unit 1.  Unit 2 when locking up brakes slid into Unit 3 which then slid into Unit 4.  Unit 1 was unsure if Unit 2 was in his blind spot.  Unit 2 indicated he must have been in Unit 1's blind spot.</t>
  </si>
  <si>
    <t>VEH PRKD LEGALLY</t>
  </si>
  <si>
    <t>ILLEGAL/UNSAF SP</t>
  </si>
  <si>
    <t>College Drive</t>
  </si>
  <si>
    <t>15-23709</t>
  </si>
  <si>
    <t>Unit 1 was stopped at the intersection for a red light at the traffic semaphore. Unit 2 was approaching Unit 1 and did not observe the traffic light was still red. Unit 2 ran into the rear end of Unit 1. Unit 1 sustained light rear end damage. Unit 2 sustained heavy front end damage.</t>
  </si>
  <si>
    <t>West Main Street</t>
  </si>
  <si>
    <t>Unit 2 was stopped in traffic.  Unit 2 indicated traffic was backed up due to volume of traffic.  Unit 1 was unable to stop before colliding with Unit 2.</t>
  </si>
  <si>
    <t>14-3341</t>
  </si>
  <si>
    <t>Vehicle #1 and Vehicle #2 had been stopped in traffic for a red light.  Vehicle #2 was behind Vehicle #1.
Traffic started moving Vehicle #2 started to proceed, but Vehicle #1 had not.  Vehicle #2 struck Vehicle #1.</t>
  </si>
  <si>
    <t>SOUTHEAST</t>
  </si>
  <si>
    <t>W. Main Street</t>
  </si>
  <si>
    <t>13-6886</t>
  </si>
  <si>
    <t>Driver #1 said that she was behind Unit #2 at a red light facing toward the southeast on W. Main Street at the intersection with College Drive.  Driver #1 said that the light turned green and she proceeded forward, but Unit #2 did not.  Driver #1 stated that she believed she was looking past Unit #2 when she started from the stopped position.  Driver #1 was borrowing Unit #1 from a friend.  The Insurance policy listed is for the vehicle.  Driver #1's insurance is from Farmers Ins. Group, Policy #195680557.  Driver #2 said that she was stopped for the red light.  It had just turned green when Unit #1 struck her.  Driver #2 said that the force of the collision knocked her rearview mirror off.  Driver #2 stated that both her and her passenger had stiff necks as a result of the accident.  They declined an ambulance and were going to go to the hospital on their own.</t>
  </si>
  <si>
    <t>IMP PKG/STR/STPG</t>
  </si>
  <si>
    <t>VEH STARTNG IN TRAFFIC</t>
  </si>
  <si>
    <t>College Drive  (19 &amp; 68)</t>
  </si>
  <si>
    <t>W. Main St (59 &amp; 68)</t>
  </si>
  <si>
    <t>13-00000442</t>
  </si>
  <si>
    <t>Unit 1 was stopped in the left turn lane on W. College DR preparing to make a left.  Unit 1 driver said when the green arrow appeared she proceeded to move forward.  All of the sudden the motorized scooter and her collided in the crosswalk.  
The listed witnesses were located in vehicles beside and behind unit 1.  The witnesses indicated all lights were green including the green left turn arrow for the eastbound traffic.  The motorized scooter was traveling in the crosswalk.  
Unit 2 operator said the walk signal was lit up so she continued to cross the street.  
Unit 2 is a Phantom Gogo 450 watt, 36 volt electric scooter.  With a serial number of DT211OC1B00477.</t>
  </si>
  <si>
    <t>Other - Non-Motorist</t>
  </si>
  <si>
    <t>Unit one was traveling northbound on West College Dr. behind Unit two. Unit one and unit two were in a car show parade line. Unit one did not make a completed stop and slowly hit unit two. Unit two driver stated that Unit one hit his car when he stopped at the intersection of red lights on West College Dr. and Main St. Unit one driver stated he stopped but didn't stop too soon. Unit one received minor scratches to the bumper and Unit two received damage to the rear bumper.</t>
  </si>
  <si>
    <t>22-8074</t>
  </si>
  <si>
    <t>Driver 1 stated she was heading west through the intersection as she had a green light. She stated the next thing she knew there was a male on a bike in her driving lane picking up a hat that blew off. She stated she hit her brakes but hit the male and the bike. She stated the incident happened in the middle of the intersection and that she backed up after hitting the male to get out of the intersection. She stated she did not see him until he was right there. She stated she was not distracted. 
Both witnesses stated the male on the bike was stopped but heading north on main street when his hat blew off due to the wind. They stated the male had a red light but went into the intersection to get his hat. They stated the male got his hat, turned around and was going back to his location on his driving lane when the vehicle went through the intersection and hit the male. They stated the vehicle had a green light as it was going through the intersection.
The male on the bike stated he does not remember much about the incident. He stated it was his fault and that he was getting his had that blew off. 
The area was busy with traffic and pedestrians at time of the call.</t>
  </si>
  <si>
    <t>Intersection - Other</t>
  </si>
  <si>
    <t>In Roadway - Other (Work, Play)</t>
  </si>
  <si>
    <t>In Roadway Improperly (Standing, Lying, Working)</t>
  </si>
  <si>
    <t>22-16748</t>
  </si>
  <si>
    <t>Unit 2 was stopped at a red light at the intersection of College Dr. and Main St. Units 1 and 2 were traveling SE on Main St. and were in the lane to go straight through the intersection. Unit 2 stopped at the red stop light and saw unit 2 (a semi) come up behind her. The traffic control device turned green for left hand turn cars only and then Unit 1 rear ended unit 2. Unit 2 signaled for Unit 1 to pull over, but it continued SE on E Main St. The semi disappeared and unit 2 called for police. The driver said that Unit 1 was white, but she didn't see the plate or any labels on the semi.</t>
  </si>
  <si>
    <t>Unit 2 was traveling west on Main Street where it intersects College Drive. The driver of Unit 2 believes she had a green light and entered the intersection. Unit 2 was almost through the intersection when Unit 1 struck Unit 2 in the front passenger side by the tire. Driver of Unit 1 didn't remember the accident or if she had a green light. Driver of Unit 1 stated she has been not feeling well the past few days. Driver of Unit 1 also stated she was possibly distracted because of a belly button piercing and tank top.</t>
  </si>
  <si>
    <t>Unit 1 (semi/trailer) was in the driving lane of West Main Street as he was headed south towards Casey's gas station. He stated unit 2 was on his left and the vehicle hit his trailer as it came into his lane. 
Unit 2 stated he was going straight when the semi creped over to his lane. Driver of unit 2 stated he was scared and wanted to stop but his back passengers told him to keep going. 
Witnesses stated unit 2 was in the left turn lane going from west main street to east college drive. They stated the car did not turn and moved over to the semi driving lane and hit the trailer while in the intersection. Witnesses stated unit 2 did not stop and left the scene.
Unit 2 was later stopped and cited for his driving conduct. He was given a court date due to this infraction.</t>
  </si>
  <si>
    <t>16-4658</t>
  </si>
  <si>
    <t>Unit 1 was behind Unit 2 traveling eastbound on W. College Dr. Unit 2 turned on its left turn signal to turn onto Saratoga St. Unit 2 was unable to get into the turn lane, as snow was piled up in the turn lane for snow removal. Unit 1's front end struck Unit 2's rear end. Both vehicles pulled off the roadway and waited for LE. Unit 2 suffered minor damage to the rear end. Unit 1 suffered minor damage to the front end. Both driver's provided driver's licenses and insurance information. Both vehicles were allowed to leave the scene.</t>
  </si>
  <si>
    <t>Unit 1 was stopped at the traffic light facing eastbound on West College Drive at the intersection with Country Club Drive. Unit 2 was directly behind unit 1 and was unable to stop colliding with the back end of unit 1.</t>
  </si>
  <si>
    <t>Y Intersection</t>
  </si>
  <si>
    <t>22-19604</t>
  </si>
  <si>
    <t>Unit 1 was pulling a trailer and attempting to make a right hand turn from W Main Street to W College Drive. While completing the turn the trailer of Unit 1 struck a 4 foot green post damaging it.</t>
  </si>
  <si>
    <t>18-22422</t>
  </si>
  <si>
    <t>Unit #2 was traveling east on W. Main St.  Unit #2 came to a stop at the red light at the intersection with E. College Dr.  Unit #1 was behind Unit #2 and was unable to stop in time and turned to the right to try and avoid colliding with Unit #2.  Unit #1 collided with the rear right corner of Unit #2.  The driver of Unit #1 had no valid driver's license and was cited for the offense.</t>
  </si>
  <si>
    <t>E. College Dr.</t>
  </si>
  <si>
    <t>14-4621</t>
  </si>
  <si>
    <t>V1 was in the left turn lane on W Main ST to make a left onto E College DR.  V2 was a semi pulling a trailer.  V2 was making a right turn from E College DR onto W Main ST.  V2 made a wide turn.  V1 driver said V2 came into the lane he was in (the left turn lane).  V1 driver said he backed up to avoid getting hit.  V1 driver said V2 kept coming towards him so he backed up more.  V2's tire then struck V1 front bumper on the driver's side.</t>
  </si>
  <si>
    <t>16-22317</t>
  </si>
  <si>
    <t>Veh #1 was crossing Main St when Veh #2 was coming from the opposite direction. Veh #2 made a left hand turn and ran into Veh #1. traffic lights were green but there was no green arrow illuminated for veh #2.</t>
  </si>
  <si>
    <t>V1 was turning northbound onto W. Main ST from W. College DR.  V1 driver said she slid on the ice and lost control of the vehicle.  v1 slid over the curb striking a decorative bollard that was attached to the sidewalk.  
V1 driver was cited for fail to use due card and no insurance.  The owner was also cited for No insurance.</t>
  </si>
  <si>
    <t>Driver Speeding</t>
  </si>
  <si>
    <t>16-22878</t>
  </si>
  <si>
    <t>Unit 2 was heading S on W Main St. When Unit 2 came up on the stop light at W Main St. and E College Dr., the light was green, so the driver proceeded S. through the intersection. Unit 2 was driving through the intersection when the driver and passenger felt a bump- they had been rear ended by unit 1. Unit 1 was trying to make a right hand turn from W Main St. when the incident occurred. Unit 2 sustained damage to the rear bumper and passenger side taillight/wheel well area. Unit 1 sustain minimal front bumper damage. A witness to the incident stated the truck may have tried to pass unit 1 on the right side, but he wasn't sure. Regardless of how the units were traveling, Unit 1 ended up rear ending unit 2.</t>
  </si>
  <si>
    <t>E COLLEGE DR.</t>
  </si>
  <si>
    <t>On 01-16-13 at approximately 0740 hrs Unit 2 was attempting to make a left turn onto East College Drive off of West Main Street. Unit 2 was in the left turn lane facing south. Unit 1 was stopped behind Unit 2 in the left turn lane. Unit 2 had pulled out into the intersection and the traffic signal turned red. Unit 2 started backing up and collided into Unit 1.
The driver of Unit 1, Paula Curry, said she honked her horn to warn the other driver she was stopped behind them, but they still collided into her. The driver of Unit 2, Josiah Hulsizer, said he did not see Unit 1 behind him. No one involved reported any injuries. Photos were taken.</t>
  </si>
  <si>
    <t>13-809</t>
  </si>
  <si>
    <t>Veh #1 was driving north on Main St. He slowed down and stopped for the red light at the intersection of Main St and College Drive. He was then rear ended by Veh #2. He said the driver of Veh #2 was following pretty close behind him. 
Driver of Veh #2 stated he observed veh #1 slow down and stop. He said he also started to slow down but he slid due to the icy road conditions. He acknowledged he was following vehicle #1 closer than he should have been.</t>
  </si>
  <si>
    <t>Unit 1 stated she saw the vehicles ahead of her slowing down so she started to slow down. As she was slowing down, she said something to her left on the sidewalk caught her eye. Unit 1 driver said she looked left and then all of a sudden she collided with Unit 2. Unit 2 in turn moved forward colliding with Unit 3. Unit 1 suffered disabling damage to the front end, Unit 2 suffered moderate damage to the rear and minor damage to its front. Unit 3 suffered minor damage to the rear.
Unit 1 driver was issued a citation for failure to drive with due care.</t>
  </si>
  <si>
    <t>Unit 1 was traveling East on East College Drive. Unit 1 was attempting to turn left off of East College Drive into 1106 East College Drive. Unit 1 states there was a lot of traffic backed up. Unit 1 states a semi waved at him and allowed him to begin turning. Unit 2 was traveling West on East College Drive. Unit 2 was parallel to the semi. As unit 1 was turning, Unit 1 ran into the right rear side of Unit 2. Unit 1 failed to yield for oncoming traffic. It should be noted this accident was not at an intersection</t>
  </si>
  <si>
    <t>5 LN UNDV W L TURN</t>
  </si>
  <si>
    <t>North Bruce Street</t>
  </si>
  <si>
    <t>Red Chevy Impala was heading east bound on Highway 19 crossing the intersection of Bruce St.  GMC truck was south bound on Bruce st and crossed the intersection of Highway 19 while the semaphore was red, colliding with the Impala.  Neither party was injured.</t>
  </si>
  <si>
    <t>Unit 1 was traveling westbound along E College Dr. Unit 1 began to turn southbound onto S Bruce St from E College Dr. Unit 2 was traveling eastbound along E College Dr. towards the intersection of E College Dr. and S Bruce St. Unit 1 attempted to turn with too little of space causing unit 2 to hit the passenger side of unit 1. The roads were icy and unit 2 attempted to stop but went into a skid before hitting unit 1.</t>
  </si>
  <si>
    <t>Unit 1 was traveling East on East College Drive. Until 2 was directly behind Unit 1. Unit 1 slowed down for traffic and Unit 2 collided with the rear end of Unit 1. Unit 1 sustained moderate damage while Unit 2 sustained severe damage. Unit 2 was towed. Driver 1 was complaining of neck pain but declined transport from ambulance. Driver 2 had bump on forehead but declined transport.</t>
  </si>
  <si>
    <t>Bruce Street</t>
  </si>
  <si>
    <t>On 09-15-15 at approximately 0910 hrs Unit 2 was traveling south on North Bruce Street crossing over East College Drive. Unit 1 was traveling east on East College Drive approaching the intersection of Bruce Street. Unit 1 collided into Unit 2 in this intersection.
The driver of Unit 1, Louis Brewers, believed he had a green light in his direction and then collided into the other unit. The driver of Unit 2, Jeremy Labatt, also said he had a green light in his direction and then Unit 1 collided into him.
The passenger of Unit 2, Martha Moat, was shaken up and said she hit her head against the passenger window. Moat was taken to the hospital by North Ambulance. The passenger of Unit 1, Beverly Brewers, said she couldn't hear immediately after the airbags deployed, but felt ok. North ambulance staff checked on Beverly, but she was not transported to the hospital.
Both vehicles were towed away from the scene by Southwest Towing.</t>
  </si>
  <si>
    <t>North Bruce St</t>
  </si>
  <si>
    <t>15-17084</t>
  </si>
  <si>
    <t>Unit 1 stated he almost ran the red light. Stopped his vehicle in time and then backed up. Unit 1 stated he didn't see Unit 2 behind him. Unit 2 stated she thought Unit 1 was going to make a right turn on red. Unit 2 driver stated she continued to pull forward and then saw Unit 1's reverse lights come on. Unit 2 stated she stopped and tried to put it in reverse but it was too late and Unit 1 collided with Unit 2. Unit 2 had moderate to severe damage. Unit 2 remained in a parking lot until it could be towed privately. Unit 1 suffered minor to no damage.</t>
  </si>
  <si>
    <t>S Bruce Street</t>
  </si>
  <si>
    <t>14-7086</t>
  </si>
  <si>
    <t>Vehicle #2 was stopped for a red traffic light when Vehicle #1 struck him from the rear.  Driver #1 stated he could not stop before hitting vehicle #2, it was to slippery.  
It was snowing and blowing at this time and the roadways were slippery. 
Driver #1 was driving to fast for the weather conditions.</t>
  </si>
  <si>
    <t>Highway 19</t>
  </si>
  <si>
    <t>14-2629</t>
  </si>
  <si>
    <t>VEHCICLE 1 WAS TRAVELLING SOUTH ON NORTH BRUCE STREET.  VEHICLE 2 WAS TRAVELLING EAST ON EAST COLLEGE DRIVE.  BOTH VEHICLES WERE TRAVELLING 25-30MPH.  THE VEHICLES COLLIDED IN THE INTERSECTION, AND STOPPED OFF OF THE ROADWAY.  BOTH DRIVERS CLAIMED TO HAVE HAD A GREEN LIGHT.  THE WITNESS DID NOT SEE WHICH DIRECTION HAD A GREEN LIGHT WHEN THE ACCIDENT OCCURRED.  SHE WAS TRAVELLING BEHIND VEHICLE 1.</t>
  </si>
  <si>
    <t>13-16135</t>
  </si>
  <si>
    <t>Driver and vehicle 1 were southbound on North Bruce Street when it entered the intersection of East College Drive and Bruce Street. The driver and vehicle entered the intersection on a red light. Driver stated he has had a long day and was going to Wal-Mart to pick up a few things as he was getting his kids later that day. Driver stated he driving and hit the other vehicle. Driver stated he does not remember what color light he had. He was not transported to the ER. 
Driver, passenger, and vehicle 2 stated they were westbound on East College Drive when they were hit in the intersection of East College Drive and Bruce Street. They stated their vehicle was hit in the rear passenger side tire area. They stated their van spun out and stopped. They stated their light was green. Both the driver and passenger denied any medical treatment. 
Witness 1 stated he was behind the van when they were nearing the intersection. Witness 1 stated they had a green light when the van entered the intersection. Witness 1 stated the car had ran the light and hit the van in the rear passenger side tire area. Witness 1 stated this hit caused the van to spin out. 
Witness 2 stated he was behind the car as they were nearing the intersection of Bruce Street and East College Drive. Witness 2 stated they were heading south when the car failed to stop for the stoplight. Witness 2 stated the car entered the intersection and hit the van.</t>
  </si>
  <si>
    <t>17-21665</t>
  </si>
  <si>
    <t>Unit 1 was traveling south on N Bruce Street and went to turn left onto E College Drive at the green light.  Unit 2 was traveling north on S Bruce St and went to go straight continuing north onto N Bruce St.  Unit 2 indicated she saw Unit 1 proceed in front of her but was unable to stop.  Unit 1 indicated she didn't realize Unit 2 was going straight and not turning.  Unit 1 needed to yield right of way to Unit 2.</t>
  </si>
  <si>
    <t>Unit 2 stopped for a car in front of him that was stopped in the roadway.  Unit 1 was unable to stop in time and collided with Unit 2.</t>
  </si>
  <si>
    <t>13-1289</t>
  </si>
  <si>
    <t>V2 WAS TRAVELING EASTBOUND.  V1 MADE A LEFT TURN ONTO E. COLLEGE DR.  V1 DRIVER SAID SHE DIDN'T SEE V2 UNTIL THEY COLLIDED.  V2 SKIDDED, AND THEN WENT OVER THE SNOW BANK AND STOPPED ON TOP OF THE SNOW BANK AND CEMENT BARRIER.  
V2 DRIVER COMPLAINED OF NECK PAIN.  PASS 2 OF V2 WAS ALSO TAKEN TO THE ER TO BE CHECK OUT.</t>
  </si>
  <si>
    <t>THRU/STOP</t>
  </si>
  <si>
    <t>14-3605</t>
  </si>
  <si>
    <t>Unit 1 was traveling west on East College Drive. Unit 1 began slowing for a vehicle. Unit 2 was traveling directly behind unit 1. Unit 2 did not see unit 1 slowing, and rear ended Unit 1. Unit 2 stated she had looked down at something in her vehicle. Unit 1 drove away from the scene, later realizing damage to her vehicle. Unit 2 waited at scene to see if Unit 1 would return, and later left. Unit 1 sustained minor damage to the rear bumper. Unit 2 sustained minor damage to the front bumper, including scratches.</t>
  </si>
  <si>
    <t>On May 31st, 2017, at approximately 1818 hours, I, Officer Jensen, was informed by Officer Hoffmann that there was a female and her father in Interview Room 2 waiting to report a hit and run.  
I spoke with the female who identified herself as Ashley Marie Arndorfer (DOB:10/14/2000).  She stated that at approximately 1520 hours she was driving west on E College Dr., and she was sideswiped by another vehicle.  She was driving a Mercury Mariner bearing MN license 682ETV. 
 Ashley said she was going to make a left turn onto S Whitney St, but she started to enter the continuous left turn lane too soon.  She entered early enough to turn onto S Hill St.  When Ashley realized this she continued to go straight so that she could turn onto S Whitney.  As she continued forward a tan vehicle passed on her right and hit the side of her vehicle. Ashley states that moments later she received a phone call from Thalia Lynn Deutz (DOB:12/23/1999).  Thalia was the driver of the other car.  At this time both drivers decided that there was not enough damage to stop; so they both continued on their way.  When Ashley got home she realized the damage was significant.  Ashley then decided to report the accident to the police.  I gathered Ashley's information and took photos of her vehicle, which will be attached to this file.  
I contacted Thalia about the accident.  I had her come to the LEC so I could gather her information and take photos of her vehicle, which will be attached to this file.  Once Thalia arrived I asked her what happened.  Thalia was driving a Buick Lucerne bearing MN license 123WRE.  Thalia stated she stopped after the accident occurred.  Thalia then called Ashley.  Ashley told Thalia that there was not enough damage so the two of the continued on their way.  Thalia stated that Ashley did not stop for the accident at all.
I explained to both parties they need to stop when they get in accidents.  I told them to call the police and wait for them at the scene of the accident.</t>
  </si>
  <si>
    <t>17-9513</t>
  </si>
  <si>
    <t>Vehicle 1 was sitting on the side of the street, unattended when the complainant believes it was hit. The complainant is not sure when or where it happened but believes it happened while on the side of the street when she was at work (03/25/2015-0800-1600). The damage tops out at roughly 36 inches from the ground. A hit and run report will be on file.</t>
  </si>
  <si>
    <t>Single Vehicle Other</t>
  </si>
  <si>
    <t>North Whitney Street</t>
  </si>
  <si>
    <t>15-5202</t>
  </si>
  <si>
    <t>Vehicle #2 was proceeding straight ahead and following
the roadway. Vehicle #2 was pulling a trailer Lic#0487CXT. Vehicle #1 pulled out from the stop sign and was going to turn right onto E. College Drive to go east.  Vehicle #1 had to go around traffic cones that had been set up to paint the crosswalk.  Vehicle #1 struck the left wheel of the trailer that Vehicle #2 was pulling. Witness states she was traveling behind #2 when she saw #1 make a wide turn and strike the trailer.  Driver #1 sustained minor injuries to her left arm and hand most likely from the air bag deploying.</t>
  </si>
  <si>
    <t>Whitney St.</t>
  </si>
  <si>
    <t>Hwy 19</t>
  </si>
  <si>
    <t>Lane Closure</t>
  </si>
  <si>
    <t>15-18354</t>
  </si>
  <si>
    <t>Unit 3 and Unit 2 was slowing down for a vehicle turning onto High St. when Unit 1 rear ended Unit 2 pushing it into Unit 3.  The driver of Unit 1 stated that he looked down for a second and when he looked back up it was too late to stop in time.  There was no damage to Unit 2 and 3.  Unit 1 recived moderate damage to the front end</t>
  </si>
  <si>
    <t>High St.</t>
  </si>
  <si>
    <t>E. College</t>
  </si>
  <si>
    <t>13-12508</t>
  </si>
  <si>
    <t>Hit and Run Accident. Unit 1 was parked legally at approximately 0915 hrs. Was struck by another vehicle, possibly white in color, between 0915 hrs and 1052 hrs. Scrapes along the driver's side of Unit 1. Light to Moderate Damage. Photos were taken. No suspects at this time.</t>
  </si>
  <si>
    <t>3rd Street</t>
  </si>
  <si>
    <t>300 Block W Main St</t>
  </si>
  <si>
    <t>14-7065</t>
  </si>
  <si>
    <t>Unit 1 was stopped at the red light. Unit 2 failed to stop before rear ending Unit 1.  The driver and front right passenger in Unit 1 took themselves to the hospital for wiplash injuries.</t>
  </si>
  <si>
    <t>Main Street</t>
  </si>
  <si>
    <t>13-18390</t>
  </si>
  <si>
    <t>Unit 1 was travelling southwest on East College Dr.  Unit 2 was stopped at the stop sign, facing southeast, on West Marshall Street.  The driver of Unit 2 stated he did not see Unit 1, because of the sides of the bridge.  He said he believed no vehicles were approaching in close proximity.  He pulled out to turn northeast onto East College Drive.  Unit 1 struck the left rear wheel of Unit 2, disabling it.  It appeared that Unit 2 spun around 180 degrees, coming to a rest facing northwest.</t>
  </si>
  <si>
    <t>17-7172</t>
  </si>
  <si>
    <t>Vehicle 1 was travelling eastbound on E. College Dr. Vehicle 2 was travelling southbound on W. Marshall St., and stopped at the stop sign. Vehicle 2 claimed to look both ways and see no traffic. Vehicle 2 proceeded into the intersection. Vehicle 2 then collided with Vehicle 1. Vehicle 1 claimed to not see Vehicle 2 until just before the collision.</t>
  </si>
  <si>
    <t>17-21222</t>
  </si>
  <si>
    <t>Unit 1 driver stated he couldn't see any vehicles coming from the northeast because of the bridge guardrails. Unit 1 driver said he waited at the stop sign for a little while then crossed E College Drive. Unit 1 driver stated that was when his vehicle was struck by Unit 2. 
Unit 2 driver stated she was traveling southwest on E College Drive when Unit 1 pulled out in front of her. Unit 2 driver stated she tried to stop but ended up colliding with Unit 1. 
Unit 1 juvenile passenger was transported to the ER for precautionary measures.</t>
  </si>
  <si>
    <t>PED FAIL YLD ROW</t>
  </si>
  <si>
    <t>W Marshall Street</t>
  </si>
  <si>
    <t>14-16442</t>
  </si>
  <si>
    <t>Unit 1 attempted to make a right turn on to E College Drive. Unit 2 was travelling southbound on E College Drive. Unit 1 entered the intersection after stopping at the stop sign. Driver of Unit 1 stated he was stopped and didn't see Unit 2 due to the bridge north of the intersection blocking his vision. Unit 1 struck Unit 2 along the side causing damage.</t>
  </si>
  <si>
    <t>Crossover Related</t>
  </si>
  <si>
    <t>17-8079</t>
  </si>
  <si>
    <t>Unit 1 driver stated Unit 2 had its turn signal on and was going to turn into Freedom Gas Station. Unit 1 driver stated she was going to turn into the gas station as well. Unit 1 driver stated she started slowing down but she stated she just started sliding because of the ice. Unit 1 driver stated she wasn't able to stop and slid into the back of Unit 2. Unit 2 driver stated unit 1 just slid into him as he was making his turn into Freedom. Unit 2 driver stated his vehicle sustained only one small scratch on the bumper and didn't want unit 1 driver cited for anything. Unit 1 sustained moderate damage and Unit 2 sustained light to no damage. Unit 1 driver was warned for following to closely.</t>
  </si>
  <si>
    <t>West Marshall Street</t>
  </si>
  <si>
    <t>304 E College Drive</t>
  </si>
  <si>
    <t>14-19856</t>
  </si>
  <si>
    <t>According to witness, Unit 1 pulled out of the BP(Freedom Gas) station lot and traveled across East College Drive. Unit 1 struck the cement barrier at 305 East College Drive. Driver of Unit 1 appeared to have suffered a medical issue. Driver was transported to the ER. Vehicle sustained moderate damage and was towed from the scene to Pulver Towing.</t>
  </si>
  <si>
    <t>Unit 1 was traveling west on East College Drive approaching the intersection of West Redwood Street. Unit 1 states he slowed for a vehicle that was directly in front of him. Unit 1 states when he slowed down, Unit 2 did not and ran into the back of his vehicle. Unit 2 was traveling directly behind Unit 1. Unit 2 said he looked down for a second and looked up and ran into the back of Unit 1. Unit 1 sustained moderate damage to the rear bumper of the vehicle. Unit 2 sustained moderate damage to the front of the vehicle.</t>
  </si>
  <si>
    <t>Driver #1 said that he was traveling toward the northwest on W. Lyon Street in front of Norm's GTC at 106 W. Lyon Street.  Driver #1 said that as he was looking toward the building for a rider he was supposed to pick up he struck Unit #2, which was parked and unattended in front of 106 W. Lyon Street.  The area above the right rear tire was damaged on Unit #1.  Unit #2 substained light damage to the left corner of the rear bumper.</t>
  </si>
  <si>
    <t>BUS(7-15 INC DRV)</t>
  </si>
  <si>
    <t>E. College Drive</t>
  </si>
  <si>
    <t>West Lyon Street</t>
  </si>
  <si>
    <t>14-1784</t>
  </si>
  <si>
    <t>Unit 1 was traveling SW on E College Drive and thought the stop light was going to turn green. Started to slow down when it wasn't changing to green and slid into the back of Unit 2. Unit 2 driver complained of some neck pain and a headache but refused transfer to the hospital from ambulance.</t>
  </si>
  <si>
    <t>13-21754</t>
  </si>
  <si>
    <t>On 12-10-13 at approximately 2110 hrs Unit 2 was stopped at a red traffic light at the intersection of East College Drive and West Lyon Street facing west. Unit 1 was approaching this same intersection behind Unit 2 and was attempting to stop. Unit 1 collided into Unit 2 before it could stop.
The driver of Unit 1, Alan French, said he was slowing down, but could not stop due to the icy/snow packed street. Neither driver reported any injuries.
Amended 12-31-13, Unit 2 had no insurance coverage</t>
  </si>
  <si>
    <t>13-20533</t>
  </si>
  <si>
    <t>DRIVER OF UNIT 2 WAS STOPPED AT THE STOP LIGHT AT E COLLEGE DR AND W LYON ST.  DRIVER OF UNIT 1 WAS APPROACHING UNIT 2.  THE DRIVER OF UNIT 2 STATED HE LOOKED AWAY FOR A COUPLE SECONDS, AND WHEN HE LOOKED UP HE SAW UNIT 1.  HE SAID HE WAS UNABLE TO AVOID THE COLLISSION.  THE ROADS HAD VERY LIGHT ICE IN SOME AREAS.</t>
  </si>
  <si>
    <t>NORTHEAST</t>
  </si>
  <si>
    <t>W Lyon St</t>
  </si>
  <si>
    <t>On 02-14-14 at approximately 1130 hrs Unit 1 was making a right turn off of East College Drive onto West Lyon Street. While making the turn Unit 1's trailer collided into the Walk Pedestrian sign on a traffic pole at the intersection. The sign had some bent parts.
This incident was reported by a witness. I made contact with the driver, Derek Hauptli, and the passenger, Edward Haag. They both said they didn't realize the trailer hit the sign. I took a few photos of the sign.</t>
  </si>
  <si>
    <t>TRK TRAC W SEMI</t>
  </si>
  <si>
    <t>14-2280</t>
  </si>
  <si>
    <t>Unit 1 was stopped behind Unit 2 at the intersection of East College Drive and West Lyon Street. Driver of Unit 1 stated she observed the light turn green and thought Unit 2 had started to proceed faster than he was. Unit 1 rear ended Unit 1.</t>
  </si>
  <si>
    <t>Unit 1 was travelling southwest on East College Drive.  Unit 2 was travelling northeast on East College Drive.  Unit 2 began a left turn onto West Lyon Street, in front of Unit 1, failing to yield the right of way.  The front passenger side of unit 1 struck the front driver side of unit 2.  The driver of Unit 2 stated she didn't know what she was thinking when she tried to turn.  The driver of unit 1 stated she tried to avoid the collision, but was unable to.</t>
  </si>
  <si>
    <t>Driver of vehicle 1 stated that she crossed the intersection and hit Vehicle 2 as it just stopped in the road. Driver 1 stated that she was not going that fast and was not distracted. Driver 2 stated that he had to stop as there was a car ahead of him stopped as there was a van in front of that car waiting to turn. Driver 2 stated that he was about 1.5 car lengths behind the car. The witness (car in front of vehicle 2) stated that he only heard the accident. He stated that he was stopped behind a van as it was waiting to turn left into the alley. The witness stated the traffic was very heavy at that time. The witness stated vehicle 2 was either stopped or almost stopped when the accident happened. The witness stated he spoke to both drivers and that driver 1 told him that driver 2 just stopped in the middle of the road for no reason. The witness told driver 1 why the vehicle was stopped. The witness stated that driver 1 again told him her reason. 
I believe the intersection and street was heavy with cars due to the time and day. I also feel that driver 1 was going either to fast or not paying attention due to the conditions, traffic flow and time. Vehicle 1 received heavy damage to the front and front left area of vehicle. Vehicle 2 received little damage. Vehicle 1 was towed by Southwest Towing.</t>
  </si>
  <si>
    <t>US Hwy 59</t>
  </si>
  <si>
    <t>14-8867</t>
  </si>
  <si>
    <t>Unit 2 was traveling southbound on E. College Drive. Unit 2 had a green light at the intersection of E/W College Drive and Main St. Unit 2 was about to proceed into the intersection when Unit 1, which was traveling westbound, pulled into the intersection. Unit 2 made contact with unit 1. Unit 1 sustain minimal damage to the front driver side trailer tire- scuff marks on the tire. Unit 2 sustained moderate damage to the front of the vehicle. Neither vehicle was towed and the State Patrol waived the commercial vehicle inspection. Both drivers stated that the commercial vehicle ran a red light.</t>
  </si>
  <si>
    <t>18-7084</t>
  </si>
  <si>
    <t>Unit 1 was traveling west bound on Ease College Drive and attempting to make a right turn onto West Main Street. While turning, Unit 1's trailer tires entered the curb and struck two posts owned by the City of Marshall. The posts had moderate damage. Unit 1 had damage to the right rear of the tire. Unit 1 was not inspected because the accident was not reported until later.</t>
  </si>
  <si>
    <t>Driver of Unit #1 said she was traveling east on E. College Dr.  She was stopped at a red light at the intersection with W. Main St.  She said her light turned green and she proceeded forward.  She said Unit #2 ran the red light causing her vehicle to collide with the right side of Unit #2.  Driver of Unit #2 said she was traveling southeast on W. Main St.  Approximately a block away she noticed the lights facing her were green, she said she looked down to check her speed and when she looked back up she believed she saw  her lights were still green before she entered the intersection.  She entered the intersection and Unit #1 collided with her veh. on the right side.  A witness said she was traveling west on W. Main St. in the opposite direction of Unit #2 and as she approached the intersection the lights facing her were initially red.  She said she slowed for the red light and then it turned green.  She said the crash happened after her lights turned green and she believed Unit #2 had the green light.</t>
  </si>
  <si>
    <t>Vehicle #1 was traveling northerly on E. Main Street, and approaching, passing through the intersection with College Drive.  Vehicle #1 had a green light to proceed forward trough the intersection.
Vehicle #2 had been traveling southerly on W. Main Street. At the intersection with College Drive, Vehicle #1 was attempting to make a left turn, onto E. College Drive. Driver of Vehicle #2 stated she was following another vehicle that was turning as she was doing.  After the Vehicle #2 was following and it passed through the intersection, Vehicle #2 proceeded to make the same turn, on a green light, not a green left turn arrow. As Vehicle #2 was turning, Vehicle #1 struck Vehicle #2 on the passenger side.</t>
  </si>
  <si>
    <t>16-15500</t>
  </si>
  <si>
    <t>Unit 1 was traveling SE bound on W Main St. on 4/27/18 at approximately 1105 hours.  Unit 1 attempted to make a right hand turn from W. Main St. onto W. College Dr. (HWY 19). When unit 1 attempted to make the turn, the driver felt the trailer of the semi hit something. The driver stated that he didn't know where he could or should stop, so he continued down W. College Dr. until he found a safe place to stop. While driving down W. College Dr., the driver realized that he was dragging something beneath him. The driver dragged the bottom half of the pylon from W. Main St. to just shy of the intersection of W. College Dr. and Legion Field Rd. There did not appear to be any damage to the roadway.</t>
  </si>
  <si>
    <t>18-7596</t>
  </si>
  <si>
    <t>Driver of vehicle 1 stated he was parked in the parking stall along the sidewalk next to Bello Cucina's when he made a U-turn from that position. The driver stated he looked prior to turning and stated no one was coming. The driver stated when he made the U-turn, he was hit in the driver door. Driver stated he did not need any medical help. Driver stated it was all his fault. 
Driver of vehicle 2 stated she made a left turn onto West College Drive from Main Street next to Bello Cucina when she hit vehicle 1 in the driver door. She stated she did not see him until after she turned. Driver stated she did not need any medical help. Driver was later given a claim # by other driver from his insurance.</t>
  </si>
  <si>
    <t>17-20662</t>
  </si>
  <si>
    <t>Unit 1 was making a left hand turn off of E Main Street. Unit 2 was in the left hand turn lane on W College Drive to make a left turn on to W Main Street. Unit 1 took the turn to sharp which caused damage to the front of both vehicles.</t>
  </si>
  <si>
    <t>17-21786</t>
  </si>
  <si>
    <t>Unit 2 and 3 stopped in traffic because of traffic stopped at the Main Street and College Drive intersection. Unit 1 driver stated he was going approximately 15mph, and when the vehicles stopped suddenly in front of him, he collided with Unit 2, causing Unit 2 to collide with Unit 3. Unit 1 driver said he was "pretty close" to Unit 2 prior to the accident. Unit 1 driver was cited for following to closely. No one sustained injuries. Minor damage to Unit 1 and Unit 2. Moderate damage to Unit 3.</t>
  </si>
  <si>
    <t>W College Drive</t>
  </si>
  <si>
    <t>15-14836</t>
  </si>
  <si>
    <t>Unit 1 driver stated she wasn't paying attention and rear ended Unit 2. Unit 2 stated she was waiting for the stop light to turn green when she was rear-eneded by Unit 1. Minor damaged to Unit 2, moderate damage to Unit 1. Information was exchanged and Unit 1 driver was cited for following to closely.</t>
  </si>
  <si>
    <t>14-22594</t>
  </si>
  <si>
    <t>Traffic was stopped for the red light at Main St.  Unit 2 was stopped waiting for the green light.  Unit 1 looked at a paper and rear ended Unit 2.  Unit 1 was cited for the violation.</t>
  </si>
  <si>
    <t>Marvin Schwann Drive</t>
  </si>
  <si>
    <t>15-13511</t>
  </si>
  <si>
    <t>unit 2 was stopped in the line of cars waiting for the stop light to change.  unit 2 proceeded forward but them stopped because of the vehicle in front of her stopped.  unit 1 was unable to stop and rear ended unit 2.</t>
  </si>
  <si>
    <t>18-2804</t>
  </si>
  <si>
    <t>Driver of Unit 1 was travelling southwest on West College Drive.  The pedestrian, Unit 2, was crossing West College Drive, in an unmarked crosswalk, from the southeast.  According to witness statements, Unit 1 had a green light, and the crosswalk sign for the pedestrian was lit "DON'T WALK".  Unit 1 went through the intersection, and struck the pedestrian within the unmarked cross walk.  The pedestrian came to rest approximately 43' from the cross walk.  Skid marks were visible from the right front tire dragging the pedestrian.  The driver of Unit 1 initially reported that another driver hit the pedestrian and fled the scene.  However, he later admitted he had hit the driver.  He said he was scared, because he did not have insurance for his vehicle.  The pedestrian was taken to the Emergency Room by Ambulance, and later flown by fixed-wing to another hospital.
Witness, Hannah Johnson, stated she was at the stoplight, facing southeast, at Saratoga and College.  She stated her light turned green.  she said she did not go, because she observed the pedestrian waiting to cross the street.  She said the male walked from the southeast, crossing the street.  She said she then observed Unit 1 hit the pedestrian.  She said the pedestrian went up onto the hood of Unit 1, then fell and got stuck under the front right tire of Unit 1.  She said the driver of Unit 1 got out, looked at the pedestrian laying in front of his vehicle, then went back to his vehicle to call Police.</t>
  </si>
  <si>
    <t>Intersection - Unmarked Crosswalk</t>
  </si>
  <si>
    <t>Asleep or Fatigued</t>
  </si>
  <si>
    <t>Unidentified vehicle collided with the traffic control signal, damaging the shroud that shades the stop lights, and also turning the signal towards the north. No suspect vehicles at this time. Unknown exactly what time it happened. Was noticed at 2113 hours.</t>
  </si>
  <si>
    <t>14-19198</t>
  </si>
  <si>
    <t>V1 WAS WEST BOUND.  V1 DRIVER SAID HE LOOKED DOWN AT HIS SPEEDOMETER AND WHEN HE LOOKED UP THE LIGHT WAS RED AND HE COULDN'T STOP IN TIME.  V2 WAS SOUTH BOUND ON SARATOGA ST AND THE TWO VEHICLE COLLIDED IN THE INTERSECTION.  V2 DRIVER SAID HER LIGHT WAS GREEN.  V2 DRIVER WAS TAKEN TO THE HOSPITAL BECAUSE OF THE AIR BAG DEPLOYMENT.</t>
  </si>
  <si>
    <t>HWY 19</t>
  </si>
  <si>
    <t>14-3507</t>
  </si>
  <si>
    <t>Occupants in Unit #2 stated that they were traveling southwest on Saratoga Street through the intersection with W. College Drive on a yellow light when they were struck by Unit #1.  Driver #1 said that she was traveling toward the northeast on W. College Drive.  Driver #1 stated that with the sunlight hitting the traffic signal it appeared that she had a green light when in fact it was a red light.  She entered the intersection and collided with Unit #2.</t>
  </si>
  <si>
    <t>W. College Dr (19)</t>
  </si>
  <si>
    <t>14-1735</t>
  </si>
  <si>
    <t>Driver of vehicle 1 was making a left turn onto West College Drive (MN Hwy 19). Driver 1 stated that he had a green light when he was turning. He stated that he was turning left when he did not see the pedestrian until it was too late. He stated that he hit his brakes when he seen the pedestrian. 
The pedestrian stated that he heard a car go past him on Saratoga Street so he believed he had a green light to cross the street. He indicated that he was just in the closest lane to him when he was hit. He stated that the car hit him in his left leg. He also stated that his guide dog was hit as it was also on his left side. The pedestrian stated that he is unable to see so he does not know if the walk light was on. 
It should be noted that the pedestrian is blind and can only see light. He also has a guide dog. The pedestrian called the LEC later and stated he has a cracked leg bone.</t>
  </si>
  <si>
    <t>PED XNG N MK XWK</t>
  </si>
  <si>
    <t>OTHER NONMOTORST</t>
  </si>
  <si>
    <t>MN HWY 19</t>
  </si>
  <si>
    <t>LEFT TURN</t>
  </si>
  <si>
    <t>13-20108</t>
  </si>
  <si>
    <t>On 11-29-13 at approximately 0850 hrs Unit 2 was traveling north on Saratoga Street crossing West College Drive. Unit 1 was traveling west on West College Drive about to cross Saratoga Street. In the intersection Unit 1 collided into Unit 2.
A witness, Tim DeSaer, said he saw the light was green while facing north. DeSaer said he and Unit 2 started traveling through the intersection when he saw Unit 1 come through the intersection and collide  into Unit 2.
The driver of Unit 2, Michael Grant, said he also saw the the light was green and proceeded to go through the intersection. The driver of Unit 1, Thomas Prechel said he did not see if the light was green or red, but remembered another vehicle turning in front of Unit 2 and thought they had a red light.
No one involved reported any injuries.</t>
  </si>
  <si>
    <t>West Saratoga Street</t>
  </si>
  <si>
    <t>13-19930</t>
  </si>
  <si>
    <t>Unit 1 was traveling Southwest on West College Drive. Unit 1 stated she had a green light, and there was a vehicle in the left turn lane. As she approached the intersection, Unit 2 appeared in front of her in the intersection. Unit 1 driver stated she slammed on the brakes and struck the boy with the right front corner of her vehicle. Unit 1 suffered minor to moderate damage. Unit 2 bicycle sustained heavy damage and Unit 2 operator was transported to the hospital sustaining moderate injuries. Unit 1 driver was unable to produce a current insurance card, however, after calling her insurance company, they verified she had valid insurance. Photos of accident attached to MPD G-Drive. Witnesses on scene verified what Unit 1 stated.</t>
  </si>
  <si>
    <t>PED XNG AGNT SIG</t>
  </si>
  <si>
    <t>BICYCLIST</t>
  </si>
  <si>
    <t>13-14719</t>
  </si>
  <si>
    <t>Unit 2 was stopped at a red light on Saratoga Street. The light turned green and unit 2 proceeded into the intersection driving southbound. Unit 1 was driving East on West College Drive when unit 1 struck the side of unit 2 in the intersection. Unit 2 came to a stop. Unit 1 continued forward and hit a tree causing the vehicle to stop. 
The driver of Unit 2 said she was stopped at the stop light. Once the light turned green she proceeded into the intersection. She saw Unit 1 coming at her and she said she knew it wasn't going to stop. She said when she realized the vehicle was going to hit her, there was nothing she could do. Unit 1 then struck her vehicle, unit 2. 
The driver of unit 1 said he doesn't remember much. He remembers driving East on West College drive. Then he remembers hitting a tree.</t>
  </si>
  <si>
    <t>16-11731</t>
  </si>
  <si>
    <t>v1 rearended v2.  v2 driver was stopped in traffic because of vehicles in front of him waiting to turn left</t>
  </si>
  <si>
    <t>Greeley ST</t>
  </si>
  <si>
    <t>W. College DR</t>
  </si>
  <si>
    <t>14-20450</t>
  </si>
  <si>
    <t>Unit 2 was traveling E on W. College Dr. When Unit 2 approached the intersection of W. College Dr. and S 4th St., unit 1 made it's way into the intersection and the two vehicle made contact wit each other. Unit 1 sustained damage to the front passenger side and unit 2 sustained damage to the rear driver side door. Unit 2 had the right of way and unit 1 had a stop sign.</t>
  </si>
  <si>
    <t>Unit 1 was traveling west on West College Drive. Unit 2 was stopped at the stop sign on South 4th Street at West College Drive. Unit 2 attempted to cross the intersection. Unit 1 ran into the side of Unit 2. Unit 2 stated the parked vehicles on West College Drive obstructed his view.</t>
  </si>
  <si>
    <t>South 4th Street</t>
  </si>
  <si>
    <t>Vehicle #2 was traveling SW on N. 4th ST.  Vehicle #2 was stopped at the stop light at the intersection with W. Main ST.  When the light turned green Vehicle #2 proceeded straight through the intersection.
Vehicle #1 had been traveling NW on W. Main ST.  The light had turn red, but the driver had not seen that.  The driver continued to drive the Vehicle #1 through the interaction as traffic on 4th ST were proceeding through. 
Vehicle #1 had to be maneuvered between two other vehicle before trying to avoid a collision with Vehicle #2.  Vehicle #1 tried to pass on the rear side of Vehicle #2. Vehicle #1's front left side bumper struck Vehicle #2 left side rear bumper.</t>
  </si>
  <si>
    <t>4th ST</t>
  </si>
  <si>
    <t>W. Main ST</t>
  </si>
  <si>
    <t>15-15840</t>
  </si>
  <si>
    <t>Vehicle #2 was approaching intersection of 4th ST on W. Main ST.  Vehicle #2 was traveling in lane #1.
Vehicle #1 had been behind vehicle #2. As the vehicles approached the intersection, Vehicle #1 went around the right side of vehicle #1 where there was no other lane of travel, only sidewalk. Vehicle #1 struck a baluster (sidewalk marker) snapping it off at the base.  Vehicle #1 came to rest against a second baluster.  Unknown if any damage to second baluster at time of this report.  Vehicle #2 then struck Vehicle #1, after Vehicle #1 struck the second baluster.</t>
  </si>
  <si>
    <t>Improper Passing</t>
  </si>
  <si>
    <t>RAN OFF RD-RIGHT</t>
  </si>
  <si>
    <t>14-1781</t>
  </si>
  <si>
    <t>Vehicle #1 was making a lefthand turn onto South A ST, form E. Main ST.
While in the process of the turn, the vehicle slid in the snow and struck a parked vehicle.</t>
  </si>
  <si>
    <t>VEH PRKD ILLEGLY</t>
  </si>
  <si>
    <t>E. MAIN ST</t>
  </si>
  <si>
    <t>S. A ST</t>
  </si>
  <si>
    <t>13-18657</t>
  </si>
  <si>
    <t>HEAV TRK-TYP UNK</t>
  </si>
  <si>
    <t>Driver #1 said that he was traveling south on S. 4th Street.  When he came to the intersection with W. College Dr. he stopped.  Driver #1 told me he saw Unit #2 to the east of the intersection.  Driver #1 said that Unit #2 had it's right turn signal on and he estimated it was traveling 35MPH.  Driver #1 said that he proceeded into the intersection and collided with Unit #2.  Driver #1 said that the left side of his head hurt from it striking the drivers side window but he did not want medical attention or an ambulance.  I encouraged him to seek medical attention if the pain persisted.  Driver #2 said that she was traveling west on W. College Dr.  She said she was driving under 30MPH due to have her young niece in the vehicle.  I asked Driver #2 if her right turn signal had stayed on after rounding the curve at the intersection with Country Club Dr.  She said it was possible.  It was raining with pea sized hail at the time of the accident.</t>
  </si>
  <si>
    <t>IMPRP/NO SIGNAL</t>
  </si>
  <si>
    <t>13-14472</t>
  </si>
  <si>
    <t>Veh #1 was proceeding westerly.  Before the intersection with S. 4th Street driver had activated the right turn signal.  Driver indicated she was going to turn into the park entrance just after the intersection.
Veh #2 was proceeding southerly.  Driver indicated she stopped at the stop sign, saw Veh #1, saw the turn signal on and proceeded through the intersection.</t>
  </si>
  <si>
    <t>W. COLLEGE DRIVE</t>
  </si>
  <si>
    <t>S. 4TH STREET</t>
  </si>
  <si>
    <t>13-8338</t>
  </si>
  <si>
    <t>Unit 1 stated she stopped at the stop sign, and the proceeded through the intersection. Unit 1 said she never saw Unit 2. 
Unit 2 said he was going approximately 20-25mph, glanced down at his GPS, looked back up and Unit 1 had pulled out in front of him. Unit 2 said he tried to stop but it was too late and he collided with the driver's side of Unit 1.
Unit 1 driver was cited for failing to yield.</t>
  </si>
  <si>
    <t>DRIVER 2 STATED HE STOPPED AT STOP SIGN AND LOOKED LEFT BUT DID NOT LOOK TO THE RIGHT. HE STATED WHEN HE LOOKED TO THE RIGHT HE NOTICED A VEHICLE COMING AND WAS TOO LATE TO STOP.
DRIVER 1 STATED HE WAS HEADED EAST ON WEST COLLEGE. HE STATED HE NOTICED THE VEHICLE ON THE NORTH SIDE OF THE ROAD AND BELIEVED IT WAS GOING TO PULL OUT ON HIM. HE THOUGHT IT WAS GOING TO HIT HIM IN THE DRIVER DOOR SO HE SPED UP.  HE STATED DRIVER 2'S VEHICLE HIT HIM ON THE REAR DRIVER SIDE PASSENGER DOOR. HE STATED THE ACCIDENT CAUSED HIS VEHICLE TO SPIN AND PLACED HIM ON THE GRASS. HE STATED HE TRIED TO AVOID THE LIGHT POLE AND ELECTRICAL BOXES. 
VAN RECEIVED SMALL/ MODERATE DAMAGE
CAR RECEIVED MODERATE/ HEAVY DAMAGE. 
SEE REPORT
DRIVER 2 WAS CITED</t>
  </si>
  <si>
    <t>17-6235</t>
  </si>
  <si>
    <t>Unit 1 was traveling west on College Drive turning right/west onto W Main St.  Unit 1 indicated he had to swerve to avoid a car and subsequently took out 2 green sidewalk poles at the corner of Main St and College Drive.  There was no damage to the trailer and the poles were picked up by the city.</t>
  </si>
  <si>
    <t>W Main Street</t>
  </si>
  <si>
    <t>Driver 1 of vehicle 1 stated that she was in the inside lane when she tried to turn into the turn lane to turn left. She stated that she looked and saw no one so she started to turn into the left turn lane. She stated that as she was turning into the left turn lane, she hit vehicle 2 that came up on her left side. Vehicle 1 front passenger was her father as the driver was 15 YOA and was practicing her driving skills. 
Driver of vehicle 2 stated that he was in the turn lane when he was hit. The driver did not speak English so he had another person who stopped to help him translate. I asked driver 2 several times where he was and he insisted every time that he was in the turn lane and did not sneak up the side.
Damage on vehicle 1 was minor with scrapes and minor dents. Damage on Vehicle 2 was also minor with dents and scrapes.</t>
  </si>
  <si>
    <t>State Hwy 19</t>
  </si>
  <si>
    <t>State Hwy 59</t>
  </si>
  <si>
    <t>14-11688</t>
  </si>
  <si>
    <t>Unit 1 was headed westbound on E College Drive.  Unit 1 was trying to take a left turn onto Main St.  The driver of Unit pulled out to take the left turn but saw Unit 2 coming so she tried to stop but could not.  Unit 1 slid in the snow into the path of Unit 2.</t>
  </si>
  <si>
    <t>V1 was in the inside lane.  V2 was in the outside lane.  When the light changed, V1 came into V2's lane and collided with V2.</t>
  </si>
  <si>
    <t>17-3387</t>
  </si>
  <si>
    <t>Vehicle #2 was traveling in the outside lane of traffic and starting to make a right turn off of E. Main Street onto E. College Dr. when Vehicle #1 also started to make a right turn in the same location coming from the inside lane of traffic.  Driver #1 said that she was trying to merge from the inside lane of traffic into the outside lane of traffic to make the right hand turn and she did not see the other vehicle in that location.</t>
  </si>
  <si>
    <t>Driver of vehicle 2 stated that he was slowing down as I, Officer Determan was in front of vehicle 2, slowing down for another vehicle. Vehicle 1's driver stated that her purse fell off the seat. She stated that due to this, she took her attention off the road. She stated that when she looked back up Vehicle 2 was stopped. She hit her brakes but hit her front of her car to the rear of vehicle 2.</t>
  </si>
  <si>
    <t>13-20117</t>
  </si>
  <si>
    <t>ORIG_FID</t>
  </si>
  <si>
    <t>BUFF_DIST</t>
  </si>
  <si>
    <t>Hill-Bruce</t>
  </si>
  <si>
    <t>High-Whitney</t>
  </si>
  <si>
    <t>3rd-Park</t>
  </si>
  <si>
    <t>South of Bruce</t>
  </si>
  <si>
    <t>Lyon-Redwood</t>
  </si>
  <si>
    <t>CC Dr-Greeley</t>
  </si>
  <si>
    <t>Segment</t>
  </si>
  <si>
    <t>East of Bruce</t>
  </si>
  <si>
    <t>Park-High</t>
  </si>
  <si>
    <t>Main-Lyon</t>
  </si>
  <si>
    <t>Marvin-Main</t>
  </si>
  <si>
    <t>Greely-Saratoga</t>
  </si>
  <si>
    <t>4th-CC Dr</t>
  </si>
  <si>
    <t>Legion-4th</t>
  </si>
  <si>
    <t>East of Main</t>
  </si>
  <si>
    <t>Segments</t>
  </si>
  <si>
    <t>Calming</t>
  </si>
  <si>
    <t>Intersections</t>
  </si>
  <si>
    <t>Median</t>
  </si>
  <si>
    <t>RFRB</t>
  </si>
  <si>
    <t>RI/RO</t>
  </si>
  <si>
    <t>BO</t>
  </si>
  <si>
    <t>Base Build Total</t>
  </si>
  <si>
    <t>Base Total / VMT</t>
  </si>
  <si>
    <t>Base Total</t>
  </si>
  <si>
    <t xml:space="preserve">No Build Cost </t>
  </si>
  <si>
    <t>Motor</t>
  </si>
  <si>
    <t>End-to-End Time Diff</t>
  </si>
  <si>
    <t>Estimated Average Speed</t>
  </si>
  <si>
    <t>Reduced Speed (mph)</t>
  </si>
  <si>
    <t>MAPD</t>
  </si>
  <si>
    <t>Modify Access Point Density</t>
  </si>
  <si>
    <t>Acces Density</t>
  </si>
  <si>
    <t>CMF</t>
  </si>
  <si>
    <t>No Build Growth</t>
  </si>
  <si>
    <t>Total Nodal Delay</t>
  </si>
  <si>
    <t>The truck percentage used in the analysis was 4 percent and was based on year 2016 vehicle classification counts performed by MnDOT.</t>
  </si>
  <si>
    <t>ECONOMIC COMPETITIVENESS - USER BENEFIT CALCULATION OF ROUGH SURFACE TRAVEL TIME INCREASE</t>
  </si>
  <si>
    <t>Table 1 - Rough Surface Travel Delay</t>
  </si>
  <si>
    <t>ECONOMIC COMPETITIVENESS - USER BENEFIT CALCULATION DECREASED DELAY UNDER BUILD SCENARIO</t>
  </si>
  <si>
    <t>User travel time benefits we in accordance with the Benefit-Cost Analysis Guidance for Discretionary Grant Programs - January 2023</t>
  </si>
  <si>
    <t>Vehicle occupancy ratios were obtained the Benefit-Cost Analysis Guidance for Discretionary Grant Programs -January 2023</t>
  </si>
  <si>
    <t>AADTs are estimated using MnDOT traffic counts. The counts are estimated for the base year and then grown to the future at a rate of 0.5% - following the ICE Report data from the area</t>
  </si>
  <si>
    <t>User travel time benefits were valued in accordance with the Benefit-Cost Analysis Guidance for Discretionary Grant Programs -January 2023. The recommended values for travel time were provided in year 2021 dollars.</t>
  </si>
  <si>
    <t>Total Crash Savings</t>
  </si>
  <si>
    <t>SAFETY</t>
  </si>
  <si>
    <t>Vehicle operating costs for years 2027 and 2046 were valued in accordance with the Benefit-Cost Analysis Guidance for Discretionary Grant Programs - January 2023. Operating costs were derived from the need for vehicles to drive over substandard pavement, resulting in increased damage costs to vehicles.</t>
  </si>
  <si>
    <t>No Build and Build VMT for years between 2027 and 2046 were interpolated based on a linear annual growth rate, and VMT for years between 2027 and 2046 were extrapolated based on the same growth rate.</t>
  </si>
  <si>
    <t>User fuel savings were valued in accordance with the Benefit-Cost Analysis Guidance for Discretionary Grant Programs - January 2023. The recommended values for travel time were provided in year 2021 dollars.</t>
  </si>
  <si>
    <t>Daily Person Miles</t>
  </si>
  <si>
    <t>Daily Value</t>
  </si>
  <si>
    <t>Yearly Value</t>
  </si>
  <si>
    <t>Peds</t>
  </si>
  <si>
    <t>Walk Miles</t>
  </si>
  <si>
    <t>Bump Outs</t>
  </si>
  <si>
    <t>Intervention</t>
  </si>
  <si>
    <t>https://www.cmfclearinghouse.org/detail.cfm?facid=5185</t>
  </si>
  <si>
    <t>https://www.cmfclearinghouse.org/detail.cfm?facid=11158</t>
  </si>
  <si>
    <t>https://www.cmfclearinghouse.org/detail.cfm?facid=9821</t>
  </si>
  <si>
    <t>https://www.cmfclearinghouse.org/detail.cfm?facid=974</t>
  </si>
  <si>
    <t>https://www.cmfclearinghouse.org/detail.cfm?facid=10089</t>
  </si>
  <si>
    <t>Corridor Wide Sidewalk Expansions</t>
  </si>
  <si>
    <t>Ped Amenities</t>
  </si>
  <si>
    <t>Ped Cross 19</t>
  </si>
  <si>
    <t>Amenity</t>
  </si>
  <si>
    <t>Southside</t>
  </si>
  <si>
    <t>Northside</t>
  </si>
  <si>
    <t>ICE Int Number</t>
  </si>
  <si>
    <t>Peds Crossing Parallel to MN 19</t>
  </si>
  <si>
    <t>Peds Crossing MN 19</t>
  </si>
  <si>
    <t>Sidewalk</t>
  </si>
  <si>
    <t>Crosswalks</t>
  </si>
  <si>
    <t>Build Pedestrian Amenity Benefits</t>
  </si>
  <si>
    <t>Marked Crossing</t>
  </si>
  <si>
    <t>Marked Crossing - Per Use</t>
  </si>
  <si>
    <t>Sidewalk Value</t>
  </si>
  <si>
    <t>Averge Increase</t>
  </si>
  <si>
    <t>RRFB Value</t>
  </si>
  <si>
    <t>RAISE 2023 BCA SUMMARY - Hwy 19/College Drive Reconstruction</t>
  </si>
  <si>
    <t>https://www.oregon.gov/odot/Engineering/ARTS/CRF-List.xlsx</t>
  </si>
  <si>
    <t>Air quality</t>
  </si>
  <si>
    <t>Corridor Travel Time Savings</t>
  </si>
  <si>
    <t>Estimated* VMT Change</t>
  </si>
  <si>
    <t>*for emissions</t>
  </si>
  <si>
    <t>Amenity Benefits</t>
  </si>
  <si>
    <t>Table 2 - Watermain Calculations</t>
  </si>
  <si>
    <t>Annual Operation and Maintenance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</si>
</sst>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quot;$&quot;#,##0\ ;\(&quot;$&quot;#,##0\)"/>
    <numFmt numFmtId="167" formatCode="_(* #,##0_);_(* \(#,##0\);_(* &quot;-&quot;??_);_(@_)"/>
    <numFmt numFmtId="168" formatCode="0.0%"/>
    <numFmt numFmtId="169" formatCode="&quot;$&quot;#,##0.00"/>
    <numFmt numFmtId="170" formatCode="0.000"/>
    <numFmt numFmtId="171" formatCode="0.0"/>
    <numFmt numFmtId="172" formatCode="&quot;$&quot;#,##0.0"/>
    <numFmt numFmtId="173" formatCode="0.0000"/>
    <numFmt numFmtId="174" formatCode="#,##0.000"/>
    <numFmt numFmtId="175" formatCode="#,##0.0"/>
    <numFmt numFmtId="176" formatCode="_(* #,##0.0_);_(* \(#,##0.0\);_(* &quot;-&quot;??_);_(@_)"/>
    <numFmt numFmtId="177" formatCode="0.00000"/>
    <numFmt numFmtId="178" formatCode="&quot;$&quot;#,##0.000"/>
    <numFmt numFmtId="179" formatCode="_(* #,##0.000_);_(* \(#,##0.000\);_(* &quot;-&quot;??_);_(@_)"/>
  </numFmts>
  <fonts count="45"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
      <vertAlign val="superscript"/>
      <sz val="9"/>
      <color theme="1"/>
      <name val="Calibri"/>
      <family val="2"/>
      <scheme val="minor"/>
    </font>
    <font>
      <sz val="11"/>
      <name val="Calibri"/>
      <family val="2"/>
      <scheme val="minor"/>
    </font>
    <font>
      <sz val="10"/>
      <name val="Arial"/>
      <family val="2"/>
    </font>
    <font>
      <b/>
      <sz val="9"/>
      <name val="Calibri"/>
      <family val="2"/>
      <scheme val="minor"/>
    </font>
    <font>
      <sz val="9"/>
      <name val="Calibri"/>
      <family val="2"/>
      <scheme val="minor"/>
    </font>
    <font>
      <b/>
      <sz val="12"/>
      <color theme="1"/>
      <name val="Calibri"/>
      <family val="2"/>
      <scheme val="minor"/>
    </font>
    <font>
      <sz val="11"/>
      <color theme="0" tint="-0.249977111117893"/>
      <name val="Calibri"/>
      <family val="2"/>
      <scheme val="minor"/>
    </font>
    <font>
      <sz val="9"/>
      <color theme="0" tint="-0.249977111117893"/>
      <name val="Calibri"/>
      <family val="2"/>
      <scheme val="minor"/>
    </font>
    <font>
      <sz val="11"/>
      <name val="Arial Narrow"/>
      <family val="2"/>
    </font>
    <font>
      <b/>
      <sz val="11"/>
      <name val="Calibri"/>
      <family val="2"/>
      <scheme val="minor"/>
    </font>
    <font>
      <b/>
      <sz val="18"/>
      <color theme="1"/>
      <name val="Calibri"/>
      <family val="2"/>
      <scheme val="minor"/>
    </font>
    <font>
      <b/>
      <vertAlign val="superscript"/>
      <sz val="11"/>
      <color theme="1"/>
      <name val="Calibri"/>
      <family val="2"/>
      <scheme val="minor"/>
    </font>
    <font>
      <sz val="11"/>
      <color indexed="8"/>
      <name val="Calibri"/>
      <family val="2"/>
      <scheme val="minor"/>
    </font>
    <font>
      <b/>
      <i/>
      <sz val="11"/>
      <color theme="1"/>
      <name val="Calibri"/>
      <family val="2"/>
      <scheme val="minor"/>
    </font>
    <font>
      <sz val="9"/>
      <color rgb="FF0070C0"/>
      <name val="Calibri"/>
      <family val="2"/>
      <scheme val="minor"/>
    </font>
    <font>
      <u/>
      <sz val="11"/>
      <color theme="10"/>
      <name val="Calibri"/>
      <family val="2"/>
      <scheme val="minor"/>
    </font>
    <font>
      <sz val="11"/>
      <color rgb="FFFF0000"/>
      <name val="Calibri"/>
      <family val="2"/>
      <scheme val="minor"/>
    </font>
    <font>
      <sz val="9"/>
      <name val="Arial"/>
      <family val="2"/>
    </font>
    <font>
      <b/>
      <sz val="9"/>
      <name val="Arial"/>
      <family val="2"/>
    </font>
    <font>
      <b/>
      <sz val="8"/>
      <name val="Arial"/>
      <family val="2"/>
    </font>
    <font>
      <b/>
      <sz val="14"/>
      <color theme="1"/>
      <name val="Calibri"/>
      <family val="2"/>
      <scheme val="minor"/>
    </font>
    <font>
      <sz val="11"/>
      <color rgb="FF00B050"/>
      <name val="Calibri"/>
      <family val="2"/>
      <scheme val="minor"/>
    </font>
    <font>
      <sz val="9"/>
      <color theme="0" tint="-0.34998626667073579"/>
      <name val="Calibri"/>
      <family val="2"/>
      <scheme val="minor"/>
    </font>
    <font>
      <sz val="9"/>
      <color rgb="FFFF0000"/>
      <name val="Calibri"/>
      <family val="2"/>
      <scheme val="minor"/>
    </font>
    <font>
      <vertAlign val="subscript"/>
      <sz val="9"/>
      <color theme="1"/>
      <name val="Calibri"/>
      <family val="2"/>
      <scheme val="minor"/>
    </font>
    <font>
      <sz val="12"/>
      <name val="Arial"/>
      <family val="2"/>
    </font>
    <font>
      <u/>
      <sz val="10"/>
      <color indexed="12"/>
      <name val="Arial"/>
      <family val="2"/>
    </font>
    <font>
      <u/>
      <sz val="12"/>
      <color indexed="12"/>
      <name val="Arial"/>
      <family val="2"/>
    </font>
    <font>
      <b/>
      <sz val="12"/>
      <name val="Arial"/>
      <family val="2"/>
    </font>
    <font>
      <vertAlign val="superscript"/>
      <sz val="11"/>
      <color theme="1"/>
      <name val="Calibri"/>
      <family val="2"/>
      <scheme val="minor"/>
    </font>
    <font>
      <b/>
      <sz val="16"/>
      <color rgb="FFFF0000"/>
      <name val="Calibri"/>
      <family val="2"/>
      <scheme val="minor"/>
    </font>
    <font>
      <i/>
      <sz val="11"/>
      <color theme="0" tint="-0.499984740745262"/>
      <name val="Calibri"/>
      <family val="2"/>
      <scheme val="minor"/>
    </font>
    <font>
      <i/>
      <sz val="11"/>
      <color theme="1"/>
      <name val="Calibri"/>
      <family val="2"/>
      <scheme val="minor"/>
    </font>
    <font>
      <sz val="10"/>
      <color theme="0" tint="-0.499984740745262"/>
      <name val="Calibri"/>
      <family val="2"/>
      <scheme val="minor"/>
    </font>
    <font>
      <sz val="10"/>
      <color rgb="FFFF0000"/>
      <name val="Times"/>
      <family val="1"/>
    </font>
    <font>
      <i/>
      <sz val="9.35"/>
      <color theme="0" tint="-0.499984740745262"/>
      <name val="Calibri"/>
      <family val="2"/>
    </font>
    <font>
      <sz val="11"/>
      <color theme="0" tint="-4.9989318521683403E-2"/>
      <name val="Calibri"/>
      <family val="2"/>
      <scheme val="minor"/>
    </font>
    <font>
      <sz val="10"/>
      <color theme="1"/>
      <name val="Calibri"/>
      <family val="2"/>
      <scheme val="minor"/>
    </font>
    <font>
      <sz val="10"/>
      <name val="Arial"/>
      <family val="2"/>
    </font>
    <font>
      <sz val="11"/>
      <color theme="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style="medium">
        <color auto="1"/>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auto="1"/>
      </right>
      <top style="thin">
        <color auto="1"/>
      </top>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143">
    <xf numFmtId="0" fontId="0" fillId="0" borderId="0"/>
    <xf numFmtId="44" fontId="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3" fontId="7" fillId="0" borderId="0" applyFont="0" applyFill="0" applyBorder="0" applyAlignment="0" applyProtection="0"/>
    <xf numFmtId="166" fontId="7" fillId="0" borderId="0" applyFont="0" applyFill="0" applyBorder="0" applyAlignment="0" applyProtection="0"/>
    <xf numFmtId="0" fontId="7" fillId="0" borderId="0" applyFont="0" applyFill="0" applyBorder="0" applyAlignment="0" applyProtection="0"/>
    <xf numFmtId="2" fontId="7" fillId="0" borderId="0" applyFont="0" applyFill="0" applyBorder="0" applyAlignment="0" applyProtection="0"/>
    <xf numFmtId="0" fontId="1" fillId="0" borderId="0"/>
    <xf numFmtId="0" fontId="13"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7" fillId="0" borderId="0"/>
    <xf numFmtId="0" fontId="20" fillId="0" borderId="0" applyNumberFormat="0" applyFill="0" applyBorder="0" applyAlignment="0" applyProtection="0"/>
    <xf numFmtId="0" fontId="31" fillId="0" borderId="0" applyNumberFormat="0" applyFill="0" applyBorder="0" applyAlignment="0" applyProtection="0">
      <alignment vertical="top"/>
      <protection locked="0"/>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43" fillId="0" borderId="0"/>
  </cellStyleXfs>
  <cellXfs count="598">
    <xf numFmtId="0" fontId="0" fillId="0" borderId="0" xfId="0"/>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0" xfId="0" applyFont="1"/>
    <xf numFmtId="164" fontId="2" fillId="0" borderId="0" xfId="0" applyNumberFormat="1" applyFont="1" applyAlignment="1">
      <alignment horizontal="center"/>
    </xf>
    <xf numFmtId="0" fontId="4" fillId="0" borderId="0" xfId="0" applyFont="1"/>
    <xf numFmtId="0" fontId="0" fillId="0" borderId="0" xfId="0" applyAlignment="1">
      <alignment horizontal="right"/>
    </xf>
    <xf numFmtId="0" fontId="8" fillId="0" borderId="0" xfId="0" applyFont="1" applyAlignment="1">
      <alignment horizontal="center"/>
    </xf>
    <xf numFmtId="0" fontId="9" fillId="0" borderId="25" xfId="0" applyFont="1" applyBorder="1" applyAlignment="1">
      <alignment vertical="center"/>
    </xf>
    <xf numFmtId="0" fontId="2" fillId="0" borderId="0" xfId="0" applyFont="1" applyAlignment="1">
      <alignment horizontal="center"/>
    </xf>
    <xf numFmtId="1" fontId="2" fillId="0" borderId="0" xfId="0" applyNumberFormat="1" applyFont="1" applyAlignment="1">
      <alignment horizontal="center"/>
    </xf>
    <xf numFmtId="0" fontId="10" fillId="0" borderId="0" xfId="0" applyFont="1" applyAlignment="1">
      <alignment horizontal="center"/>
    </xf>
    <xf numFmtId="0" fontId="11" fillId="0" borderId="0" xfId="0" applyFont="1"/>
    <xf numFmtId="164" fontId="12" fillId="0" borderId="0" xfId="0" applyNumberFormat="1" applyFont="1" applyAlignment="1">
      <alignment horizontal="center"/>
    </xf>
    <xf numFmtId="0" fontId="0" fillId="0" borderId="39" xfId="0" applyBorder="1"/>
    <xf numFmtId="0" fontId="4" fillId="2" borderId="44" xfId="0" applyFont="1" applyFill="1" applyBorder="1"/>
    <xf numFmtId="0" fontId="4" fillId="2" borderId="43" xfId="0" applyFont="1" applyFill="1" applyBorder="1"/>
    <xf numFmtId="0" fontId="3"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vertical="top" wrapText="1"/>
    </xf>
    <xf numFmtId="0" fontId="4" fillId="0" borderId="0" xfId="0" applyFont="1" applyAlignment="1">
      <alignment horizontal="left"/>
    </xf>
    <xf numFmtId="0" fontId="14" fillId="0" borderId="0" xfId="0" applyFont="1" applyAlignment="1">
      <alignment horizontal="left"/>
    </xf>
    <xf numFmtId="0" fontId="15" fillId="0" borderId="0" xfId="0" applyFont="1"/>
    <xf numFmtId="165" fontId="8" fillId="0" borderId="25" xfId="1" applyNumberFormat="1" applyFont="1" applyFill="1" applyBorder="1" applyAlignment="1">
      <alignment horizontal="center"/>
    </xf>
    <xf numFmtId="165" fontId="8" fillId="0" borderId="24" xfId="1" applyNumberFormat="1" applyFont="1" applyFill="1" applyBorder="1" applyAlignment="1">
      <alignment horizontal="center"/>
    </xf>
    <xf numFmtId="0" fontId="9" fillId="0" borderId="25" xfId="1" applyNumberFormat="1" applyFont="1" applyFill="1" applyBorder="1" applyAlignment="1">
      <alignment horizontal="center"/>
    </xf>
    <xf numFmtId="0" fontId="0" fillId="0" borderId="1" xfId="0" applyBorder="1"/>
    <xf numFmtId="0" fontId="0" fillId="0" borderId="32" xfId="0" applyBorder="1"/>
    <xf numFmtId="0" fontId="0" fillId="0" borderId="31" xfId="0" applyBorder="1"/>
    <xf numFmtId="0" fontId="0" fillId="0" borderId="45" xfId="0" applyBorder="1"/>
    <xf numFmtId="0" fontId="0" fillId="0" borderId="3" xfId="0" applyBorder="1"/>
    <xf numFmtId="0" fontId="0" fillId="0" borderId="29" xfId="0" applyBorder="1"/>
    <xf numFmtId="167" fontId="4" fillId="0" borderId="0" xfId="15" applyNumberFormat="1" applyFont="1"/>
    <xf numFmtId="164" fontId="3" fillId="0" borderId="4" xfId="0" applyNumberFormat="1" applyFont="1" applyBorder="1"/>
    <xf numFmtId="0" fontId="10" fillId="0" borderId="0" xfId="0" applyFont="1" applyAlignment="1">
      <alignment horizontal="left"/>
    </xf>
    <xf numFmtId="167" fontId="0" fillId="0" borderId="0" xfId="15" applyNumberFormat="1" applyFont="1" applyBorder="1"/>
    <xf numFmtId="164" fontId="0" fillId="0" borderId="0" xfId="0" applyNumberFormat="1" applyAlignment="1">
      <alignment horizontal="center"/>
    </xf>
    <xf numFmtId="2" fontId="0" fillId="0" borderId="0" xfId="0" applyNumberFormat="1" applyAlignment="1">
      <alignment horizontal="center"/>
    </xf>
    <xf numFmtId="9" fontId="4" fillId="0" borderId="0" xfId="0" applyNumberFormat="1" applyFont="1" applyAlignment="1">
      <alignment horizontal="center"/>
    </xf>
    <xf numFmtId="0" fontId="0" fillId="0" borderId="0" xfId="0" applyAlignment="1">
      <alignment vertical="center"/>
    </xf>
    <xf numFmtId="0" fontId="10" fillId="0" borderId="0" xfId="0" applyFont="1" applyAlignment="1">
      <alignment horizontal="center" vertical="center"/>
    </xf>
    <xf numFmtId="0" fontId="0" fillId="0" borderId="0" xfId="0" applyAlignment="1">
      <alignment vertical="top"/>
    </xf>
    <xf numFmtId="164" fontId="19" fillId="0" borderId="0" xfId="0" applyNumberFormat="1" applyFont="1" applyAlignment="1">
      <alignment horizontal="center"/>
    </xf>
    <xf numFmtId="0" fontId="0" fillId="0" borderId="25" xfId="0" applyBorder="1"/>
    <xf numFmtId="164" fontId="3" fillId="0" borderId="0" xfId="0" applyNumberFormat="1" applyFont="1"/>
    <xf numFmtId="165" fontId="2" fillId="0" borderId="0" xfId="1" applyNumberFormat="1" applyFont="1" applyBorder="1" applyAlignment="1">
      <alignment horizontal="center"/>
    </xf>
    <xf numFmtId="37" fontId="2" fillId="0" borderId="0" xfId="0" applyNumberFormat="1" applyFont="1"/>
    <xf numFmtId="0" fontId="18" fillId="0" borderId="0" xfId="0" applyFont="1" applyAlignment="1">
      <alignment horizontal="center"/>
    </xf>
    <xf numFmtId="0" fontId="0" fillId="0" borderId="0" xfId="0" applyAlignment="1">
      <alignment horizontal="left"/>
    </xf>
    <xf numFmtId="44" fontId="0" fillId="0" borderId="0" xfId="1" applyFont="1" applyFill="1" applyBorder="1"/>
    <xf numFmtId="0" fontId="2" fillId="0" borderId="7" xfId="0" applyFont="1" applyBorder="1" applyAlignment="1">
      <alignment horizontal="center"/>
    </xf>
    <xf numFmtId="0" fontId="3" fillId="0" borderId="11" xfId="0" applyFont="1" applyBorder="1" applyAlignment="1">
      <alignment horizontal="center" vertical="center"/>
    </xf>
    <xf numFmtId="1" fontId="0" fillId="0" borderId="0" xfId="0" applyNumberFormat="1"/>
    <xf numFmtId="0" fontId="4" fillId="0" borderId="0" xfId="0" applyFont="1" applyAlignment="1">
      <alignment horizontal="center"/>
    </xf>
    <xf numFmtId="169" fontId="0" fillId="0" borderId="0" xfId="1" applyNumberFormat="1" applyFont="1" applyFill="1" applyBorder="1" applyAlignment="1">
      <alignment horizontal="center"/>
    </xf>
    <xf numFmtId="0" fontId="4" fillId="0" borderId="25" xfId="0" applyFont="1" applyBorder="1"/>
    <xf numFmtId="168" fontId="0" fillId="0" borderId="25" xfId="16" applyNumberFormat="1" applyFont="1" applyFill="1" applyBorder="1" applyAlignment="1">
      <alignment horizontal="center"/>
    </xf>
    <xf numFmtId="0" fontId="22" fillId="0" borderId="0" xfId="0" applyFont="1"/>
    <xf numFmtId="167" fontId="0" fillId="0" borderId="0" xfId="0" applyNumberFormat="1"/>
    <xf numFmtId="0" fontId="0" fillId="0" borderId="25" xfId="0" applyBorder="1" applyAlignment="1">
      <alignment horizontal="left"/>
    </xf>
    <xf numFmtId="169" fontId="0" fillId="0" borderId="25" xfId="0" applyNumberFormat="1" applyBorder="1" applyAlignment="1">
      <alignment horizontal="center"/>
    </xf>
    <xf numFmtId="169" fontId="0" fillId="0" borderId="25" xfId="1" applyNumberFormat="1" applyFont="1" applyFill="1" applyBorder="1" applyAlignment="1">
      <alignment horizontal="center"/>
    </xf>
    <xf numFmtId="2" fontId="0" fillId="0" borderId="25" xfId="16" applyNumberFormat="1" applyFont="1" applyFill="1" applyBorder="1" applyAlignment="1">
      <alignment horizontal="center"/>
    </xf>
    <xf numFmtId="164" fontId="2" fillId="0" borderId="18"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164" fontId="2" fillId="0" borderId="5" xfId="0" applyNumberFormat="1" applyFont="1" applyBorder="1" applyAlignment="1">
      <alignment horizontal="center" vertical="center" wrapText="1"/>
    </xf>
    <xf numFmtId="167" fontId="2" fillId="0" borderId="20" xfId="15" applyNumberFormat="1" applyFont="1" applyFill="1" applyBorder="1" applyAlignment="1">
      <alignment horizontal="right" indent="1"/>
    </xf>
    <xf numFmtId="6" fontId="11" fillId="0" borderId="0" xfId="0" applyNumberFormat="1" applyFont="1" applyAlignment="1">
      <alignment horizontal="center"/>
    </xf>
    <xf numFmtId="164" fontId="2" fillId="0" borderId="13" xfId="0" applyNumberFormat="1" applyFont="1" applyBorder="1" applyAlignment="1">
      <alignment horizontal="center" vertical="center"/>
    </xf>
    <xf numFmtId="164" fontId="2" fillId="0" borderId="0" xfId="0" applyNumberFormat="1" applyFont="1" applyAlignment="1">
      <alignment horizontal="center" vertical="center"/>
    </xf>
    <xf numFmtId="0" fontId="2" fillId="0" borderId="31" xfId="0" applyFont="1" applyBorder="1" applyAlignment="1">
      <alignment horizontal="center" vertical="center"/>
    </xf>
    <xf numFmtId="0" fontId="4" fillId="0" borderId="0" xfId="0" applyFont="1" applyAlignment="1">
      <alignment horizontal="right"/>
    </xf>
    <xf numFmtId="165" fontId="9" fillId="0" borderId="25" xfId="1" applyNumberFormat="1" applyFont="1" applyFill="1" applyBorder="1" applyAlignment="1">
      <alignment vertical="center"/>
    </xf>
    <xf numFmtId="37" fontId="0" fillId="0" borderId="25" xfId="15" applyNumberFormat="1" applyFont="1" applyFill="1" applyBorder="1" applyAlignment="1">
      <alignment horizontal="center"/>
    </xf>
    <xf numFmtId="0" fontId="9" fillId="0" borderId="0" xfId="2" applyFont="1" applyAlignment="1">
      <alignment horizontal="left"/>
    </xf>
    <xf numFmtId="0" fontId="9" fillId="0" borderId="25" xfId="2" applyFont="1" applyBorder="1" applyAlignment="1">
      <alignment horizontal="left" vertical="center"/>
    </xf>
    <xf numFmtId="0" fontId="9" fillId="0" borderId="25" xfId="2" applyFont="1" applyBorder="1" applyAlignment="1">
      <alignment horizontal="center" vertical="center"/>
    </xf>
    <xf numFmtId="0" fontId="23" fillId="0" borderId="25" xfId="0" applyFont="1" applyBorder="1" applyAlignment="1">
      <alignment horizontal="center"/>
    </xf>
    <xf numFmtId="0" fontId="24" fillId="0" borderId="25" xfId="0" applyFont="1" applyBorder="1" applyAlignment="1">
      <alignment horizontal="right"/>
    </xf>
    <xf numFmtId="0" fontId="23" fillId="0" borderId="25" xfId="0" applyFont="1" applyBorder="1" applyAlignment="1">
      <alignment horizontal="right"/>
    </xf>
    <xf numFmtId="0" fontId="21" fillId="0" borderId="0" xfId="0" applyFont="1"/>
    <xf numFmtId="0" fontId="21" fillId="0" borderId="0" xfId="0" quotePrefix="1" applyFont="1"/>
    <xf numFmtId="6" fontId="2" fillId="0" borderId="12" xfId="0" applyNumberFormat="1" applyFont="1" applyBorder="1" applyAlignment="1">
      <alignment horizontal="right" indent="1"/>
    </xf>
    <xf numFmtId="0" fontId="26" fillId="0" borderId="0" xfId="0" quotePrefix="1" applyFont="1"/>
    <xf numFmtId="164" fontId="2" fillId="0" borderId="19" xfId="0" applyNumberFormat="1" applyFont="1" applyBorder="1" applyAlignment="1">
      <alignment horizontal="center" vertical="center"/>
    </xf>
    <xf numFmtId="164" fontId="2" fillId="0" borderId="20" xfId="0" applyNumberFormat="1" applyFont="1" applyBorder="1" applyAlignment="1">
      <alignment horizontal="center" vertical="center"/>
    </xf>
    <xf numFmtId="165" fontId="8" fillId="0" borderId="0" xfId="1" applyNumberFormat="1" applyFont="1" applyFill="1" applyBorder="1" applyAlignment="1">
      <alignment horizontal="center"/>
    </xf>
    <xf numFmtId="0" fontId="8" fillId="0" borderId="0" xfId="4" applyFont="1" applyAlignment="1">
      <alignment horizontal="center" vertical="center"/>
    </xf>
    <xf numFmtId="165" fontId="9" fillId="0" borderId="0" xfId="1" applyNumberFormat="1" applyFont="1" applyFill="1" applyBorder="1" applyAlignment="1">
      <alignment horizontal="center"/>
    </xf>
    <xf numFmtId="2" fontId="9" fillId="0" borderId="25" xfId="0" applyNumberFormat="1" applyFont="1" applyBorder="1" applyAlignment="1">
      <alignment horizontal="center"/>
    </xf>
    <xf numFmtId="0" fontId="4" fillId="0" borderId="25" xfId="0" applyFont="1" applyBorder="1" applyAlignment="1">
      <alignment horizontal="center"/>
    </xf>
    <xf numFmtId="0" fontId="4" fillId="0" borderId="25" xfId="0" applyFont="1" applyBorder="1" applyAlignment="1">
      <alignment horizontal="center" vertical="center"/>
    </xf>
    <xf numFmtId="164" fontId="0" fillId="0" borderId="0" xfId="0" applyNumberFormat="1"/>
    <xf numFmtId="5" fontId="0" fillId="0" borderId="0" xfId="0" applyNumberFormat="1"/>
    <xf numFmtId="164" fontId="2" fillId="0" borderId="53" xfId="0" applyNumberFormat="1" applyFont="1" applyBorder="1" applyAlignment="1">
      <alignment horizontal="center" vertical="center"/>
    </xf>
    <xf numFmtId="164" fontId="2" fillId="0" borderId="33" xfId="0" applyNumberFormat="1" applyFont="1" applyBorder="1" applyAlignment="1">
      <alignment horizontal="center" vertical="center"/>
    </xf>
    <xf numFmtId="164" fontId="2" fillId="0" borderId="51" xfId="0" applyNumberFormat="1" applyFont="1" applyBorder="1" applyAlignment="1">
      <alignment horizontal="center" vertical="center"/>
    </xf>
    <xf numFmtId="164" fontId="2" fillId="0" borderId="8" xfId="0" applyNumberFormat="1" applyFont="1" applyBorder="1" applyAlignment="1">
      <alignment horizontal="right"/>
    </xf>
    <xf numFmtId="164" fontId="2" fillId="0" borderId="14" xfId="0" applyNumberFormat="1" applyFont="1" applyBorder="1" applyAlignment="1">
      <alignment horizontal="right"/>
    </xf>
    <xf numFmtId="164" fontId="0" fillId="0" borderId="25" xfId="0" applyNumberFormat="1" applyBorder="1"/>
    <xf numFmtId="164" fontId="2" fillId="0" borderId="18" xfId="0" applyNumberFormat="1" applyFont="1" applyBorder="1" applyAlignment="1">
      <alignment horizontal="right"/>
    </xf>
    <xf numFmtId="164" fontId="2" fillId="0" borderId="38" xfId="0" applyNumberFormat="1" applyFont="1" applyBorder="1" applyAlignment="1">
      <alignment horizontal="right"/>
    </xf>
    <xf numFmtId="0" fontId="2" fillId="0" borderId="7" xfId="0" applyFont="1" applyBorder="1" applyAlignment="1">
      <alignment horizontal="center" vertical="center" wrapText="1"/>
    </xf>
    <xf numFmtId="164" fontId="2" fillId="0" borderId="7" xfId="0" applyNumberFormat="1" applyFont="1" applyBorder="1" applyAlignment="1">
      <alignment horizontal="center" vertical="center" wrapText="1"/>
    </xf>
    <xf numFmtId="164" fontId="2" fillId="0" borderId="14" xfId="0" applyNumberFormat="1" applyFont="1" applyBorder="1" applyAlignment="1">
      <alignment horizontal="center" vertical="center"/>
    </xf>
    <xf numFmtId="167" fontId="2" fillId="0" borderId="19" xfId="15" applyNumberFormat="1" applyFont="1" applyFill="1" applyBorder="1" applyAlignment="1">
      <alignment horizontal="right" indent="1"/>
    </xf>
    <xf numFmtId="167" fontId="22" fillId="0" borderId="25" xfId="7" applyNumberFormat="1" applyFont="1" applyFill="1" applyBorder="1" applyAlignment="1">
      <alignment horizontal="center"/>
    </xf>
    <xf numFmtId="0" fontId="23" fillId="0" borderId="25" xfId="0" applyFont="1" applyBorder="1"/>
    <xf numFmtId="38" fontId="2" fillId="0" borderId="12" xfId="0" applyNumberFormat="1" applyFont="1" applyBorder="1" applyAlignment="1">
      <alignment horizontal="right" indent="1"/>
    </xf>
    <xf numFmtId="6" fontId="2" fillId="0" borderId="38" xfId="0" applyNumberFormat="1" applyFont="1" applyBorder="1" applyAlignment="1">
      <alignment horizontal="center"/>
    </xf>
    <xf numFmtId="6" fontId="2" fillId="0" borderId="19" xfId="0" applyNumberFormat="1" applyFont="1" applyBorder="1" applyAlignment="1">
      <alignment horizontal="center"/>
    </xf>
    <xf numFmtId="6" fontId="2" fillId="0" borderId="14" xfId="0" applyNumberFormat="1" applyFont="1" applyBorder="1" applyAlignment="1">
      <alignment horizontal="center"/>
    </xf>
    <xf numFmtId="6" fontId="2" fillId="0" borderId="34" xfId="0" applyNumberFormat="1" applyFont="1" applyBorder="1" applyAlignment="1">
      <alignment horizontal="center"/>
    </xf>
    <xf numFmtId="6" fontId="2" fillId="0" borderId="20" xfId="0" applyNumberFormat="1" applyFont="1" applyBorder="1" applyAlignment="1">
      <alignment horizontal="center"/>
    </xf>
    <xf numFmtId="6" fontId="2" fillId="0" borderId="15" xfId="0" applyNumberFormat="1" applyFont="1" applyBorder="1" applyAlignment="1">
      <alignment horizontal="center"/>
    </xf>
    <xf numFmtId="10" fontId="22" fillId="0" borderId="25" xfId="16" applyNumberFormat="1" applyFont="1" applyFill="1" applyBorder="1" applyAlignment="1">
      <alignment horizontal="center"/>
    </xf>
    <xf numFmtId="0" fontId="2" fillId="0" borderId="14" xfId="0" applyFont="1" applyBorder="1" applyAlignment="1">
      <alignment horizontal="center" vertical="center" wrapText="1"/>
    </xf>
    <xf numFmtId="164" fontId="27" fillId="0" borderId="0" xfId="0" applyNumberFormat="1" applyFont="1" applyAlignment="1">
      <alignment horizontal="center"/>
    </xf>
    <xf numFmtId="0" fontId="25" fillId="0" borderId="4" xfId="0" applyFont="1" applyBorder="1"/>
    <xf numFmtId="164" fontId="2" fillId="0" borderId="9" xfId="0" applyNumberFormat="1" applyFont="1" applyBorder="1" applyAlignment="1">
      <alignment horizontal="center" vertical="center" wrapText="1"/>
    </xf>
    <xf numFmtId="164" fontId="2" fillId="0" borderId="18" xfId="0" applyNumberFormat="1" applyFont="1" applyBorder="1" applyAlignment="1">
      <alignment horizontal="center" vertical="center" wrapText="1"/>
    </xf>
    <xf numFmtId="164" fontId="2" fillId="0" borderId="20" xfId="0" applyNumberFormat="1" applyFont="1" applyBorder="1" applyAlignment="1">
      <alignment horizontal="center" vertical="center" wrapText="1"/>
    </xf>
    <xf numFmtId="164" fontId="2" fillId="0" borderId="18" xfId="0" applyNumberFormat="1" applyFont="1" applyBorder="1" applyAlignment="1">
      <alignment horizontal="center"/>
    </xf>
    <xf numFmtId="164" fontId="2" fillId="0" borderId="19" xfId="0" applyNumberFormat="1" applyFont="1" applyBorder="1" applyAlignment="1">
      <alignment horizontal="center"/>
    </xf>
    <xf numFmtId="0" fontId="4" fillId="2" borderId="56" xfId="0" applyFont="1" applyFill="1" applyBorder="1"/>
    <xf numFmtId="2" fontId="4" fillId="0" borderId="57" xfId="0" applyNumberFormat="1" applyFont="1" applyBorder="1" applyAlignment="1">
      <alignment horizontal="center"/>
    </xf>
    <xf numFmtId="0" fontId="4" fillId="2" borderId="34" xfId="0" applyFont="1" applyFill="1" applyBorder="1"/>
    <xf numFmtId="164" fontId="0" fillId="0" borderId="20" xfId="0" applyNumberFormat="1" applyBorder="1" applyAlignment="1">
      <alignment horizontal="center"/>
    </xf>
    <xf numFmtId="164" fontId="2" fillId="0" borderId="20" xfId="0" applyNumberFormat="1" applyFont="1" applyBorder="1" applyAlignment="1">
      <alignment horizontal="center"/>
    </xf>
    <xf numFmtId="164" fontId="2" fillId="0" borderId="12" xfId="0" applyNumberFormat="1" applyFont="1" applyBorder="1" applyAlignment="1">
      <alignment horizontal="center"/>
    </xf>
    <xf numFmtId="164" fontId="2" fillId="0" borderId="15" xfId="0" applyNumberFormat="1" applyFont="1" applyBorder="1" applyAlignment="1">
      <alignment horizontal="center" vertical="center"/>
    </xf>
    <xf numFmtId="0" fontId="6" fillId="0" borderId="25" xfId="0" applyFont="1" applyBorder="1" applyAlignment="1">
      <alignment vertical="center"/>
    </xf>
    <xf numFmtId="0" fontId="0" fillId="0" borderId="25" xfId="0" applyBorder="1" applyAlignment="1">
      <alignment horizontal="center"/>
    </xf>
    <xf numFmtId="0" fontId="2" fillId="0" borderId="25" xfId="0" applyFont="1" applyBorder="1" applyAlignment="1">
      <alignment horizontal="center"/>
    </xf>
    <xf numFmtId="164" fontId="2" fillId="0" borderId="49" xfId="0" applyNumberFormat="1" applyFont="1" applyBorder="1" applyAlignment="1">
      <alignment horizontal="right" indent="1"/>
    </xf>
    <xf numFmtId="9" fontId="4" fillId="2" borderId="36" xfId="0" applyNumberFormat="1" applyFont="1" applyFill="1" applyBorder="1" applyAlignment="1">
      <alignment horizontal="center"/>
    </xf>
    <xf numFmtId="164" fontId="0" fillId="0" borderId="58" xfId="0" applyNumberFormat="1" applyBorder="1" applyAlignment="1">
      <alignment horizontal="center"/>
    </xf>
    <xf numFmtId="164" fontId="0" fillId="0" borderId="42" xfId="0" applyNumberFormat="1" applyBorder="1" applyAlignment="1">
      <alignment horizontal="center"/>
    </xf>
    <xf numFmtId="9" fontId="4" fillId="2" borderId="28" xfId="0" applyNumberFormat="1" applyFont="1" applyFill="1" applyBorder="1" applyAlignment="1">
      <alignment horizontal="center"/>
    </xf>
    <xf numFmtId="0" fontId="0" fillId="0" borderId="54" xfId="0" applyBorder="1"/>
    <xf numFmtId="0" fontId="4" fillId="2" borderId="59" xfId="0" applyFont="1" applyFill="1" applyBorder="1"/>
    <xf numFmtId="0" fontId="4" fillId="2" borderId="41" xfId="0" applyFont="1" applyFill="1" applyBorder="1"/>
    <xf numFmtId="0" fontId="4" fillId="2" borderId="60" xfId="0" applyFont="1" applyFill="1" applyBorder="1"/>
    <xf numFmtId="164" fontId="0" fillId="0" borderId="18" xfId="0" applyNumberFormat="1" applyBorder="1" applyAlignment="1">
      <alignment horizontal="center"/>
    </xf>
    <xf numFmtId="171" fontId="0" fillId="0" borderId="0" xfId="0" applyNumberFormat="1"/>
    <xf numFmtId="171" fontId="4" fillId="0" borderId="57" xfId="0" applyNumberFormat="1" applyFont="1" applyBorder="1" applyAlignment="1">
      <alignment horizontal="left"/>
    </xf>
    <xf numFmtId="164" fontId="2" fillId="0" borderId="19" xfId="0" applyNumberFormat="1" applyFont="1" applyBorder="1" applyAlignment="1">
      <alignment horizontal="right"/>
    </xf>
    <xf numFmtId="0" fontId="2" fillId="0" borderId="62" xfId="0" applyFont="1" applyBorder="1" applyAlignment="1">
      <alignment horizontal="center" vertical="center" wrapText="1"/>
    </xf>
    <xf numFmtId="0" fontId="2" fillId="0" borderId="9" xfId="0" applyFont="1" applyBorder="1" applyAlignment="1">
      <alignment horizontal="center" vertical="center" wrapText="1"/>
    </xf>
    <xf numFmtId="164" fontId="2" fillId="0" borderId="5"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2" fillId="0" borderId="5" xfId="0" applyNumberFormat="1" applyFont="1" applyBorder="1" applyAlignment="1">
      <alignment horizontal="center"/>
    </xf>
    <xf numFmtId="164" fontId="2" fillId="0" borderId="7" xfId="0" applyNumberFormat="1" applyFont="1" applyBorder="1" applyAlignment="1">
      <alignment horizontal="center"/>
    </xf>
    <xf numFmtId="164" fontId="2" fillId="0" borderId="9" xfId="0" applyNumberFormat="1" applyFont="1" applyBorder="1" applyAlignment="1">
      <alignment horizontal="center"/>
    </xf>
    <xf numFmtId="172" fontId="0" fillId="0" borderId="18" xfId="0" applyNumberFormat="1" applyBorder="1" applyAlignment="1">
      <alignment horizontal="left"/>
    </xf>
    <xf numFmtId="172" fontId="0" fillId="0" borderId="42" xfId="0" applyNumberFormat="1" applyBorder="1" applyAlignment="1">
      <alignment horizontal="left"/>
    </xf>
    <xf numFmtId="172" fontId="0" fillId="0" borderId="20" xfId="0" applyNumberFormat="1" applyBorder="1" applyAlignment="1">
      <alignment horizontal="left"/>
    </xf>
    <xf numFmtId="6" fontId="0" fillId="0" borderId="0" xfId="0" applyNumberFormat="1"/>
    <xf numFmtId="0" fontId="2" fillId="0" borderId="37" xfId="0" applyFont="1" applyBorder="1" applyAlignment="1">
      <alignment horizontal="center" vertical="center" wrapText="1"/>
    </xf>
    <xf numFmtId="0" fontId="0" fillId="0" borderId="0" xfId="0" applyAlignment="1">
      <alignment horizontal="left" vertical="top" wrapText="1"/>
    </xf>
    <xf numFmtId="0" fontId="2" fillId="0" borderId="48"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26" xfId="0" applyFont="1" applyBorder="1" applyAlignment="1">
      <alignment horizontal="left"/>
    </xf>
    <xf numFmtId="0" fontId="25" fillId="0" borderId="0" xfId="0" applyFont="1"/>
    <xf numFmtId="167" fontId="2" fillId="0" borderId="33" xfId="15" applyNumberFormat="1" applyFont="1" applyFill="1" applyBorder="1" applyAlignment="1">
      <alignment horizontal="right" indent="1"/>
    </xf>
    <xf numFmtId="167" fontId="2" fillId="0" borderId="46" xfId="15" applyNumberFormat="1" applyFont="1" applyFill="1" applyBorder="1" applyAlignment="1">
      <alignment horizontal="right" indent="1"/>
    </xf>
    <xf numFmtId="167" fontId="2" fillId="0" borderId="38" xfId="15" applyNumberFormat="1" applyFont="1" applyFill="1" applyBorder="1" applyAlignment="1">
      <alignment horizontal="right" indent="1"/>
    </xf>
    <xf numFmtId="167" fontId="2" fillId="0" borderId="25" xfId="15" applyNumberFormat="1" applyFont="1" applyFill="1" applyBorder="1" applyAlignment="1">
      <alignment horizontal="right" indent="1"/>
    </xf>
    <xf numFmtId="167" fontId="2" fillId="0" borderId="34" xfId="15" applyNumberFormat="1" applyFont="1" applyFill="1" applyBorder="1" applyAlignment="1">
      <alignment horizontal="right" indent="1"/>
    </xf>
    <xf numFmtId="167" fontId="2" fillId="0" borderId="52" xfId="15" applyNumberFormat="1" applyFont="1" applyFill="1" applyBorder="1" applyAlignment="1">
      <alignment horizontal="right" indent="1"/>
    </xf>
    <xf numFmtId="173" fontId="0" fillId="0" borderId="0" xfId="0" applyNumberFormat="1"/>
    <xf numFmtId="174" fontId="2" fillId="0" borderId="33" xfId="0" applyNumberFormat="1" applyFont="1" applyBorder="1" applyAlignment="1">
      <alignment horizontal="center"/>
    </xf>
    <xf numFmtId="174" fontId="2" fillId="0" borderId="46" xfId="0" applyNumberFormat="1" applyFont="1" applyBorder="1" applyAlignment="1">
      <alignment horizontal="center"/>
    </xf>
    <xf numFmtId="174" fontId="2" fillId="0" borderId="18" xfId="0" applyNumberFormat="1" applyFont="1" applyBorder="1" applyAlignment="1">
      <alignment horizontal="center"/>
    </xf>
    <xf numFmtId="171" fontId="2" fillId="0" borderId="44" xfId="0" applyNumberFormat="1" applyFont="1" applyBorder="1" applyAlignment="1">
      <alignment horizontal="center"/>
    </xf>
    <xf numFmtId="174" fontId="2" fillId="0" borderId="38" xfId="0" applyNumberFormat="1" applyFont="1" applyBorder="1" applyAlignment="1">
      <alignment horizontal="center"/>
    </xf>
    <xf numFmtId="174" fontId="2" fillId="0" borderId="25" xfId="0" applyNumberFormat="1" applyFont="1" applyBorder="1" applyAlignment="1">
      <alignment horizontal="center"/>
    </xf>
    <xf numFmtId="174" fontId="2" fillId="0" borderId="19" xfId="0" applyNumberFormat="1" applyFont="1" applyBorder="1" applyAlignment="1">
      <alignment horizontal="center"/>
    </xf>
    <xf numFmtId="0" fontId="4" fillId="0" borderId="25" xfId="0" applyFont="1" applyBorder="1" applyAlignment="1">
      <alignment vertical="center"/>
    </xf>
    <xf numFmtId="171" fontId="2" fillId="0" borderId="9" xfId="0" applyNumberFormat="1" applyFont="1" applyBorder="1" applyAlignment="1">
      <alignment horizontal="center"/>
    </xf>
    <xf numFmtId="174" fontId="2" fillId="0" borderId="34" xfId="0" applyNumberFormat="1" applyFont="1" applyBorder="1" applyAlignment="1">
      <alignment horizontal="center"/>
    </xf>
    <xf numFmtId="174" fontId="2" fillId="0" borderId="52" xfId="0" applyNumberFormat="1" applyFont="1" applyBorder="1" applyAlignment="1">
      <alignment horizontal="center"/>
    </xf>
    <xf numFmtId="174" fontId="2" fillId="0" borderId="20" xfId="0" applyNumberFormat="1" applyFont="1" applyBorder="1" applyAlignment="1">
      <alignment horizontal="center"/>
    </xf>
    <xf numFmtId="6" fontId="3" fillId="0" borderId="0" xfId="0" applyNumberFormat="1" applyFont="1"/>
    <xf numFmtId="6" fontId="2" fillId="0" borderId="0" xfId="0" applyNumberFormat="1" applyFont="1" applyAlignment="1">
      <alignment horizontal="center"/>
    </xf>
    <xf numFmtId="0" fontId="4" fillId="0" borderId="4" xfId="0" applyFont="1" applyBorder="1"/>
    <xf numFmtId="3" fontId="2" fillId="0" borderId="14" xfId="0" applyNumberFormat="1" applyFont="1" applyBorder="1" applyAlignment="1">
      <alignment horizontal="center"/>
    </xf>
    <xf numFmtId="173" fontId="0" fillId="0" borderId="25" xfId="0" applyNumberFormat="1" applyBorder="1" applyAlignment="1">
      <alignment horizontal="center" vertical="center"/>
    </xf>
    <xf numFmtId="173" fontId="0" fillId="0" borderId="25" xfId="0" applyNumberFormat="1" applyBorder="1"/>
    <xf numFmtId="0" fontId="6" fillId="0" borderId="0" xfId="0" applyFont="1" applyAlignment="1">
      <alignment horizontal="center"/>
    </xf>
    <xf numFmtId="0" fontId="14" fillId="0" borderId="0" xfId="0" applyFont="1" applyAlignment="1">
      <alignment horizontal="center"/>
    </xf>
    <xf numFmtId="0" fontId="6" fillId="0" borderId="0" xfId="0" applyFont="1" applyAlignment="1">
      <alignment horizontal="center" vertical="center"/>
    </xf>
    <xf numFmtId="3" fontId="2" fillId="0" borderId="15" xfId="0" applyNumberFormat="1" applyFont="1" applyBorder="1" applyAlignment="1">
      <alignment horizontal="center"/>
    </xf>
    <xf numFmtId="0" fontId="28" fillId="0" borderId="0" xfId="0" applyFont="1"/>
    <xf numFmtId="0" fontId="2" fillId="0" borderId="5" xfId="0" applyFont="1" applyBorder="1" applyAlignment="1">
      <alignment horizontal="center" vertical="center"/>
    </xf>
    <xf numFmtId="164" fontId="4" fillId="0" borderId="25" xfId="0" applyNumberFormat="1" applyFont="1" applyBorder="1" applyAlignment="1">
      <alignment horizont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37" fontId="2" fillId="0" borderId="38" xfId="15" applyNumberFormat="1" applyFont="1" applyBorder="1" applyAlignment="1">
      <alignment horizontal="center"/>
    </xf>
    <xf numFmtId="37" fontId="2" fillId="0" borderId="33" xfId="15" applyNumberFormat="1" applyFont="1" applyBorder="1" applyAlignment="1">
      <alignment horizontal="center"/>
    </xf>
    <xf numFmtId="6" fontId="2" fillId="0" borderId="63" xfId="0" applyNumberFormat="1" applyFont="1" applyBorder="1" applyAlignment="1">
      <alignment horizontal="center"/>
    </xf>
    <xf numFmtId="6" fontId="2" fillId="0" borderId="46" xfId="0" applyNumberFormat="1" applyFont="1" applyBorder="1" applyAlignment="1">
      <alignment horizontal="center"/>
    </xf>
    <xf numFmtId="6" fontId="2" fillId="0" borderId="18" xfId="0" applyNumberFormat="1" applyFont="1" applyBorder="1" applyAlignment="1">
      <alignment horizontal="center"/>
    </xf>
    <xf numFmtId="169" fontId="0" fillId="0" borderId="0" xfId="0" applyNumberFormat="1" applyAlignment="1">
      <alignment horizontal="center"/>
    </xf>
    <xf numFmtId="168" fontId="0" fillId="0" borderId="0" xfId="16" applyNumberFormat="1" applyFont="1" applyFill="1" applyBorder="1" applyAlignment="1">
      <alignment horizontal="center"/>
    </xf>
    <xf numFmtId="2" fontId="0" fillId="0" borderId="0" xfId="16" applyNumberFormat="1" applyFont="1" applyFill="1" applyBorder="1" applyAlignment="1">
      <alignment horizontal="center"/>
    </xf>
    <xf numFmtId="6" fontId="2" fillId="0" borderId="33" xfId="0" applyNumberFormat="1" applyFont="1" applyBorder="1" applyAlignment="1">
      <alignment horizontal="center"/>
    </xf>
    <xf numFmtId="6" fontId="2" fillId="0" borderId="13" xfId="0" applyNumberFormat="1" applyFont="1" applyBorder="1" applyAlignment="1">
      <alignment horizontal="center"/>
    </xf>
    <xf numFmtId="6" fontId="2" fillId="0" borderId="6" xfId="0" applyNumberFormat="1" applyFont="1" applyBorder="1" applyAlignment="1">
      <alignment horizontal="center"/>
    </xf>
    <xf numFmtId="6" fontId="2" fillId="0" borderId="59" xfId="0" applyNumberFormat="1" applyFont="1" applyBorder="1" applyAlignment="1">
      <alignment horizontal="center"/>
    </xf>
    <xf numFmtId="6" fontId="2" fillId="0" borderId="58" xfId="0" applyNumberFormat="1" applyFont="1" applyBorder="1" applyAlignment="1">
      <alignment horizontal="center"/>
    </xf>
    <xf numFmtId="6" fontId="2" fillId="0" borderId="55" xfId="0" applyNumberFormat="1" applyFont="1" applyBorder="1" applyAlignment="1">
      <alignment horizontal="center"/>
    </xf>
    <xf numFmtId="6" fontId="2" fillId="0" borderId="25" xfId="0" applyNumberFormat="1" applyFont="1" applyBorder="1" applyAlignment="1">
      <alignment horizontal="center"/>
    </xf>
    <xf numFmtId="6" fontId="2" fillId="0" borderId="8" xfId="0" applyNumberFormat="1" applyFont="1" applyBorder="1" applyAlignment="1">
      <alignment horizontal="center"/>
    </xf>
    <xf numFmtId="2" fontId="0" fillId="0" borderId="25" xfId="0" applyNumberFormat="1" applyBorder="1" applyAlignment="1">
      <alignment horizontal="center"/>
    </xf>
    <xf numFmtId="171" fontId="0" fillId="0" borderId="25" xfId="0" applyNumberFormat="1" applyBorder="1"/>
    <xf numFmtId="0" fontId="30" fillId="0" borderId="0" xfId="6" applyFont="1"/>
    <xf numFmtId="0" fontId="7" fillId="0" borderId="0" xfId="6"/>
    <xf numFmtId="0" fontId="32" fillId="0" borderId="0" xfId="19" applyFont="1" applyAlignment="1" applyProtection="1"/>
    <xf numFmtId="0" fontId="33" fillId="0" borderId="0" xfId="6" applyFont="1"/>
    <xf numFmtId="0" fontId="30" fillId="0" borderId="0" xfId="6" applyFont="1" applyAlignment="1">
      <alignment horizontal="center"/>
    </xf>
    <xf numFmtId="3" fontId="30" fillId="0" borderId="0" xfId="6" applyNumberFormat="1" applyFont="1" applyAlignment="1">
      <alignment horizontal="center"/>
    </xf>
    <xf numFmtId="2" fontId="30" fillId="0" borderId="0" xfId="6" applyNumberFormat="1" applyFont="1" applyAlignment="1">
      <alignment horizontal="center"/>
    </xf>
    <xf numFmtId="16" fontId="30" fillId="0" borderId="0" xfId="6" quotePrefix="1" applyNumberFormat="1" applyFont="1" applyAlignment="1">
      <alignment horizontal="center"/>
    </xf>
    <xf numFmtId="6" fontId="2" fillId="0" borderId="64" xfId="0" applyNumberFormat="1" applyFont="1" applyBorder="1" applyAlignment="1">
      <alignment horizontal="center"/>
    </xf>
    <xf numFmtId="6" fontId="2" fillId="0" borderId="52" xfId="0" applyNumberFormat="1" applyFont="1" applyBorder="1" applyAlignment="1">
      <alignment horizontal="center"/>
    </xf>
    <xf numFmtId="6" fontId="2" fillId="0" borderId="10" xfId="0" applyNumberFormat="1" applyFont="1" applyBorder="1" applyAlignment="1">
      <alignment horizontal="center"/>
    </xf>
    <xf numFmtId="171" fontId="4" fillId="0" borderId="25" xfId="0" applyNumberFormat="1" applyFont="1" applyBorder="1" applyAlignment="1">
      <alignment horizontal="center" vertical="center"/>
    </xf>
    <xf numFmtId="3" fontId="2" fillId="0" borderId="0" xfId="0" applyNumberFormat="1" applyFont="1"/>
    <xf numFmtId="174" fontId="2" fillId="0" borderId="0" xfId="0" applyNumberFormat="1" applyFont="1"/>
    <xf numFmtId="175" fontId="2" fillId="0" borderId="33" xfId="0" applyNumberFormat="1" applyFont="1" applyBorder="1" applyAlignment="1">
      <alignment horizontal="center"/>
    </xf>
    <xf numFmtId="2" fontId="0" fillId="0" borderId="0" xfId="0" applyNumberFormat="1"/>
    <xf numFmtId="0" fontId="0" fillId="0" borderId="0" xfId="1" applyNumberFormat="1" applyFont="1" applyFill="1" applyBorder="1" applyAlignment="1">
      <alignment horizontal="center"/>
    </xf>
    <xf numFmtId="168" fontId="0" fillId="0" borderId="0" xfId="16" applyNumberFormat="1" applyFont="1"/>
    <xf numFmtId="10" fontId="0" fillId="0" borderId="0" xfId="16" applyNumberFormat="1" applyFont="1"/>
    <xf numFmtId="0" fontId="4" fillId="0" borderId="1" xfId="0" applyFont="1" applyBorder="1" applyAlignment="1">
      <alignment horizontal="center"/>
    </xf>
    <xf numFmtId="167" fontId="0" fillId="0" borderId="0" xfId="15" applyNumberFormat="1" applyFont="1" applyAlignment="1"/>
    <xf numFmtId="43" fontId="0" fillId="0" borderId="0" xfId="0" applyNumberFormat="1"/>
    <xf numFmtId="0" fontId="35" fillId="0" borderId="0" xfId="0" applyFont="1"/>
    <xf numFmtId="0" fontId="4" fillId="0" borderId="2" xfId="0" applyFont="1" applyBorder="1" applyAlignment="1">
      <alignment horizontal="center"/>
    </xf>
    <xf numFmtId="3" fontId="2" fillId="4" borderId="33" xfId="15" applyNumberFormat="1" applyFont="1" applyFill="1" applyBorder="1" applyAlignment="1">
      <alignment horizontal="center"/>
    </xf>
    <xf numFmtId="3" fontId="2" fillId="4" borderId="18" xfId="0" applyNumberFormat="1" applyFont="1" applyFill="1" applyBorder="1" applyAlignment="1">
      <alignment horizontal="center"/>
    </xf>
    <xf numFmtId="164" fontId="2" fillId="4" borderId="18" xfId="0" applyNumberFormat="1" applyFont="1" applyFill="1" applyBorder="1" applyAlignment="1">
      <alignment horizontal="center"/>
    </xf>
    <xf numFmtId="3" fontId="2" fillId="4" borderId="38" xfId="15" applyNumberFormat="1" applyFont="1" applyFill="1" applyBorder="1" applyAlignment="1">
      <alignment horizontal="center"/>
    </xf>
    <xf numFmtId="3" fontId="2" fillId="4" borderId="19" xfId="0" applyNumberFormat="1" applyFont="1" applyFill="1" applyBorder="1" applyAlignment="1">
      <alignment horizontal="center"/>
    </xf>
    <xf numFmtId="164" fontId="2" fillId="4" borderId="19" xfId="0" applyNumberFormat="1" applyFont="1" applyFill="1" applyBorder="1" applyAlignment="1">
      <alignment horizontal="center"/>
    </xf>
    <xf numFmtId="0" fontId="18" fillId="0" borderId="25" xfId="0" applyFont="1" applyBorder="1"/>
    <xf numFmtId="0" fontId="18" fillId="0" borderId="0" xfId="0" applyFont="1"/>
    <xf numFmtId="3" fontId="0" fillId="0" borderId="25" xfId="15" applyNumberFormat="1" applyFont="1" applyFill="1" applyBorder="1"/>
    <xf numFmtId="3" fontId="21" fillId="0" borderId="0" xfId="15" applyNumberFormat="1" applyFont="1"/>
    <xf numFmtId="3" fontId="0" fillId="0" borderId="0" xfId="15" applyNumberFormat="1" applyFont="1"/>
    <xf numFmtId="10" fontId="0" fillId="0" borderId="25" xfId="0" applyNumberFormat="1" applyBorder="1"/>
    <xf numFmtId="168" fontId="0" fillId="0" borderId="25" xfId="0" applyNumberFormat="1" applyBorder="1"/>
    <xf numFmtId="1" fontId="0" fillId="0" borderId="0" xfId="0" applyNumberFormat="1" applyAlignment="1">
      <alignment horizontal="center"/>
    </xf>
    <xf numFmtId="9" fontId="0" fillId="0" borderId="25" xfId="0" applyNumberFormat="1" applyBorder="1"/>
    <xf numFmtId="9" fontId="0" fillId="0" borderId="0" xfId="0" applyNumberFormat="1"/>
    <xf numFmtId="0" fontId="36" fillId="0" borderId="0" xfId="0" applyFont="1"/>
    <xf numFmtId="43" fontId="0" fillId="0" borderId="25" xfId="15" applyFont="1" applyFill="1" applyBorder="1"/>
    <xf numFmtId="176" fontId="21" fillId="0" borderId="0" xfId="15" applyNumberFormat="1" applyFont="1" applyFill="1" applyBorder="1"/>
    <xf numFmtId="176" fontId="0" fillId="0" borderId="0" xfId="15" applyNumberFormat="1" applyFont="1" applyFill="1"/>
    <xf numFmtId="0" fontId="18" fillId="0" borderId="25" xfId="0" applyFont="1" applyBorder="1" applyAlignment="1">
      <alignment horizontal="center"/>
    </xf>
    <xf numFmtId="0" fontId="37" fillId="0" borderId="25" xfId="0" applyFont="1" applyBorder="1" applyAlignment="1">
      <alignment horizontal="center"/>
    </xf>
    <xf numFmtId="3" fontId="0" fillId="0" borderId="25" xfId="0" applyNumberFormat="1" applyBorder="1" applyAlignment="1">
      <alignment horizontal="center"/>
    </xf>
    <xf numFmtId="3" fontId="21" fillId="0" borderId="0" xfId="0" applyNumberFormat="1" applyFont="1" applyAlignment="1">
      <alignment horizontal="center" wrapText="1"/>
    </xf>
    <xf numFmtId="1" fontId="0" fillId="0" borderId="25" xfId="0" applyNumberFormat="1" applyBorder="1" applyAlignment="1">
      <alignment horizontal="center"/>
    </xf>
    <xf numFmtId="3" fontId="0" fillId="0" borderId="74" xfId="0" applyNumberFormat="1" applyBorder="1" applyAlignment="1">
      <alignment horizontal="center"/>
    </xf>
    <xf numFmtId="3" fontId="21" fillId="0" borderId="0" xfId="0" applyNumberFormat="1" applyFont="1" applyAlignment="1">
      <alignment horizontal="center"/>
    </xf>
    <xf numFmtId="0" fontId="38" fillId="0" borderId="0" xfId="0" applyFont="1" applyAlignment="1">
      <alignment horizontal="center"/>
    </xf>
    <xf numFmtId="3" fontId="0" fillId="0" borderId="0" xfId="0" applyNumberFormat="1" applyAlignment="1">
      <alignment horizontal="center"/>
    </xf>
    <xf numFmtId="3" fontId="2" fillId="4" borderId="34" xfId="15" applyNumberFormat="1" applyFont="1" applyFill="1" applyBorder="1" applyAlignment="1">
      <alignment horizontal="center"/>
    </xf>
    <xf numFmtId="3" fontId="2" fillId="4" borderId="20" xfId="0" applyNumberFormat="1" applyFont="1" applyFill="1" applyBorder="1" applyAlignment="1">
      <alignment horizontal="center"/>
    </xf>
    <xf numFmtId="164" fontId="2" fillId="4" borderId="20" xfId="0" applyNumberFormat="1" applyFont="1" applyFill="1" applyBorder="1" applyAlignment="1">
      <alignment horizontal="center"/>
    </xf>
    <xf numFmtId="164" fontId="2" fillId="0" borderId="17" xfId="0" applyNumberFormat="1" applyFont="1" applyBorder="1" applyAlignment="1">
      <alignment horizontal="center"/>
    </xf>
    <xf numFmtId="3" fontId="0" fillId="0" borderId="25" xfId="0" applyNumberFormat="1" applyBorder="1" applyAlignment="1">
      <alignment horizontal="right"/>
    </xf>
    <xf numFmtId="0" fontId="3" fillId="0" borderId="0" xfId="0" applyFont="1" applyAlignment="1">
      <alignment horizontal="right"/>
    </xf>
    <xf numFmtId="164" fontId="3" fillId="0" borderId="0" xfId="0" applyNumberFormat="1" applyFont="1" applyAlignment="1">
      <alignment horizontal="center"/>
    </xf>
    <xf numFmtId="0" fontId="0" fillId="0" borderId="25" xfId="0" applyBorder="1" applyAlignment="1">
      <alignment horizontal="right"/>
    </xf>
    <xf numFmtId="3" fontId="0" fillId="0" borderId="0" xfId="0" applyNumberFormat="1"/>
    <xf numFmtId="40" fontId="0" fillId="0" borderId="25" xfId="0" applyNumberFormat="1" applyBorder="1" applyAlignment="1">
      <alignment horizontal="right"/>
    </xf>
    <xf numFmtId="44" fontId="1" fillId="4" borderId="25" xfId="1" applyFont="1" applyFill="1" applyBorder="1" applyAlignment="1">
      <alignment horizontal="right"/>
    </xf>
    <xf numFmtId="2" fontId="0" fillId="4" borderId="25" xfId="1" applyNumberFormat="1" applyFont="1" applyFill="1" applyBorder="1" applyAlignment="1">
      <alignment horizontal="right"/>
    </xf>
    <xf numFmtId="0" fontId="36" fillId="0" borderId="0" xfId="0" applyFont="1" applyAlignment="1">
      <alignment horizontal="left"/>
    </xf>
    <xf numFmtId="170" fontId="0" fillId="4" borderId="25" xfId="0" applyNumberFormat="1" applyFill="1" applyBorder="1" applyAlignment="1">
      <alignment horizontal="center"/>
    </xf>
    <xf numFmtId="0" fontId="36" fillId="0" borderId="0" xfId="0" applyFont="1" applyAlignment="1">
      <alignment wrapText="1"/>
    </xf>
    <xf numFmtId="0" fontId="36" fillId="0" borderId="0" xfId="0" applyFont="1" applyAlignment="1">
      <alignment vertical="top"/>
    </xf>
    <xf numFmtId="0" fontId="36" fillId="0" borderId="0" xfId="0" applyFont="1" applyAlignment="1">
      <alignment vertical="top" wrapText="1"/>
    </xf>
    <xf numFmtId="16" fontId="0" fillId="0" borderId="0" xfId="0" applyNumberFormat="1"/>
    <xf numFmtId="22" fontId="0" fillId="0" borderId="0" xfId="0" applyNumberFormat="1"/>
    <xf numFmtId="11" fontId="0" fillId="0" borderId="0" xfId="0" applyNumberFormat="1"/>
    <xf numFmtId="14" fontId="0" fillId="0" borderId="0" xfId="0" applyNumberFormat="1"/>
    <xf numFmtId="0" fontId="0" fillId="3" borderId="0" xfId="0" applyFill="1"/>
    <xf numFmtId="0" fontId="4" fillId="3" borderId="0" xfId="0" applyFont="1" applyFill="1"/>
    <xf numFmtId="0" fontId="0" fillId="3" borderId="0" xfId="0" applyFill="1" applyAlignment="1">
      <alignment vertical="top" wrapText="1"/>
    </xf>
    <xf numFmtId="0" fontId="0" fillId="3" borderId="0" xfId="0" applyFill="1" applyAlignment="1">
      <alignment horizontal="right"/>
    </xf>
    <xf numFmtId="0" fontId="0" fillId="3" borderId="0" xfId="0" applyFill="1" applyAlignment="1">
      <alignment horizontal="right" vertical="top"/>
    </xf>
    <xf numFmtId="0" fontId="0" fillId="3" borderId="0" xfId="0" applyFill="1" applyAlignment="1">
      <alignment vertical="top"/>
    </xf>
    <xf numFmtId="0" fontId="0" fillId="0" borderId="2" xfId="0" applyBorder="1"/>
    <xf numFmtId="37" fontId="2" fillId="0" borderId="46" xfId="15" applyNumberFormat="1" applyFont="1" applyBorder="1" applyAlignment="1">
      <alignment horizontal="center"/>
    </xf>
    <xf numFmtId="164" fontId="2" fillId="0" borderId="18" xfId="15" applyNumberFormat="1" applyFont="1" applyBorder="1" applyAlignment="1">
      <alignment horizontal="right"/>
    </xf>
    <xf numFmtId="171" fontId="0" fillId="0" borderId="45" xfId="0" applyNumberFormat="1" applyBorder="1"/>
    <xf numFmtId="37" fontId="2" fillId="0" borderId="25" xfId="15" applyNumberFormat="1" applyFont="1" applyBorder="1" applyAlignment="1">
      <alignment horizontal="center"/>
    </xf>
    <xf numFmtId="164" fontId="2" fillId="0" borderId="19" xfId="15" applyNumberFormat="1" applyFont="1" applyBorder="1" applyAlignment="1">
      <alignment horizontal="right"/>
    </xf>
    <xf numFmtId="0" fontId="0" fillId="0" borderId="4" xfId="0" applyBorder="1"/>
    <xf numFmtId="171" fontId="0" fillId="0" borderId="29" xfId="0" applyNumberFormat="1" applyBorder="1"/>
    <xf numFmtId="171" fontId="0" fillId="0" borderId="32" xfId="0" applyNumberFormat="1" applyBorder="1"/>
    <xf numFmtId="6" fontId="2" fillId="0" borderId="13" xfId="15" applyNumberFormat="1" applyFont="1" applyFill="1" applyBorder="1" applyAlignment="1">
      <alignment horizontal="right"/>
    </xf>
    <xf numFmtId="6" fontId="2" fillId="0" borderId="14" xfId="15" applyNumberFormat="1" applyFont="1" applyFill="1" applyBorder="1" applyAlignment="1">
      <alignment horizontal="right"/>
    </xf>
    <xf numFmtId="37" fontId="2" fillId="0" borderId="14" xfId="15" applyNumberFormat="1" applyFont="1" applyFill="1" applyBorder="1" applyAlignment="1">
      <alignment horizontal="center"/>
    </xf>
    <xf numFmtId="37" fontId="2" fillId="0" borderId="15" xfId="15" applyNumberFormat="1" applyFont="1" applyFill="1" applyBorder="1" applyAlignment="1">
      <alignment horizontal="center"/>
    </xf>
    <xf numFmtId="3" fontId="2" fillId="0" borderId="13" xfId="0" applyNumberFormat="1" applyFont="1" applyBorder="1" applyAlignment="1">
      <alignment horizontal="center"/>
    </xf>
    <xf numFmtId="177" fontId="41" fillId="0" borderId="0" xfId="0" applyNumberFormat="1" applyFont="1"/>
    <xf numFmtId="0" fontId="39" fillId="0" borderId="0" xfId="0" applyFont="1" applyAlignment="1">
      <alignment horizontal="center" wrapText="1"/>
    </xf>
    <xf numFmtId="177" fontId="6" fillId="0" borderId="0" xfId="0" applyNumberFormat="1" applyFont="1"/>
    <xf numFmtId="177" fontId="11" fillId="0" borderId="0" xfId="0" applyNumberFormat="1" applyFont="1"/>
    <xf numFmtId="0" fontId="4" fillId="0" borderId="33" xfId="0" applyFont="1" applyBorder="1"/>
    <xf numFmtId="0" fontId="4" fillId="0" borderId="46" xfId="0" applyFont="1" applyBorder="1"/>
    <xf numFmtId="0" fontId="6" fillId="0" borderId="0" xfId="18" applyFont="1" applyFill="1" applyAlignment="1">
      <alignment horizontal="left" vertical="top" wrapText="1"/>
    </xf>
    <xf numFmtId="0" fontId="20" fillId="0" borderId="0" xfId="18" applyFill="1" applyAlignment="1">
      <alignment vertical="top" wrapText="1"/>
    </xf>
    <xf numFmtId="14" fontId="0" fillId="0" borderId="25" xfId="0" applyNumberFormat="1" applyBorder="1"/>
    <xf numFmtId="2" fontId="0" fillId="0" borderId="25" xfId="0" applyNumberFormat="1" applyBorder="1"/>
    <xf numFmtId="1" fontId="0" fillId="0" borderId="25" xfId="0" applyNumberFormat="1" applyBorder="1"/>
    <xf numFmtId="165" fontId="0" fillId="0" borderId="25" xfId="1" applyNumberFormat="1" applyFont="1" applyBorder="1"/>
    <xf numFmtId="6" fontId="0" fillId="0" borderId="25" xfId="0" applyNumberFormat="1" applyBorder="1"/>
    <xf numFmtId="0" fontId="9" fillId="0" borderId="69" xfId="0" applyFont="1" applyBorder="1" applyAlignment="1">
      <alignment vertical="center"/>
    </xf>
    <xf numFmtId="0" fontId="0" fillId="0" borderId="68" xfId="0" applyBorder="1"/>
    <xf numFmtId="170" fontId="0" fillId="0" borderId="27" xfId="0" applyNumberFormat="1" applyBorder="1"/>
    <xf numFmtId="0" fontId="0" fillId="0" borderId="50" xfId="0" applyBorder="1"/>
    <xf numFmtId="10" fontId="0" fillId="0" borderId="25" xfId="16" applyNumberFormat="1" applyFont="1" applyBorder="1"/>
    <xf numFmtId="165" fontId="0" fillId="0" borderId="0" xfId="1" applyNumberFormat="1" applyFont="1"/>
    <xf numFmtId="0" fontId="2" fillId="0" borderId="9" xfId="0" applyFont="1" applyBorder="1" applyAlignment="1">
      <alignment horizontal="center"/>
    </xf>
    <xf numFmtId="6" fontId="2" fillId="0" borderId="77" xfId="0" applyNumberFormat="1" applyFont="1" applyBorder="1" applyAlignment="1">
      <alignment horizontal="center" vertical="center" wrapText="1"/>
    </xf>
    <xf numFmtId="6" fontId="2" fillId="0" borderId="21" xfId="0" applyNumberFormat="1" applyFont="1" applyBorder="1" applyAlignment="1">
      <alignment horizontal="center" vertical="center" wrapText="1"/>
    </xf>
    <xf numFmtId="6" fontId="2" fillId="0" borderId="78" xfId="0" applyNumberFormat="1" applyFont="1" applyBorder="1" applyAlignment="1">
      <alignment horizontal="center" vertical="center" wrapText="1"/>
    </xf>
    <xf numFmtId="6" fontId="2" fillId="0" borderId="38" xfId="0" applyNumberFormat="1" applyFont="1" applyBorder="1" applyAlignment="1">
      <alignment horizontal="center" vertical="center" wrapText="1"/>
    </xf>
    <xf numFmtId="6" fontId="2" fillId="0" borderId="19" xfId="0" applyNumberFormat="1" applyFont="1" applyBorder="1" applyAlignment="1">
      <alignment horizontal="center" vertical="center"/>
    </xf>
    <xf numFmtId="6" fontId="2" fillId="0" borderId="34" xfId="0" applyNumberFormat="1" applyFont="1" applyBorder="1" applyAlignment="1">
      <alignment horizontal="center" vertical="center" wrapText="1"/>
    </xf>
    <xf numFmtId="6" fontId="2" fillId="0" borderId="20" xfId="0" applyNumberFormat="1" applyFont="1" applyBorder="1" applyAlignment="1">
      <alignment horizontal="center" vertical="center"/>
    </xf>
    <xf numFmtId="6" fontId="2" fillId="0" borderId="24" xfId="0" applyNumberFormat="1" applyFont="1" applyBorder="1" applyAlignment="1">
      <alignment horizontal="center"/>
    </xf>
    <xf numFmtId="44" fontId="0" fillId="0" borderId="25" xfId="1" applyFont="1" applyBorder="1"/>
    <xf numFmtId="0" fontId="0" fillId="0" borderId="21" xfId="0" applyBorder="1"/>
    <xf numFmtId="0" fontId="0" fillId="0" borderId="0" xfId="0" applyAlignment="1">
      <alignment horizontal="left" wrapText="1"/>
    </xf>
    <xf numFmtId="37" fontId="2" fillId="0" borderId="46" xfId="15" applyNumberFormat="1" applyFont="1" applyFill="1" applyBorder="1" applyAlignment="1">
      <alignment horizontal="center"/>
    </xf>
    <xf numFmtId="164" fontId="2" fillId="0" borderId="19" xfId="15" applyNumberFormat="1" applyFont="1" applyFill="1" applyBorder="1" applyAlignment="1">
      <alignment horizontal="right"/>
    </xf>
    <xf numFmtId="37" fontId="2" fillId="0" borderId="25" xfId="15" applyNumberFormat="1" applyFont="1" applyFill="1" applyBorder="1" applyAlignment="1">
      <alignment horizontal="center"/>
    </xf>
    <xf numFmtId="164" fontId="2" fillId="0" borderId="25" xfId="15" applyNumberFormat="1" applyFont="1" applyFill="1" applyBorder="1" applyAlignment="1">
      <alignment horizontal="right"/>
    </xf>
    <xf numFmtId="164" fontId="2" fillId="0" borderId="20" xfId="15" applyNumberFormat="1" applyFont="1" applyFill="1" applyBorder="1" applyAlignment="1">
      <alignment horizontal="right"/>
    </xf>
    <xf numFmtId="37" fontId="2" fillId="0" borderId="34" xfId="15" applyNumberFormat="1" applyFont="1" applyBorder="1" applyAlignment="1">
      <alignment horizontal="center"/>
    </xf>
    <xf numFmtId="37" fontId="2" fillId="0" borderId="52" xfId="15" applyNumberFormat="1" applyFont="1" applyFill="1" applyBorder="1" applyAlignment="1">
      <alignment horizontal="center"/>
    </xf>
    <xf numFmtId="164" fontId="2" fillId="0" borderId="52" xfId="15" applyNumberFormat="1" applyFont="1" applyFill="1" applyBorder="1" applyAlignment="1">
      <alignment horizontal="right"/>
    </xf>
    <xf numFmtId="38" fontId="3" fillId="0" borderId="0" xfId="0" applyNumberFormat="1" applyFont="1"/>
    <xf numFmtId="38" fontId="2" fillId="0" borderId="0" xfId="0" applyNumberFormat="1" applyFont="1" applyAlignment="1">
      <alignment horizontal="right" indent="1"/>
    </xf>
    <xf numFmtId="164" fontId="2" fillId="0" borderId="12" xfId="0" applyNumberFormat="1" applyFont="1" applyBorder="1" applyAlignment="1">
      <alignment horizontal="right" indent="1"/>
    </xf>
    <xf numFmtId="0" fontId="0" fillId="0" borderId="23" xfId="0" applyBorder="1"/>
    <xf numFmtId="0" fontId="4" fillId="0" borderId="25" xfId="0" applyFont="1" applyBorder="1" applyAlignment="1">
      <alignment horizontal="center" wrapText="1"/>
    </xf>
    <xf numFmtId="167" fontId="4" fillId="0" borderId="0" xfId="15" applyNumberFormat="1" applyFont="1" applyFill="1" applyBorder="1" applyAlignment="1">
      <alignment horizontal="center"/>
    </xf>
    <xf numFmtId="2" fontId="0" fillId="5" borderId="25" xfId="0" applyNumberFormat="1" applyFill="1" applyBorder="1"/>
    <xf numFmtId="44" fontId="0" fillId="0" borderId="25" xfId="1" applyFont="1" applyBorder="1" applyAlignment="1">
      <alignment horizontal="center"/>
    </xf>
    <xf numFmtId="37" fontId="2" fillId="0" borderId="76" xfId="15" applyNumberFormat="1" applyFont="1" applyFill="1" applyBorder="1" applyAlignment="1">
      <alignment horizontal="center"/>
    </xf>
    <xf numFmtId="6" fontId="2" fillId="0" borderId="8" xfId="15" applyNumberFormat="1" applyFont="1" applyFill="1" applyBorder="1" applyAlignment="1">
      <alignment horizontal="right"/>
    </xf>
    <xf numFmtId="0" fontId="21" fillId="0" borderId="0" xfId="0" applyFont="1" applyAlignment="1">
      <alignment horizontal="left"/>
    </xf>
    <xf numFmtId="0" fontId="0" fillId="0" borderId="22" xfId="0" applyBorder="1"/>
    <xf numFmtId="2" fontId="0" fillId="0" borderId="22" xfId="0" applyNumberFormat="1" applyBorder="1"/>
    <xf numFmtId="2" fontId="0" fillId="5" borderId="22" xfId="0" applyNumberFormat="1" applyFill="1" applyBorder="1"/>
    <xf numFmtId="2" fontId="0" fillId="0" borderId="22" xfId="0" applyNumberFormat="1" applyBorder="1" applyAlignment="1">
      <alignment horizontal="center"/>
    </xf>
    <xf numFmtId="44" fontId="0" fillId="0" borderId="22" xfId="1" applyFont="1" applyBorder="1" applyAlignment="1">
      <alignment horizontal="center"/>
    </xf>
    <xf numFmtId="37" fontId="42" fillId="4" borderId="76" xfId="15" applyNumberFormat="1" applyFont="1" applyFill="1" applyBorder="1" applyAlignment="1">
      <alignment horizontal="center"/>
    </xf>
    <xf numFmtId="6" fontId="2" fillId="4" borderId="14" xfId="15" applyNumberFormat="1" applyFont="1" applyFill="1" applyBorder="1" applyAlignment="1">
      <alignment horizontal="right"/>
    </xf>
    <xf numFmtId="6" fontId="2" fillId="4" borderId="8" xfId="15" applyNumberFormat="1" applyFont="1" applyFill="1" applyBorder="1" applyAlignment="1">
      <alignment horizontal="right"/>
    </xf>
    <xf numFmtId="0" fontId="0" fillId="0" borderId="0" xfId="0" applyAlignment="1">
      <alignment horizontal="center" vertical="center"/>
    </xf>
    <xf numFmtId="0" fontId="4" fillId="0" borderId="2" xfId="0" applyFont="1" applyBorder="1"/>
    <xf numFmtId="2" fontId="4" fillId="0" borderId="46" xfId="0" applyNumberFormat="1" applyFont="1" applyBorder="1"/>
    <xf numFmtId="2" fontId="4" fillId="5" borderId="46" xfId="0" applyNumberFormat="1" applyFont="1" applyFill="1" applyBorder="1"/>
    <xf numFmtId="2" fontId="4" fillId="0" borderId="46" xfId="0" applyNumberFormat="1" applyFont="1" applyBorder="1" applyAlignment="1">
      <alignment horizontal="center"/>
    </xf>
    <xf numFmtId="44" fontId="4" fillId="0" borderId="18" xfId="1" applyFont="1" applyBorder="1" applyAlignment="1">
      <alignment horizontal="center"/>
    </xf>
    <xf numFmtId="37" fontId="2" fillId="4" borderId="76" xfId="15" applyNumberFormat="1" applyFont="1" applyFill="1" applyBorder="1" applyAlignment="1">
      <alignment horizontal="center"/>
    </xf>
    <xf numFmtId="0" fontId="4" fillId="0" borderId="34" xfId="0" applyFont="1" applyBorder="1"/>
    <xf numFmtId="0" fontId="4" fillId="0" borderId="52" xfId="0" applyFont="1" applyBorder="1"/>
    <xf numFmtId="2" fontId="4" fillId="0" borderId="52" xfId="0" applyNumberFormat="1" applyFont="1" applyBorder="1"/>
    <xf numFmtId="2" fontId="4" fillId="5" borderId="52" xfId="0" applyNumberFormat="1" applyFont="1" applyFill="1" applyBorder="1"/>
    <xf numFmtId="2" fontId="4" fillId="0" borderId="52" xfId="0" applyNumberFormat="1" applyFont="1" applyBorder="1" applyAlignment="1">
      <alignment horizontal="center"/>
    </xf>
    <xf numFmtId="44" fontId="4" fillId="0" borderId="20" xfId="1" applyFont="1" applyBorder="1" applyAlignment="1">
      <alignment horizontal="center"/>
    </xf>
    <xf numFmtId="178" fontId="0" fillId="0" borderId="25" xfId="0" applyNumberFormat="1" applyBorder="1" applyAlignment="1">
      <alignment horizontal="center"/>
    </xf>
    <xf numFmtId="178" fontId="0" fillId="0" borderId="0" xfId="0" applyNumberFormat="1" applyAlignment="1">
      <alignment horizontal="center"/>
    </xf>
    <xf numFmtId="0" fontId="6" fillId="0" borderId="0" xfId="0" applyFont="1"/>
    <xf numFmtId="0" fontId="14" fillId="0" borderId="0" xfId="0" applyFont="1"/>
    <xf numFmtId="44" fontId="6" fillId="0" borderId="0" xfId="1" applyFont="1" applyFill="1"/>
    <xf numFmtId="37" fontId="2" fillId="4" borderId="75" xfId="15" applyNumberFormat="1" applyFont="1" applyFill="1" applyBorder="1" applyAlignment="1">
      <alignment horizontal="center"/>
    </xf>
    <xf numFmtId="6" fontId="2" fillId="4" borderId="15" xfId="15" applyNumberFormat="1" applyFont="1" applyFill="1" applyBorder="1" applyAlignment="1">
      <alignment horizontal="right"/>
    </xf>
    <xf numFmtId="6" fontId="2" fillId="4" borderId="10" xfId="15" applyNumberFormat="1" applyFont="1" applyFill="1" applyBorder="1" applyAlignment="1">
      <alignment horizontal="right"/>
    </xf>
    <xf numFmtId="0" fontId="20" fillId="0" borderId="0" xfId="18"/>
    <xf numFmtId="0" fontId="37" fillId="0" borderId="0" xfId="0" applyFont="1"/>
    <xf numFmtId="6" fontId="2" fillId="0" borderId="27" xfId="0" applyNumberFormat="1" applyFont="1" applyBorder="1" applyAlignment="1">
      <alignment horizontal="center"/>
    </xf>
    <xf numFmtId="6" fontId="2" fillId="0" borderId="21" xfId="0" applyNumberFormat="1" applyFont="1" applyBorder="1" applyAlignment="1">
      <alignment horizontal="center"/>
    </xf>
    <xf numFmtId="6" fontId="2" fillId="0" borderId="78" xfId="0" applyNumberFormat="1" applyFont="1" applyBorder="1" applyAlignment="1">
      <alignment horizontal="center"/>
    </xf>
    <xf numFmtId="167" fontId="2" fillId="0" borderId="77" xfId="15" applyNumberFormat="1" applyFont="1" applyFill="1" applyBorder="1" applyAlignment="1">
      <alignment horizontal="right" indent="1"/>
    </xf>
    <xf numFmtId="167" fontId="2" fillId="0" borderId="21" xfId="15" applyNumberFormat="1" applyFont="1" applyFill="1" applyBorder="1" applyAlignment="1">
      <alignment horizontal="right" indent="1"/>
    </xf>
    <xf numFmtId="167" fontId="2" fillId="0" borderId="78" xfId="15" applyNumberFormat="1" applyFont="1" applyFill="1" applyBorder="1" applyAlignment="1">
      <alignment horizontal="right" indent="1"/>
    </xf>
    <xf numFmtId="0" fontId="43" fillId="0" borderId="0" xfId="142"/>
    <xf numFmtId="0" fontId="7" fillId="0" borderId="25" xfId="142" applyFont="1" applyBorder="1"/>
    <xf numFmtId="0" fontId="43" fillId="0" borderId="25" xfId="142" applyBorder="1"/>
    <xf numFmtId="0" fontId="44" fillId="0" borderId="0" xfId="0" applyFont="1" applyAlignment="1">
      <alignment horizontal="left"/>
    </xf>
    <xf numFmtId="44" fontId="0" fillId="0" borderId="0" xfId="0" applyNumberFormat="1"/>
    <xf numFmtId="2" fontId="0" fillId="0" borderId="45" xfId="0" applyNumberFormat="1" applyBorder="1"/>
    <xf numFmtId="2" fontId="0" fillId="0" borderId="29" xfId="0" applyNumberFormat="1" applyBorder="1"/>
    <xf numFmtId="1" fontId="0" fillId="0" borderId="45" xfId="0" applyNumberFormat="1" applyBorder="1"/>
    <xf numFmtId="171" fontId="0" fillId="0" borderId="4" xfId="0" applyNumberFormat="1" applyBorder="1"/>
    <xf numFmtId="1" fontId="0" fillId="0" borderId="29" xfId="0" applyNumberFormat="1" applyBorder="1"/>
    <xf numFmtId="167" fontId="0" fillId="0" borderId="0" xfId="15" applyNumberFormat="1" applyFont="1" applyAlignment="1">
      <alignment vertical="top" wrapText="1"/>
    </xf>
    <xf numFmtId="170" fontId="0" fillId="0" borderId="0" xfId="0" applyNumberFormat="1" applyAlignment="1">
      <alignment vertical="top" wrapText="1"/>
    </xf>
    <xf numFmtId="167" fontId="0" fillId="0" borderId="0" xfId="15" applyNumberFormat="1" applyFont="1"/>
    <xf numFmtId="179" fontId="0" fillId="0" borderId="0" xfId="0" applyNumberFormat="1"/>
    <xf numFmtId="37" fontId="2" fillId="0" borderId="52" xfId="15" applyNumberFormat="1" applyFont="1" applyBorder="1" applyAlignment="1">
      <alignment horizontal="center"/>
    </xf>
    <xf numFmtId="164" fontId="2" fillId="0" borderId="20" xfId="15" applyNumberFormat="1" applyFont="1" applyBorder="1" applyAlignment="1">
      <alignment horizontal="right"/>
    </xf>
    <xf numFmtId="167" fontId="0" fillId="0" borderId="25" xfId="15" applyNumberFormat="1" applyFont="1" applyBorder="1"/>
    <xf numFmtId="167" fontId="2" fillId="0" borderId="18" xfId="15" applyNumberFormat="1" applyFont="1" applyFill="1" applyBorder="1" applyAlignment="1">
      <alignment horizontal="right" indent="1"/>
    </xf>
    <xf numFmtId="170" fontId="0" fillId="0" borderId="25" xfId="0" applyNumberFormat="1" applyBorder="1"/>
    <xf numFmtId="44" fontId="0" fillId="0" borderId="25" xfId="0" applyNumberFormat="1" applyBorder="1"/>
    <xf numFmtId="44" fontId="0" fillId="0" borderId="19" xfId="1" applyFont="1" applyBorder="1"/>
    <xf numFmtId="44" fontId="0" fillId="0" borderId="58" xfId="1" applyFont="1" applyBorder="1"/>
    <xf numFmtId="0" fontId="0" fillId="0" borderId="0" xfId="0" applyAlignment="1">
      <alignment vertical="center" wrapText="1"/>
    </xf>
    <xf numFmtId="0" fontId="7" fillId="0" borderId="0" xfId="24"/>
    <xf numFmtId="37" fontId="0" fillId="0" borderId="25" xfId="0" applyNumberFormat="1" applyBorder="1"/>
    <xf numFmtId="0" fontId="0" fillId="0" borderId="79" xfId="0" applyBorder="1"/>
    <xf numFmtId="0" fontId="0" fillId="0" borderId="14" xfId="0" applyBorder="1"/>
    <xf numFmtId="0" fontId="0" fillId="0" borderId="15" xfId="0" applyBorder="1"/>
    <xf numFmtId="0" fontId="0" fillId="0" borderId="12" xfId="0" applyBorder="1"/>
    <xf numFmtId="44" fontId="0" fillId="0" borderId="12" xfId="0" applyNumberFormat="1" applyBorder="1"/>
    <xf numFmtId="44" fontId="0" fillId="0" borderId="59" xfId="0" applyNumberFormat="1" applyBorder="1"/>
    <xf numFmtId="44" fontId="0" fillId="0" borderId="38" xfId="0" applyNumberFormat="1" applyBorder="1"/>
    <xf numFmtId="44" fontId="0" fillId="0" borderId="34" xfId="0" applyNumberFormat="1" applyBorder="1"/>
    <xf numFmtId="44" fontId="0" fillId="0" borderId="20" xfId="1" applyFont="1" applyBorder="1"/>
    <xf numFmtId="165" fontId="0" fillId="0" borderId="25" xfId="0" applyNumberFormat="1" applyBorder="1"/>
    <xf numFmtId="0" fontId="0" fillId="0" borderId="25" xfId="0" applyBorder="1" applyAlignment="1">
      <alignment horizontal="center" vertical="center"/>
    </xf>
    <xf numFmtId="165" fontId="0" fillId="0" borderId="0" xfId="0" applyNumberFormat="1"/>
    <xf numFmtId="0" fontId="2" fillId="0" borderId="3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5" xfId="0" applyFont="1" applyBorder="1" applyAlignment="1">
      <alignment horizontal="center"/>
    </xf>
    <xf numFmtId="164" fontId="2" fillId="0" borderId="25" xfId="0" applyNumberFormat="1" applyFont="1" applyBorder="1" applyAlignment="1">
      <alignment horizontal="right"/>
    </xf>
    <xf numFmtId="164" fontId="2" fillId="0" borderId="24" xfId="0" applyNumberFormat="1" applyFont="1" applyBorder="1" applyAlignment="1">
      <alignment horizontal="right"/>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8" xfId="0" applyFont="1" applyBorder="1" applyAlignment="1">
      <alignment horizontal="center" vertical="center" wrapText="1"/>
    </xf>
    <xf numFmtId="164" fontId="3" fillId="0" borderId="39" xfId="0" applyNumberFormat="1" applyFont="1" applyBorder="1" applyAlignment="1">
      <alignment horizontal="center" vertical="center"/>
    </xf>
    <xf numFmtId="164" fontId="3" fillId="0" borderId="28" xfId="0" applyNumberFormat="1" applyFont="1" applyBorder="1" applyAlignment="1">
      <alignment horizontal="center" vertical="center"/>
    </xf>
    <xf numFmtId="164" fontId="3" fillId="0" borderId="40" xfId="0" applyNumberFormat="1" applyFont="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3" fillId="0" borderId="21" xfId="0" applyFont="1" applyBorder="1" applyAlignment="1">
      <alignment horizontal="center"/>
    </xf>
    <xf numFmtId="0" fontId="23" fillId="0" borderId="8" xfId="0" applyFont="1" applyBorder="1" applyAlignment="1">
      <alignment horizontal="center"/>
    </xf>
    <xf numFmtId="0" fontId="23" fillId="0" borderId="55" xfId="0" applyFont="1" applyBorder="1" applyAlignment="1">
      <alignment horizontal="center"/>
    </xf>
    <xf numFmtId="0" fontId="4" fillId="0" borderId="0" xfId="0" applyFont="1" applyAlignment="1">
      <alignment horizontal="left"/>
    </xf>
    <xf numFmtId="0" fontId="0" fillId="0" borderId="39" xfId="0" applyBorder="1" applyAlignment="1">
      <alignment horizontal="center" vertical="center"/>
    </xf>
    <xf numFmtId="0" fontId="0" fillId="0" borderId="28" xfId="0" applyBorder="1" applyAlignment="1">
      <alignment horizontal="center" vertical="center"/>
    </xf>
    <xf numFmtId="0" fontId="23" fillId="0" borderId="25" xfId="0" applyFont="1" applyBorder="1" applyAlignment="1">
      <alignment horizontal="center"/>
    </xf>
    <xf numFmtId="0" fontId="22" fillId="0" borderId="33" xfId="0" applyFont="1" applyBorder="1" applyAlignment="1">
      <alignment horizontal="center" vertical="center"/>
    </xf>
    <xf numFmtId="0" fontId="22" fillId="0" borderId="46" xfId="0" applyFont="1" applyBorder="1" applyAlignment="1">
      <alignment horizontal="center" vertical="center"/>
    </xf>
    <xf numFmtId="0" fontId="22" fillId="0" borderId="18" xfId="0" applyFont="1" applyBorder="1" applyAlignment="1">
      <alignment horizontal="center" vertical="center"/>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8"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2" fillId="0" borderId="3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0" xfId="0" applyAlignment="1">
      <alignment horizontal="left" wrapText="1"/>
    </xf>
    <xf numFmtId="0" fontId="2" fillId="0" borderId="1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vertical="top" wrapText="1"/>
    </xf>
    <xf numFmtId="0" fontId="0" fillId="0" borderId="0" xfId="0"/>
    <xf numFmtId="0" fontId="0" fillId="0" borderId="39" xfId="0" applyBorder="1" applyAlignment="1">
      <alignment horizontal="center"/>
    </xf>
    <xf numFmtId="0" fontId="0" fillId="0" borderId="40" xfId="0" applyBorder="1" applyAlignment="1">
      <alignment horizontal="center"/>
    </xf>
    <xf numFmtId="0" fontId="0" fillId="0" borderId="28" xfId="0" applyBorder="1" applyAlignment="1">
      <alignment horizont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25" xfId="0" applyBorder="1" applyAlignment="1">
      <alignment horizontal="center"/>
    </xf>
    <xf numFmtId="0" fontId="0" fillId="0" borderId="21" xfId="0" applyBorder="1" applyAlignment="1">
      <alignment horizontal="center"/>
    </xf>
    <xf numFmtId="0" fontId="0" fillId="0" borderId="55" xfId="0" applyBorder="1" applyAlignment="1">
      <alignment horizontal="center"/>
    </xf>
    <xf numFmtId="0" fontId="23" fillId="0" borderId="39" xfId="0" applyFont="1" applyBorder="1" applyAlignment="1">
      <alignment horizontal="center"/>
    </xf>
    <xf numFmtId="0" fontId="23" fillId="0" borderId="40" xfId="0" applyFont="1" applyBorder="1" applyAlignment="1">
      <alignment horizontal="center"/>
    </xf>
    <xf numFmtId="0" fontId="23" fillId="0" borderId="28" xfId="0" applyFont="1" applyBorder="1" applyAlignment="1">
      <alignment horizontal="center"/>
    </xf>
    <xf numFmtId="0" fontId="4" fillId="0" borderId="26" xfId="0" applyFont="1" applyBorder="1" applyAlignment="1">
      <alignment horizontal="center"/>
    </xf>
    <xf numFmtId="0" fontId="0" fillId="0" borderId="25" xfId="0" applyBorder="1" applyAlignment="1">
      <alignment horizontal="center" vertical="center"/>
    </xf>
    <xf numFmtId="0" fontId="4" fillId="0" borderId="25" xfId="0" applyFont="1" applyBorder="1" applyAlignment="1">
      <alignment horizontal="center"/>
    </xf>
    <xf numFmtId="0" fontId="4" fillId="0" borderId="25" xfId="0" applyFont="1" applyBorder="1" applyAlignment="1">
      <alignment horizontal="center" wrapText="1"/>
    </xf>
    <xf numFmtId="0" fontId="2" fillId="0" borderId="3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26" xfId="0" applyFont="1" applyBorder="1" applyAlignment="1">
      <alignment horizontal="left"/>
    </xf>
    <xf numFmtId="0" fontId="2" fillId="0" borderId="13" xfId="0" applyFont="1" applyBorder="1" applyAlignment="1">
      <alignment horizontal="center" vertical="center" wrapText="1"/>
    </xf>
    <xf numFmtId="0" fontId="2" fillId="0" borderId="65" xfId="0" applyFont="1" applyBorder="1" applyAlignment="1">
      <alignment horizontal="center" vertical="center" wrapText="1"/>
    </xf>
    <xf numFmtId="9" fontId="2" fillId="0" borderId="11" xfId="0" applyNumberFormat="1" applyFont="1" applyBorder="1" applyAlignment="1">
      <alignment horizontal="center" vertical="center" wrapText="1"/>
    </xf>
    <xf numFmtId="0" fontId="0" fillId="0" borderId="4" xfId="0" applyBorder="1" applyAlignment="1">
      <alignment horizontal="center"/>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4" borderId="37"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0" fillId="4" borderId="25" xfId="0" applyFill="1" applyBorder="1" applyAlignment="1">
      <alignment horizontal="left"/>
    </xf>
    <xf numFmtId="0" fontId="0" fillId="0" borderId="25" xfId="0" applyBorder="1" applyAlignment="1">
      <alignment horizontal="left"/>
    </xf>
    <xf numFmtId="0" fontId="4" fillId="0" borderId="39" xfId="0" applyFont="1" applyBorder="1" applyAlignment="1">
      <alignment horizontal="center"/>
    </xf>
    <xf numFmtId="0" fontId="4" fillId="0" borderId="28" xfId="0" applyFont="1" applyBorder="1" applyAlignment="1">
      <alignment horizontal="center"/>
    </xf>
    <xf numFmtId="0" fontId="4" fillId="0" borderId="40" xfId="0" applyFont="1" applyBorder="1" applyAlignment="1">
      <alignment horizontal="center"/>
    </xf>
    <xf numFmtId="0" fontId="2" fillId="4" borderId="70" xfId="0" applyFont="1" applyFill="1" applyBorder="1" applyAlignment="1">
      <alignment horizontal="center" vertical="center" wrapText="1"/>
    </xf>
    <xf numFmtId="0" fontId="2" fillId="4" borderId="71" xfId="0" applyFont="1" applyFill="1" applyBorder="1" applyAlignment="1">
      <alignment horizontal="center" vertical="center" wrapText="1"/>
    </xf>
    <xf numFmtId="168" fontId="2" fillId="4" borderId="16" xfId="16" applyNumberFormat="1" applyFont="1" applyFill="1" applyBorder="1" applyAlignment="1">
      <alignment horizontal="center" vertical="center"/>
    </xf>
    <xf numFmtId="168" fontId="2" fillId="4" borderId="17" xfId="16" applyNumberFormat="1" applyFont="1" applyFill="1" applyBorder="1" applyAlignment="1">
      <alignment horizontal="center" vertical="center"/>
    </xf>
    <xf numFmtId="0" fontId="18" fillId="0" borderId="25" xfId="0" applyFont="1" applyBorder="1" applyAlignment="1">
      <alignment horizontal="left"/>
    </xf>
    <xf numFmtId="0" fontId="0" fillId="0" borderId="25" xfId="0" applyBorder="1"/>
    <xf numFmtId="0" fontId="0" fillId="0" borderId="21" xfId="0" applyBorder="1"/>
    <xf numFmtId="0" fontId="0" fillId="0" borderId="55" xfId="0" applyBorder="1"/>
    <xf numFmtId="0" fontId="0" fillId="0" borderId="72" xfId="0" applyBorder="1" applyAlignment="1">
      <alignment horizontal="left"/>
    </xf>
    <xf numFmtId="0" fontId="0" fillId="0" borderId="73" xfId="0" applyBorder="1" applyAlignment="1">
      <alignment horizontal="left"/>
    </xf>
    <xf numFmtId="0" fontId="0" fillId="0" borderId="8" xfId="0" applyBorder="1"/>
    <xf numFmtId="0" fontId="0" fillId="4" borderId="25" xfId="0" applyFill="1" applyBorder="1"/>
    <xf numFmtId="0" fontId="4" fillId="0" borderId="25" xfId="0" applyFont="1" applyBorder="1" applyAlignment="1">
      <alignment horizontal="left"/>
    </xf>
    <xf numFmtId="0" fontId="36" fillId="0" borderId="0" xfId="0" applyFont="1" applyAlignment="1">
      <alignment horizontal="left" wrapText="1"/>
    </xf>
    <xf numFmtId="0" fontId="6" fillId="0" borderId="0" xfId="18" applyFont="1" applyFill="1" applyAlignment="1">
      <alignment horizontal="left" vertical="top" wrapText="1"/>
    </xf>
    <xf numFmtId="0" fontId="20" fillId="0" borderId="0" xfId="18" applyFill="1" applyAlignment="1">
      <alignment horizontal="left" vertical="top" wrapText="1"/>
    </xf>
    <xf numFmtId="0" fontId="0" fillId="0" borderId="8" xfId="0" applyBorder="1" applyAlignment="1">
      <alignment horizontal="center"/>
    </xf>
    <xf numFmtId="0" fontId="0" fillId="0" borderId="25" xfId="0" applyBorder="1" applyAlignment="1">
      <alignment horizontal="left" vertical="top" wrapText="1"/>
    </xf>
    <xf numFmtId="0" fontId="2" fillId="0" borderId="6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lignment horizontal="center"/>
    </xf>
    <xf numFmtId="0" fontId="4" fillId="0" borderId="32" xfId="0" applyFont="1" applyBorder="1" applyAlignment="1">
      <alignment horizontal="center"/>
    </xf>
    <xf numFmtId="0" fontId="2" fillId="0" borderId="66" xfId="0" applyFont="1" applyBorder="1" applyAlignment="1">
      <alignment horizontal="center" vertical="center" wrapText="1"/>
    </xf>
    <xf numFmtId="0" fontId="2" fillId="0" borderId="18" xfId="0" applyFont="1" applyBorder="1" applyAlignment="1">
      <alignment horizontal="center" vertical="center"/>
    </xf>
    <xf numFmtId="0" fontId="2" fillId="0" borderId="53" xfId="0" applyFont="1" applyBorder="1" applyAlignment="1">
      <alignment horizontal="center" vertical="center"/>
    </xf>
    <xf numFmtId="0" fontId="2" fillId="0" borderId="23" xfId="0" applyFont="1" applyBorder="1" applyAlignment="1">
      <alignment horizontal="center"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49" fontId="2" fillId="0" borderId="18"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0" fontId="2" fillId="0" borderId="67"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3" borderId="0" xfId="0" applyFill="1" applyAlignment="1">
      <alignment horizontal="left" vertical="top" wrapText="1"/>
    </xf>
    <xf numFmtId="0" fontId="4" fillId="0" borderId="49" xfId="0" applyFont="1" applyBorder="1" applyAlignment="1">
      <alignment horizontal="center"/>
    </xf>
    <xf numFmtId="0" fontId="2" fillId="0" borderId="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2" xfId="4" applyFont="1" applyBorder="1" applyAlignment="1">
      <alignment horizontal="center" vertical="center"/>
    </xf>
    <xf numFmtId="0" fontId="8" fillId="0" borderId="23" xfId="4" applyFont="1" applyBorder="1" applyAlignment="1">
      <alignment horizontal="center" vertical="center"/>
    </xf>
    <xf numFmtId="0" fontId="8" fillId="0" borderId="24" xfId="4" applyFont="1" applyBorder="1" applyAlignment="1">
      <alignment horizontal="center" vertical="center"/>
    </xf>
    <xf numFmtId="0" fontId="8" fillId="0" borderId="27" xfId="0" applyFont="1" applyBorder="1" applyAlignment="1">
      <alignment horizontal="center" wrapText="1"/>
    </xf>
    <xf numFmtId="0" fontId="8" fillId="0" borderId="50" xfId="0" applyFont="1" applyBorder="1" applyAlignment="1">
      <alignment horizontal="center" wrapText="1"/>
    </xf>
    <xf numFmtId="0" fontId="8" fillId="0" borderId="25" xfId="0" applyFont="1" applyBorder="1" applyAlignment="1">
      <alignment horizontal="center"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cellXfs>
  <cellStyles count="143">
    <cellStyle name="Comma" xfId="15" builtinId="3"/>
    <cellStyle name="Comma 2" xfId="7" xr:uid="{00000000-0005-0000-0000-000001000000}"/>
    <cellStyle name="Comma 47 2" xfId="20" xr:uid="{1C96BF59-0BCD-4134-B18C-4882FA4390EE}"/>
    <cellStyle name="Comma 47 3" xfId="21" xr:uid="{CD2D8B46-2E26-449C-8B4F-57E37CDDEF70}"/>
    <cellStyle name="Comma 47 4" xfId="22" xr:uid="{8DBD8B7A-7991-4916-BC95-C8663ED00D2C}"/>
    <cellStyle name="Comma0" xfId="8" xr:uid="{00000000-0005-0000-0000-000002000000}"/>
    <cellStyle name="Currency" xfId="1" builtinId="4"/>
    <cellStyle name="Currency 2" xfId="23" xr:uid="{9D29763B-1956-4AB2-A045-75589A01CC41}"/>
    <cellStyle name="Currency0" xfId="9" xr:uid="{00000000-0005-0000-0000-000004000000}"/>
    <cellStyle name="Date" xfId="10" xr:uid="{00000000-0005-0000-0000-000005000000}"/>
    <cellStyle name="Fixed" xfId="11" xr:uid="{00000000-0005-0000-0000-000006000000}"/>
    <cellStyle name="Hyperlink" xfId="18" builtinId="8"/>
    <cellStyle name="Hyperlink 2" xfId="19" xr:uid="{95908C48-2AAB-453C-A416-661491E9F2A1}"/>
    <cellStyle name="Normal" xfId="0" builtinId="0"/>
    <cellStyle name="Normal 11" xfId="24" xr:uid="{33C9E0F3-4AF7-4720-8A6C-6E69AFA9B558}"/>
    <cellStyle name="Normal 11 2" xfId="25" xr:uid="{479D5DA3-294D-4D1E-9F25-0043F790031F}"/>
    <cellStyle name="Normal 11 3" xfId="26" xr:uid="{3AEB024D-6871-485D-9771-DBBBD435A1B3}"/>
    <cellStyle name="Normal 11 4" xfId="27" xr:uid="{CAA2251D-B157-43B3-AA46-EC6D3231202E}"/>
    <cellStyle name="Normal 11 5" xfId="28" xr:uid="{EA7F6EE6-BFCB-4732-8084-2FCFF7AA2F28}"/>
    <cellStyle name="Normal 12" xfId="29" xr:uid="{E3EA30E5-0F3C-4052-BAC9-522957F3CDCD}"/>
    <cellStyle name="Normal 12 2" xfId="30" xr:uid="{C4803C9D-0E04-47B9-93A7-83EDEEB11E1C}"/>
    <cellStyle name="Normal 12 3" xfId="31" xr:uid="{B5BF7BFD-7F54-4914-BC94-469602FD6D9A}"/>
    <cellStyle name="Normal 12 4" xfId="32" xr:uid="{198DDCBF-FBEC-48EE-93FB-E499ACFC0B00}"/>
    <cellStyle name="Normal 12 5" xfId="33" xr:uid="{68E7485E-1490-40C2-8117-17E3E0E4F9B2}"/>
    <cellStyle name="Normal 13" xfId="34" xr:uid="{9D66B0EC-5912-40C6-AFA6-4854AAE86055}"/>
    <cellStyle name="Normal 13 2" xfId="35" xr:uid="{47186BFD-A6FD-4FA8-B774-74C5E0AB509B}"/>
    <cellStyle name="Normal 13 3" xfId="36" xr:uid="{680EB34D-660D-4414-927C-E6E338FBF51F}"/>
    <cellStyle name="Normal 13 4" xfId="37" xr:uid="{E272913E-5918-4FA1-9AD7-F1E1264903F6}"/>
    <cellStyle name="Normal 13 5" xfId="38" xr:uid="{9A7C892B-3079-4662-9271-C58F1605F759}"/>
    <cellStyle name="Normal 14" xfId="39" xr:uid="{403767AE-7E3B-4B3C-BC06-02FD25E53FDF}"/>
    <cellStyle name="Normal 14 2" xfId="40" xr:uid="{CD34DFE2-9C44-4CF4-9460-C83871390472}"/>
    <cellStyle name="Normal 14 3" xfId="41" xr:uid="{3AE0CDA8-6AC1-4B03-8FF0-D265609EB894}"/>
    <cellStyle name="Normal 14 4" xfId="42" xr:uid="{E0237030-9455-45F5-80C1-24B9C35B2321}"/>
    <cellStyle name="Normal 14 5" xfId="43" xr:uid="{648D818A-550C-4FF2-9E8B-360B19E4FC95}"/>
    <cellStyle name="Normal 15" xfId="44" xr:uid="{7D13BFDE-4AF8-446A-A981-FA70F5A5D047}"/>
    <cellStyle name="Normal 15 2" xfId="45" xr:uid="{3EA5B488-BDA2-46AD-944A-4DA3A8E05987}"/>
    <cellStyle name="Normal 15 3" xfId="46" xr:uid="{06464317-4AEA-45D7-8737-885977EE38B5}"/>
    <cellStyle name="Normal 15 4" xfId="47" xr:uid="{2BBED12F-9B40-49DE-889B-267E3C3E2100}"/>
    <cellStyle name="Normal 15 5" xfId="48" xr:uid="{55248DDD-3B61-449F-9204-2860E6E795C7}"/>
    <cellStyle name="Normal 16" xfId="2" xr:uid="{00000000-0005-0000-0000-000009000000}"/>
    <cellStyle name="Normal 16 2" xfId="49" xr:uid="{4FEE854F-976B-4EED-8F94-2F0BCDF084C3}"/>
    <cellStyle name="Normal 16 3" xfId="50" xr:uid="{194CAC0F-6E19-4B4F-8ADD-2E35736C0CEE}"/>
    <cellStyle name="Normal 16 4" xfId="51" xr:uid="{2003B719-2DBB-4726-8EA0-6F1910787049}"/>
    <cellStyle name="Normal 16 5" xfId="52" xr:uid="{099B8640-7C98-4862-A7AC-EE9385D4EB54}"/>
    <cellStyle name="Normal 17" xfId="4" xr:uid="{00000000-0005-0000-0000-00000A000000}"/>
    <cellStyle name="Normal 17 2" xfId="53" xr:uid="{8F3B2596-1E55-4BBA-9D34-5630D0D994F9}"/>
    <cellStyle name="Normal 17 3" xfId="54" xr:uid="{CCE2365D-4986-4555-B16C-78225585D1D7}"/>
    <cellStyle name="Normal 17 4" xfId="55" xr:uid="{970F15DB-0AC8-4997-8770-2A9F432E9F79}"/>
    <cellStyle name="Normal 17 5" xfId="56" xr:uid="{43A06F37-40BC-47CF-A6C3-43DFDADEA7C4}"/>
    <cellStyle name="Normal 18" xfId="3" xr:uid="{00000000-0005-0000-0000-00000B000000}"/>
    <cellStyle name="Normal 18 2" xfId="57" xr:uid="{E5F1D54C-7973-4343-A41C-E7063C9CACC7}"/>
    <cellStyle name="Normal 18 3" xfId="58" xr:uid="{C3CCF803-2FA6-4374-9BFC-5BEE550AB8A4}"/>
    <cellStyle name="Normal 18 4" xfId="59" xr:uid="{BF1287E9-1DC1-4947-9E68-6D8B69519C67}"/>
    <cellStyle name="Normal 18 5" xfId="60" xr:uid="{C345C37B-DE38-4810-857F-F788A2459D15}"/>
    <cellStyle name="Normal 19" xfId="5" xr:uid="{00000000-0005-0000-0000-00000C000000}"/>
    <cellStyle name="Normal 19 2" xfId="61" xr:uid="{D1A7B376-FF96-412D-A223-3EC1F75AE47C}"/>
    <cellStyle name="Normal 19 3" xfId="62" xr:uid="{40FBDD37-18E4-4DE3-BF88-4F1677BA8F54}"/>
    <cellStyle name="Normal 19 4" xfId="63" xr:uid="{A4DB917C-B784-487A-96BC-827EB7D1AB8B}"/>
    <cellStyle name="Normal 19 5" xfId="64" xr:uid="{6E14E3D6-6DDD-4ACA-BA29-6D6B9EE4DB7A}"/>
    <cellStyle name="Normal 2" xfId="6" xr:uid="{00000000-0005-0000-0000-00000D000000}"/>
    <cellStyle name="Normal 2 2" xfId="65" xr:uid="{53CC8A89-0669-4E4A-8BC9-415FE8D3CFBE}"/>
    <cellStyle name="Normal 2 3" xfId="66" xr:uid="{A380D7DB-6507-4349-876F-E2227BBC8086}"/>
    <cellStyle name="Normal 2 4" xfId="67" xr:uid="{E89B64B8-AFE6-42EA-91B1-79C20D070754}"/>
    <cellStyle name="Normal 2 5" xfId="68" xr:uid="{C6218E72-C794-491F-8036-748F700CFEC1}"/>
    <cellStyle name="Normal 20" xfId="69" xr:uid="{D63329F2-36D6-481B-92DF-7B9061F842BC}"/>
    <cellStyle name="Normal 20 2" xfId="70" xr:uid="{4A93CB4A-F59C-4A15-877E-BD560EE5147C}"/>
    <cellStyle name="Normal 20 3" xfId="71" xr:uid="{9364041C-BF29-45D3-859B-8DC407D02BC1}"/>
    <cellStyle name="Normal 20 4" xfId="72" xr:uid="{30488498-60BB-4FAC-A6DC-1581AD70E8BB}"/>
    <cellStyle name="Normal 20 5" xfId="73" xr:uid="{16F4FE59-723A-4F2E-B828-36891BF89D1B}"/>
    <cellStyle name="Normal 21" xfId="74" xr:uid="{37C9D41B-3297-452D-B1A3-9F667F9FA2EE}"/>
    <cellStyle name="Normal 21 2" xfId="75" xr:uid="{A40D17FA-4690-4406-8E3A-DAC7B692406E}"/>
    <cellStyle name="Normal 21 3" xfId="76" xr:uid="{F5D41D4B-6486-4900-98DC-476719C4BD16}"/>
    <cellStyle name="Normal 21 4" xfId="77" xr:uid="{87002C3B-2A3B-4A69-A035-2658B8D6930B}"/>
    <cellStyle name="Normal 21 5" xfId="78" xr:uid="{F1287919-9592-4EB3-98CF-05C24E543A90}"/>
    <cellStyle name="Normal 23" xfId="79" xr:uid="{A522B90C-4A74-4150-A349-44D53BCFCBA6}"/>
    <cellStyle name="Normal 23 2" xfId="80" xr:uid="{93F5699C-FACF-4EBC-A993-6531532E2834}"/>
    <cellStyle name="Normal 23 3" xfId="81" xr:uid="{95A21032-E518-4288-A467-2F7948EC759E}"/>
    <cellStyle name="Normal 23 4" xfId="82" xr:uid="{C5B63419-E355-44A5-AC96-DC0D1F447CB5}"/>
    <cellStyle name="Normal 23 5" xfId="83" xr:uid="{0BD7563C-BDE8-4EC0-8387-66919AC7FE20}"/>
    <cellStyle name="Normal 24" xfId="84" xr:uid="{E6D792D2-07BF-4AB5-B4FB-190FD8B39F9E}"/>
    <cellStyle name="Normal 24 2" xfId="85" xr:uid="{43C2CC05-698B-408F-8A65-44DE3E76D9C8}"/>
    <cellStyle name="Normal 24 3" xfId="86" xr:uid="{E1673849-0F7A-4A08-9EA6-D606117400CF}"/>
    <cellStyle name="Normal 24 4" xfId="87" xr:uid="{D4D434EC-4ADC-49EA-8A5D-DA8C1AFAE81C}"/>
    <cellStyle name="Normal 24 5" xfId="88" xr:uid="{57456176-D85A-4228-8FA7-724E6C79B910}"/>
    <cellStyle name="Normal 25" xfId="89" xr:uid="{B6AA136C-6E85-4573-BCB9-58B4775B2D8F}"/>
    <cellStyle name="Normal 25 2" xfId="90" xr:uid="{6AA74CA2-7602-4236-809A-ED58A6D256FD}"/>
    <cellStyle name="Normal 25 3" xfId="91" xr:uid="{C1BAC713-1C19-46D9-8058-B7B2C46407FE}"/>
    <cellStyle name="Normal 25 4" xfId="92" xr:uid="{85DEB1EE-0D0D-4030-A2EE-4CE9B20B9ABE}"/>
    <cellStyle name="Normal 25 5" xfId="93" xr:uid="{CE2A89C6-72FA-429B-B8DB-3C48205BAAA9}"/>
    <cellStyle name="Normal 26" xfId="94" xr:uid="{C9BC3112-02A5-4C0E-96E0-F425DCE008DA}"/>
    <cellStyle name="Normal 26 2" xfId="95" xr:uid="{EAAD3B92-19FC-4EAA-8720-E73193069CE6}"/>
    <cellStyle name="Normal 26 3" xfId="96" xr:uid="{3B645D03-E961-469D-B109-193C5ADE1F2A}"/>
    <cellStyle name="Normal 26 4" xfId="97" xr:uid="{CAE73CAA-FED1-4383-87E2-322A145A4BF4}"/>
    <cellStyle name="Normal 26 5" xfId="98" xr:uid="{9C0F5BCE-7E55-4251-AA8C-7BE599AF93FE}"/>
    <cellStyle name="Normal 27" xfId="99" xr:uid="{1FABE732-4787-4C92-9857-907872A83984}"/>
    <cellStyle name="Normal 27 2" xfId="100" xr:uid="{EBA74B9D-3E79-4044-81F7-2ACB56A1787E}"/>
    <cellStyle name="Normal 27 3" xfId="101" xr:uid="{6CAF4397-3C3B-49AF-BBCC-6772A403DAFD}"/>
    <cellStyle name="Normal 27 4" xfId="102" xr:uid="{C9BDC9CE-DE04-4AED-92C2-2F3BFC7CF9C1}"/>
    <cellStyle name="Normal 27 5" xfId="103" xr:uid="{519DA5FD-9618-45A4-B17C-F28B604ABEC6}"/>
    <cellStyle name="Normal 28 2" xfId="104" xr:uid="{963B4732-168E-4675-86CD-91CA40A2352A}"/>
    <cellStyle name="Normal 28 3" xfId="105" xr:uid="{8A2FB9DA-7B9A-40B6-967B-201A0934DAEE}"/>
    <cellStyle name="Normal 28 4" xfId="106" xr:uid="{D8CFD8DA-07B3-4E95-BE5C-90A1DDCA0FB5}"/>
    <cellStyle name="Normal 29" xfId="107" xr:uid="{DCE7A998-8C72-4A82-B5E8-E731E0070B8D}"/>
    <cellStyle name="Normal 3" xfId="12" xr:uid="{00000000-0005-0000-0000-00000E000000}"/>
    <cellStyle name="Normal 3 2" xfId="108" xr:uid="{6E1369FA-6B74-4446-8478-B9FDF006FFDA}"/>
    <cellStyle name="Normal 3 3" xfId="109" xr:uid="{33E3D890-8060-431A-9BA2-43943859DD08}"/>
    <cellStyle name="Normal 3 4" xfId="110" xr:uid="{6030BABB-2E2E-4D89-A773-B09D8DAC2F21}"/>
    <cellStyle name="Normal 3 5" xfId="111" xr:uid="{21517C56-E608-4BEC-AEF7-FC08223EDBC4}"/>
    <cellStyle name="Normal 30" xfId="112" xr:uid="{BD8BD42F-1372-4012-8514-FCFA15D59CEE}"/>
    <cellStyle name="Normal 32" xfId="113" xr:uid="{D53F03E3-916D-404E-A834-E2E849C3A378}"/>
    <cellStyle name="Normal 4" xfId="13" xr:uid="{00000000-0005-0000-0000-00000F000000}"/>
    <cellStyle name="Normal 4 2" xfId="114" xr:uid="{94B9A5D9-4E13-401A-B716-13C4AB40BE25}"/>
    <cellStyle name="Normal 4 3" xfId="115" xr:uid="{ACC18A3C-47E5-46EC-B916-FD551BA1BB8C}"/>
    <cellStyle name="Normal 4 4" xfId="116" xr:uid="{17120D17-E672-40C0-A96C-30790C209F6E}"/>
    <cellStyle name="Normal 4 5" xfId="117" xr:uid="{C6A2DB4A-D0BF-497D-BA9C-838878BCC8CF}"/>
    <cellStyle name="Normal 5" xfId="17" xr:uid="{00000000-0005-0000-0000-000010000000}"/>
    <cellStyle name="Normal 5 2" xfId="118" xr:uid="{6FA6AFF7-A04B-4634-B90D-02A9096C85CA}"/>
    <cellStyle name="Normal 5 3" xfId="119" xr:uid="{344C409F-FC94-46A3-873C-66537D19B39D}"/>
    <cellStyle name="Normal 5 4" xfId="120" xr:uid="{AF87B6EE-30F9-4962-B45C-5333EC8D9433}"/>
    <cellStyle name="Normal 5 5" xfId="121" xr:uid="{1FA8118E-A4B4-43BE-BEA5-B8F7F3CDBAC0}"/>
    <cellStyle name="Normal 5_Air Quality" xfId="122" xr:uid="{CDE1999B-2C87-41C9-87AE-CAF388FF6661}"/>
    <cellStyle name="Normal 6" xfId="123" xr:uid="{7E1F9143-5200-4D31-97DE-C49B8BB8ADE7}"/>
    <cellStyle name="Normal 6 2" xfId="124" xr:uid="{472254F8-5D35-45B6-8E1A-65E8D8AC4DC4}"/>
    <cellStyle name="Normal 6 3" xfId="125" xr:uid="{049048DC-7077-4F9F-8425-5CF664B89F22}"/>
    <cellStyle name="Normal 6 4" xfId="126" xr:uid="{E1D2470B-AED0-4CE7-9070-0E27B59BE6A0}"/>
    <cellStyle name="Normal 6 5" xfId="127" xr:uid="{9768666F-E063-495B-B13D-A6513AE69013}"/>
    <cellStyle name="Normal 7" xfId="142" xr:uid="{EABF30DF-6691-4F61-812E-E5E7446B9050}"/>
    <cellStyle name="Normal 7 2" xfId="128" xr:uid="{4D24D031-08D5-473C-A74C-2BB9F3B0B94A}"/>
    <cellStyle name="Normal 7 3" xfId="129" xr:uid="{7ED26B04-6B93-4366-9E3F-612088A1840A}"/>
    <cellStyle name="Normal 7 4" xfId="130" xr:uid="{091EB924-B6AF-4DF7-B760-608F0AD9A343}"/>
    <cellStyle name="Normal 7 5" xfId="131" xr:uid="{0D4C03E3-A439-4BA8-828F-DB6BC3511DB0}"/>
    <cellStyle name="Normal 8 2" xfId="132" xr:uid="{FA1D5115-1F31-4268-9B01-B64E69C4B639}"/>
    <cellStyle name="Normal 8 3" xfId="133" xr:uid="{512F57E3-5C2D-4818-93C8-F616D715C64F}"/>
    <cellStyle name="Normal 8 4" xfId="134" xr:uid="{6A83970C-0700-40AC-862B-09372645B721}"/>
    <cellStyle name="Normal 8 5" xfId="135" xr:uid="{1DEA6F2A-2D1A-4308-871A-802EAF73A49F}"/>
    <cellStyle name="Normal 9" xfId="136" xr:uid="{7B12672A-07D7-4F78-B559-81A085463B45}"/>
    <cellStyle name="Normal 9 2" xfId="137" xr:uid="{3DC1BC42-F881-4E13-83CF-DBC2D74AA4EE}"/>
    <cellStyle name="Normal 9 3" xfId="138" xr:uid="{78287854-0401-4CBB-9160-66A6F68F7B2C}"/>
    <cellStyle name="Normal 9 4" xfId="139" xr:uid="{221C04C1-0C72-4BFF-9CDB-D447831C216D}"/>
    <cellStyle name="Normal 9 5" xfId="140" xr:uid="{A0DF9B0F-A356-47D9-93E4-E10EC8F3FD0B}"/>
    <cellStyle name="Percent" xfId="16" builtinId="5"/>
    <cellStyle name="Percent 2" xfId="14" xr:uid="{00000000-0005-0000-0000-000012000000}"/>
    <cellStyle name="Percent 3" xfId="141" xr:uid="{D8E4EC82-CD5E-483B-981D-BA830843B755}"/>
  </cellStyles>
  <dxfs count="0"/>
  <tableStyles count="0" defaultTableStyle="TableStyleMedium2" defaultPivotStyle="PivotStyleLight16"/>
  <colors>
    <mruColors>
      <color rgb="FF0037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34</xdr:col>
      <xdr:colOff>380998</xdr:colOff>
      <xdr:row>31</xdr:row>
      <xdr:rowOff>100852</xdr:rowOff>
    </xdr:from>
    <xdr:to>
      <xdr:col>41</xdr:col>
      <xdr:colOff>804377</xdr:colOff>
      <xdr:row>71</xdr:row>
      <xdr:rowOff>174408</xdr:rowOff>
    </xdr:to>
    <xdr:pic>
      <xdr:nvPicPr>
        <xdr:cNvPr id="2" name="Picture 1">
          <a:extLst>
            <a:ext uri="{FF2B5EF4-FFF2-40B4-BE49-F238E27FC236}">
              <a16:creationId xmlns:a16="http://schemas.microsoft.com/office/drawing/2014/main" id="{92F9051B-16CB-EB68-BD34-5BE1E091AC7B}"/>
            </a:ext>
          </a:extLst>
        </xdr:cNvPr>
        <xdr:cNvPicPr>
          <a:picLocks noChangeAspect="1"/>
        </xdr:cNvPicPr>
      </xdr:nvPicPr>
      <xdr:blipFill>
        <a:blip xmlns:r="http://schemas.openxmlformats.org/officeDocument/2006/relationships" r:embed="rId1"/>
        <a:stretch>
          <a:fillRect/>
        </a:stretch>
      </xdr:blipFill>
      <xdr:spPr>
        <a:xfrm>
          <a:off x="26434674" y="6107205"/>
          <a:ext cx="6104762" cy="7704762"/>
        </a:xfrm>
        <a:prstGeom prst="rect">
          <a:avLst/>
        </a:prstGeom>
      </xdr:spPr>
    </xdr:pic>
    <xdr:clientData/>
  </xdr:twoCellAnchor>
  <xdr:twoCellAnchor editAs="oneCell">
    <xdr:from>
      <xdr:col>42</xdr:col>
      <xdr:colOff>145675</xdr:colOff>
      <xdr:row>32</xdr:row>
      <xdr:rowOff>145675</xdr:rowOff>
    </xdr:from>
    <xdr:to>
      <xdr:col>49</xdr:col>
      <xdr:colOff>179715</xdr:colOff>
      <xdr:row>71</xdr:row>
      <xdr:rowOff>28778</xdr:rowOff>
    </xdr:to>
    <xdr:pic>
      <xdr:nvPicPr>
        <xdr:cNvPr id="3" name="Picture 2">
          <a:extLst>
            <a:ext uri="{FF2B5EF4-FFF2-40B4-BE49-F238E27FC236}">
              <a16:creationId xmlns:a16="http://schemas.microsoft.com/office/drawing/2014/main" id="{4DDFF955-02F9-55CF-CD44-710DACB49221}"/>
            </a:ext>
          </a:extLst>
        </xdr:cNvPr>
        <xdr:cNvPicPr>
          <a:picLocks noChangeAspect="1"/>
        </xdr:cNvPicPr>
      </xdr:nvPicPr>
      <xdr:blipFill>
        <a:blip xmlns:r="http://schemas.openxmlformats.org/officeDocument/2006/relationships" r:embed="rId2"/>
        <a:stretch>
          <a:fillRect/>
        </a:stretch>
      </xdr:blipFill>
      <xdr:spPr>
        <a:xfrm>
          <a:off x="32721175" y="6342528"/>
          <a:ext cx="5580952" cy="7323809"/>
        </a:xfrm>
        <a:prstGeom prst="rect">
          <a:avLst/>
        </a:prstGeom>
      </xdr:spPr>
    </xdr:pic>
    <xdr:clientData/>
  </xdr:twoCellAnchor>
  <xdr:twoCellAnchor editAs="oneCell">
    <xdr:from>
      <xdr:col>35</xdr:col>
      <xdr:colOff>145677</xdr:colOff>
      <xdr:row>0</xdr:row>
      <xdr:rowOff>112058</xdr:rowOff>
    </xdr:from>
    <xdr:to>
      <xdr:col>42</xdr:col>
      <xdr:colOff>340485</xdr:colOff>
      <xdr:row>32</xdr:row>
      <xdr:rowOff>143776</xdr:rowOff>
    </xdr:to>
    <xdr:pic>
      <xdr:nvPicPr>
        <xdr:cNvPr id="4" name="Picture 3">
          <a:extLst>
            <a:ext uri="{FF2B5EF4-FFF2-40B4-BE49-F238E27FC236}">
              <a16:creationId xmlns:a16="http://schemas.microsoft.com/office/drawing/2014/main" id="{1679F2F0-C367-E1E6-2199-EF0E4190ED3D}"/>
            </a:ext>
          </a:extLst>
        </xdr:cNvPr>
        <xdr:cNvPicPr>
          <a:picLocks noChangeAspect="1"/>
        </xdr:cNvPicPr>
      </xdr:nvPicPr>
      <xdr:blipFill>
        <a:blip xmlns:r="http://schemas.openxmlformats.org/officeDocument/2006/relationships" r:embed="rId3"/>
        <a:stretch>
          <a:fillRect/>
        </a:stretch>
      </xdr:blipFill>
      <xdr:spPr>
        <a:xfrm>
          <a:off x="28709471" y="112058"/>
          <a:ext cx="5876190" cy="6228571"/>
        </a:xfrm>
        <a:prstGeom prst="rect">
          <a:avLst/>
        </a:prstGeom>
      </xdr:spPr>
    </xdr:pic>
    <xdr:clientData/>
  </xdr:twoCellAnchor>
  <xdr:twoCellAnchor editAs="oneCell">
    <xdr:from>
      <xdr:col>21</xdr:col>
      <xdr:colOff>123262</xdr:colOff>
      <xdr:row>44</xdr:row>
      <xdr:rowOff>56029</xdr:rowOff>
    </xdr:from>
    <xdr:to>
      <xdr:col>27</xdr:col>
      <xdr:colOff>420581</xdr:colOff>
      <xdr:row>75</xdr:row>
      <xdr:rowOff>131481</xdr:rowOff>
    </xdr:to>
    <xdr:pic>
      <xdr:nvPicPr>
        <xdr:cNvPr id="5" name="Picture 4">
          <a:extLst>
            <a:ext uri="{FF2B5EF4-FFF2-40B4-BE49-F238E27FC236}">
              <a16:creationId xmlns:a16="http://schemas.microsoft.com/office/drawing/2014/main" id="{E6D4DFC5-C52A-4F9C-FF4B-D76AAAFED2D8}"/>
            </a:ext>
          </a:extLst>
        </xdr:cNvPr>
        <xdr:cNvPicPr>
          <a:picLocks noChangeAspect="1"/>
        </xdr:cNvPicPr>
      </xdr:nvPicPr>
      <xdr:blipFill>
        <a:blip xmlns:r="http://schemas.openxmlformats.org/officeDocument/2006/relationships" r:embed="rId4"/>
        <a:stretch>
          <a:fillRect/>
        </a:stretch>
      </xdr:blipFill>
      <xdr:spPr>
        <a:xfrm>
          <a:off x="14971056" y="8550088"/>
          <a:ext cx="6057143" cy="5980952"/>
        </a:xfrm>
        <a:prstGeom prst="rect">
          <a:avLst/>
        </a:prstGeom>
      </xdr:spPr>
    </xdr:pic>
    <xdr:clientData/>
  </xdr:twoCellAnchor>
  <xdr:twoCellAnchor editAs="oneCell">
    <xdr:from>
      <xdr:col>12</xdr:col>
      <xdr:colOff>515471</xdr:colOff>
      <xdr:row>44</xdr:row>
      <xdr:rowOff>100854</xdr:rowOff>
    </xdr:from>
    <xdr:to>
      <xdr:col>20</xdr:col>
      <xdr:colOff>648730</xdr:colOff>
      <xdr:row>64</xdr:row>
      <xdr:rowOff>81330</xdr:rowOff>
    </xdr:to>
    <xdr:pic>
      <xdr:nvPicPr>
        <xdr:cNvPr id="7" name="Picture 6">
          <a:extLst>
            <a:ext uri="{FF2B5EF4-FFF2-40B4-BE49-F238E27FC236}">
              <a16:creationId xmlns:a16="http://schemas.microsoft.com/office/drawing/2014/main" id="{6555374C-0DF5-A03F-480A-E16A0A5D9629}"/>
            </a:ext>
          </a:extLst>
        </xdr:cNvPr>
        <xdr:cNvPicPr>
          <a:picLocks noChangeAspect="1"/>
        </xdr:cNvPicPr>
      </xdr:nvPicPr>
      <xdr:blipFill>
        <a:blip xmlns:r="http://schemas.openxmlformats.org/officeDocument/2006/relationships" r:embed="rId5"/>
        <a:stretch>
          <a:fillRect/>
        </a:stretch>
      </xdr:blipFill>
      <xdr:spPr>
        <a:xfrm>
          <a:off x="10914530" y="8594913"/>
          <a:ext cx="5209524" cy="37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1025847</xdr:colOff>
      <xdr:row>1</xdr:row>
      <xdr:rowOff>147715</xdr:rowOff>
    </xdr:from>
    <xdr:ext cx="6111983" cy="4124299"/>
    <xdr:pic>
      <xdr:nvPicPr>
        <xdr:cNvPr id="4" name="Picture 3">
          <a:extLst>
            <a:ext uri="{FF2B5EF4-FFF2-40B4-BE49-F238E27FC236}">
              <a16:creationId xmlns:a16="http://schemas.microsoft.com/office/drawing/2014/main" id="{E620D529-F1C1-4FA3-A40D-F085F442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97029" y="338215"/>
          <a:ext cx="6111983" cy="41242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844694</xdr:colOff>
      <xdr:row>0</xdr:row>
      <xdr:rowOff>0</xdr:rowOff>
    </xdr:from>
    <xdr:ext cx="6115050" cy="3952861"/>
    <xdr:pic>
      <xdr:nvPicPr>
        <xdr:cNvPr id="5" name="Picture 4">
          <a:extLst>
            <a:ext uri="{FF2B5EF4-FFF2-40B4-BE49-F238E27FC236}">
              <a16:creationId xmlns:a16="http://schemas.microsoft.com/office/drawing/2014/main" id="{C4C4FE4B-1F82-4448-9DE0-F25B94B74A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73512" y="0"/>
          <a:ext cx="6115050" cy="39528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702914</xdr:colOff>
      <xdr:row>22</xdr:row>
      <xdr:rowOff>37517</xdr:rowOff>
    </xdr:from>
    <xdr:ext cx="4579130" cy="1307406"/>
    <xdr:pic>
      <xdr:nvPicPr>
        <xdr:cNvPr id="6" name="Picture 5">
          <a:extLst>
            <a:ext uri="{FF2B5EF4-FFF2-40B4-BE49-F238E27FC236}">
              <a16:creationId xmlns:a16="http://schemas.microsoft.com/office/drawing/2014/main" id="{3913780B-DDCD-44C8-8F6E-1777A1834D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467414" y="4851972"/>
          <a:ext cx="4579130" cy="130740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190500</xdr:colOff>
      <xdr:row>21</xdr:row>
      <xdr:rowOff>17317</xdr:rowOff>
    </xdr:from>
    <xdr:ext cx="4565601" cy="3337619"/>
    <xdr:pic>
      <xdr:nvPicPr>
        <xdr:cNvPr id="7" name="Picture 6">
          <a:extLst>
            <a:ext uri="{FF2B5EF4-FFF2-40B4-BE49-F238E27FC236}">
              <a16:creationId xmlns:a16="http://schemas.microsoft.com/office/drawing/2014/main" id="{9D2650B1-514D-4624-9AE0-5905F45C2CC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019318" y="4641272"/>
          <a:ext cx="4565601" cy="33376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560294</xdr:colOff>
      <xdr:row>45</xdr:row>
      <xdr:rowOff>56030</xdr:rowOff>
    </xdr:from>
    <xdr:to>
      <xdr:col>10</xdr:col>
      <xdr:colOff>337383</xdr:colOff>
      <xdr:row>56</xdr:row>
      <xdr:rowOff>48945</xdr:rowOff>
    </xdr:to>
    <xdr:pic>
      <xdr:nvPicPr>
        <xdr:cNvPr id="3" name="Picture 2">
          <a:extLst>
            <a:ext uri="{FF2B5EF4-FFF2-40B4-BE49-F238E27FC236}">
              <a16:creationId xmlns:a16="http://schemas.microsoft.com/office/drawing/2014/main" id="{389EDFB1-3C5A-41AE-B080-61041754F368}"/>
            </a:ext>
          </a:extLst>
        </xdr:cNvPr>
        <xdr:cNvPicPr>
          <a:picLocks noChangeAspect="1"/>
        </xdr:cNvPicPr>
      </xdr:nvPicPr>
      <xdr:blipFill>
        <a:blip xmlns:r="http://schemas.openxmlformats.org/officeDocument/2006/relationships" r:embed="rId1"/>
        <a:stretch>
          <a:fillRect/>
        </a:stretch>
      </xdr:blipFill>
      <xdr:spPr>
        <a:xfrm>
          <a:off x="7126941" y="4773706"/>
          <a:ext cx="2981972" cy="2088415"/>
        </a:xfrm>
        <a:prstGeom prst="rect">
          <a:avLst/>
        </a:prstGeom>
        <a:ln w="12700">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537882</xdr:colOff>
      <xdr:row>22</xdr:row>
      <xdr:rowOff>112059</xdr:rowOff>
    </xdr:from>
    <xdr:to>
      <xdr:col>16</xdr:col>
      <xdr:colOff>1250363</xdr:colOff>
      <xdr:row>32</xdr:row>
      <xdr:rowOff>66429</xdr:rowOff>
    </xdr:to>
    <xdr:pic>
      <xdr:nvPicPr>
        <xdr:cNvPr id="2" name="Picture 1">
          <a:extLst>
            <a:ext uri="{FF2B5EF4-FFF2-40B4-BE49-F238E27FC236}">
              <a16:creationId xmlns:a16="http://schemas.microsoft.com/office/drawing/2014/main" id="{3FDB06C0-BFB6-4C9A-B6B0-B60E7F922FCF}"/>
            </a:ext>
          </a:extLst>
        </xdr:cNvPr>
        <xdr:cNvPicPr>
          <a:picLocks noChangeAspect="1"/>
        </xdr:cNvPicPr>
      </xdr:nvPicPr>
      <xdr:blipFill>
        <a:blip xmlns:r="http://schemas.openxmlformats.org/officeDocument/2006/relationships" r:embed="rId1"/>
        <a:stretch>
          <a:fillRect/>
        </a:stretch>
      </xdr:blipFill>
      <xdr:spPr>
        <a:xfrm>
          <a:off x="13088470" y="4560794"/>
          <a:ext cx="6180952" cy="1971429"/>
        </a:xfrm>
        <a:prstGeom prst="rect">
          <a:avLst/>
        </a:prstGeom>
        <a:solidFill>
          <a:schemeClr val="accent3"/>
        </a:solidFill>
        <a:ln w="15875">
          <a:solidFill>
            <a:schemeClr val="accent3"/>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TROLLER\Plan\Debt1\Debt\Other\UAM_2750%20FY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ONTROLLER\AcctFin%20Report\Internal%20Rptg\CBS\2009\4th%20Quarter\CBS%20-%20Q4%20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uary 08"/>
      <sheetName val="February 08"/>
      <sheetName val="March 08"/>
      <sheetName val="April 08"/>
      <sheetName val="May 08"/>
      <sheetName val="June 08"/>
      <sheetName val="July 08"/>
      <sheetName val="August 08"/>
      <sheetName val="September 08"/>
      <sheetName val="October 08"/>
      <sheetName val="November 08"/>
      <sheetName val="YTD08"/>
      <sheetName val="December 08"/>
      <sheetName val="Journal Entry"/>
      <sheetName val="Non-Cash Entr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CBS"/>
      <sheetName val="Signature-not used"/>
      <sheetName val="Q4 09 BS Leads"/>
      <sheetName val="Current"/>
      <sheetName val="PPE-Other Current 10-Q Recon"/>
      <sheetName val="Current 10-K Recon"/>
      <sheetName val="12.31.08"/>
      <sheetName val="12.31.08 10-K Recon"/>
      <sheetName val="12.31.08 PPE 10-K Recon"/>
      <sheetName val="Q3 09 Rail BS Leads"/>
      <sheetName val="Q2 09 Rail BS Leads"/>
      <sheetName val="PriorQ4"/>
      <sheetName val="PriorQ3"/>
      <sheetName val="Prior Q2"/>
      <sheetName val="PriorQ1"/>
      <sheetName val="PPE-Other Q3-09 10-Q Recon"/>
      <sheetName val="PPE-Other Q2-09 10-Q Recon"/>
      <sheetName val="PPE-Other Sep08 10-Q Recon"/>
      <sheetName val="Prior 10-Q Recon"/>
      <sheetName val="R-1 220"/>
      <sheetName val="R-1 220 revised 021710"/>
      <sheetName val="R-1 220 revised 022610"/>
      <sheetName val="220 Support"/>
      <sheetName val="R-1 230"/>
      <sheetName val="R-1 460"/>
      <sheetName val="Variance Analysis Q409 vs Q408"/>
      <sheetName val="Variance Analysis-old"/>
      <sheetName val="Q3.09 vs Q3.08 &amp; Q4.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nergy.gov/eere/vehicles/fact-861-february-23-2015-idle-fuel-consumption-selected-gasoline-and-diesel-vehicles"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www.nap.edu/download/22808"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mfclearinghouse.org/detail.cfm?facid=518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E13"/>
  <sheetViews>
    <sheetView view="pageBreakPreview" zoomScaleNormal="100" zoomScaleSheetLayoutView="100" workbookViewId="0">
      <selection activeCell="B4" sqref="B4"/>
    </sheetView>
  </sheetViews>
  <sheetFormatPr defaultRowHeight="15" x14ac:dyDescent="0.25"/>
  <cols>
    <col min="2" max="2" width="35.140625" customWidth="1"/>
    <col min="3" max="3" width="13.42578125" customWidth="1"/>
  </cols>
  <sheetData>
    <row r="5" spans="2:5" x14ac:dyDescent="0.25">
      <c r="B5" s="18" t="s">
        <v>59</v>
      </c>
      <c r="C5" s="77"/>
      <c r="E5" s="83"/>
    </row>
    <row r="6" spans="2:5" x14ac:dyDescent="0.25">
      <c r="B6" s="78" t="s">
        <v>93</v>
      </c>
      <c r="C6" s="79">
        <v>2021</v>
      </c>
      <c r="E6" s="86"/>
    </row>
    <row r="7" spans="2:5" x14ac:dyDescent="0.25">
      <c r="B7" s="78" t="s">
        <v>82</v>
      </c>
      <c r="C7" s="79">
        <v>2025</v>
      </c>
      <c r="E7" s="84"/>
    </row>
    <row r="8" spans="2:5" x14ac:dyDescent="0.25">
      <c r="B8" s="78" t="s">
        <v>83</v>
      </c>
      <c r="C8" s="79">
        <v>2</v>
      </c>
      <c r="E8" s="86"/>
    </row>
    <row r="9" spans="2:5" x14ac:dyDescent="0.25">
      <c r="B9" s="78" t="s">
        <v>60</v>
      </c>
      <c r="C9" s="79">
        <v>20</v>
      </c>
      <c r="E9" s="84"/>
    </row>
    <row r="10" spans="2:5" x14ac:dyDescent="0.25">
      <c r="B10" s="78" t="s">
        <v>84</v>
      </c>
      <c r="C10" s="79">
        <f>C7+C8</f>
        <v>2027</v>
      </c>
    </row>
    <row r="11" spans="2:5" x14ac:dyDescent="0.25">
      <c r="B11" s="78" t="s">
        <v>61</v>
      </c>
      <c r="C11" s="79">
        <f>C10+20-1</f>
        <v>2046</v>
      </c>
    </row>
    <row r="12" spans="2:5" x14ac:dyDescent="0.25">
      <c r="B12" s="78" t="s">
        <v>85</v>
      </c>
      <c r="C12" s="79">
        <v>2045</v>
      </c>
    </row>
    <row r="13" spans="2:5" x14ac:dyDescent="0.25">
      <c r="B13" s="78" t="s">
        <v>62</v>
      </c>
      <c r="C13" s="79">
        <v>365</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11FB5-0019-43A8-B20C-022CFC853DAE}">
  <sheetPr>
    <tabColor rgb="FF00B050"/>
  </sheetPr>
  <dimension ref="B2:Q46"/>
  <sheetViews>
    <sheetView view="pageBreakPreview" zoomScale="90" zoomScaleNormal="55" zoomScaleSheetLayoutView="90" workbookViewId="0">
      <selection activeCell="L16" sqref="L16"/>
    </sheetView>
  </sheetViews>
  <sheetFormatPr defaultRowHeight="15" x14ac:dyDescent="0.25"/>
  <cols>
    <col min="2" max="2" width="11.42578125" bestFit="1" customWidth="1"/>
    <col min="3" max="3" width="22.42578125" bestFit="1" customWidth="1"/>
    <col min="4" max="4" width="10.42578125" bestFit="1" customWidth="1"/>
    <col min="6" max="6" width="24.28515625" bestFit="1" customWidth="1"/>
    <col min="7" max="7" width="11.5703125" bestFit="1" customWidth="1"/>
    <col min="8" max="8" width="17.5703125" bestFit="1" customWidth="1"/>
    <col min="9" max="9" width="11" bestFit="1" customWidth="1"/>
    <col min="10" max="10" width="12" bestFit="1" customWidth="1"/>
    <col min="11" max="11" width="10.5703125" bestFit="1" customWidth="1"/>
    <col min="12" max="12" width="14.42578125" bestFit="1" customWidth="1"/>
    <col min="13" max="13" width="12" bestFit="1" customWidth="1"/>
    <col min="14" max="14" width="15.7109375" bestFit="1" customWidth="1"/>
    <col min="15" max="15" width="12" bestFit="1" customWidth="1"/>
    <col min="17" max="17" width="19.42578125" bestFit="1" customWidth="1"/>
    <col min="18" max="18" width="5.42578125" bestFit="1" customWidth="1"/>
    <col min="19" max="19" width="15.7109375" bestFit="1" customWidth="1"/>
    <col min="20" max="20" width="12" bestFit="1" customWidth="1"/>
  </cols>
  <sheetData>
    <row r="2" spans="2:10" x14ac:dyDescent="0.25">
      <c r="B2" s="6" t="s">
        <v>335</v>
      </c>
    </row>
    <row r="3" spans="2:10" ht="15.75" thickBot="1" x14ac:dyDescent="0.3"/>
    <row r="4" spans="2:10" ht="15.75" thickBot="1" x14ac:dyDescent="0.3">
      <c r="B4" s="506" t="s">
        <v>1216</v>
      </c>
      <c r="C4" s="507"/>
      <c r="D4" s="508"/>
    </row>
    <row r="5" spans="2:10" x14ac:dyDescent="0.25">
      <c r="B5" s="492" t="s">
        <v>0</v>
      </c>
      <c r="C5" s="492" t="s">
        <v>1228</v>
      </c>
      <c r="D5" s="563" t="s">
        <v>1</v>
      </c>
    </row>
    <row r="6" spans="2:10" ht="15.75" thickBot="1" x14ac:dyDescent="0.3">
      <c r="B6" s="493"/>
      <c r="C6" s="493"/>
      <c r="D6" s="510"/>
    </row>
    <row r="7" spans="2:10" x14ac:dyDescent="0.25">
      <c r="B7" s="1">
        <f>Assumptions!C10</f>
        <v>2027</v>
      </c>
      <c r="C7" s="203">
        <f t="shared" ref="C7:C26" si="0">$G$15</f>
        <v>210346.10550000001</v>
      </c>
      <c r="D7" s="302">
        <f>C7*(1+0.07)^-(B7-2021)</f>
        <v>140162.49171001275</v>
      </c>
      <c r="F7" s="511" t="s">
        <v>1205</v>
      </c>
      <c r="G7" s="511"/>
      <c r="H7" s="511"/>
      <c r="I7" s="511"/>
      <c r="J7" s="511"/>
    </row>
    <row r="8" spans="2:10" x14ac:dyDescent="0.25">
      <c r="B8" s="2">
        <f>B7+1</f>
        <v>2028</v>
      </c>
      <c r="C8" s="202">
        <f t="shared" si="0"/>
        <v>210346.10550000001</v>
      </c>
      <c r="D8" s="305">
        <f t="shared" ref="D8:D26" si="1">C8*(1+0.07)^-(B8-2021)</f>
        <v>130992.98290655397</v>
      </c>
      <c r="F8" s="562" t="s">
        <v>1196</v>
      </c>
      <c r="G8" s="562" t="s">
        <v>1197</v>
      </c>
      <c r="H8" s="562" t="s">
        <v>1193</v>
      </c>
      <c r="I8" s="562" t="s">
        <v>1194</v>
      </c>
      <c r="J8" s="562" t="s">
        <v>1195</v>
      </c>
    </row>
    <row r="9" spans="2:10" x14ac:dyDescent="0.25">
      <c r="B9" s="2">
        <f t="shared" ref="B9:B26" si="2">B8+1</f>
        <v>2029</v>
      </c>
      <c r="C9" s="202">
        <f t="shared" si="0"/>
        <v>210346.10550000001</v>
      </c>
      <c r="D9" s="305">
        <f t="shared" si="1"/>
        <v>122423.3485107981</v>
      </c>
      <c r="F9" s="562"/>
      <c r="G9" s="562"/>
      <c r="H9" s="562"/>
      <c r="I9" s="562"/>
      <c r="J9" s="562"/>
    </row>
    <row r="10" spans="2:10" x14ac:dyDescent="0.25">
      <c r="B10" s="2">
        <f t="shared" si="2"/>
        <v>2030</v>
      </c>
      <c r="C10" s="202">
        <f t="shared" si="0"/>
        <v>210346.10550000001</v>
      </c>
      <c r="D10" s="305">
        <f t="shared" si="1"/>
        <v>114414.34440261505</v>
      </c>
      <c r="F10" s="324">
        <f>SUM(I35,M33)</f>
        <v>951</v>
      </c>
      <c r="G10" s="45">
        <v>0.86</v>
      </c>
      <c r="H10" s="45">
        <f>F10*G10</f>
        <v>817.86</v>
      </c>
      <c r="I10" s="420">
        <f>H10*G20*G18</f>
        <v>539.7876</v>
      </c>
      <c r="J10" s="435">
        <f>I10*365*3/4</f>
        <v>147766.85550000001</v>
      </c>
    </row>
    <row r="11" spans="2:10" x14ac:dyDescent="0.25">
      <c r="B11" s="2">
        <f t="shared" si="2"/>
        <v>2031</v>
      </c>
      <c r="C11" s="202">
        <f t="shared" si="0"/>
        <v>210346.10550000001</v>
      </c>
      <c r="D11" s="305">
        <f t="shared" si="1"/>
        <v>106929.29383421967</v>
      </c>
    </row>
    <row r="12" spans="2:10" x14ac:dyDescent="0.25">
      <c r="B12" s="2">
        <f t="shared" si="2"/>
        <v>2032</v>
      </c>
      <c r="C12" s="202">
        <f t="shared" si="0"/>
        <v>210346.10550000001</v>
      </c>
      <c r="D12" s="305">
        <f t="shared" si="1"/>
        <v>99933.919471233326</v>
      </c>
    </row>
    <row r="13" spans="2:10" x14ac:dyDescent="0.25">
      <c r="B13" s="2">
        <f t="shared" si="2"/>
        <v>2033</v>
      </c>
      <c r="C13" s="202">
        <f t="shared" si="0"/>
        <v>210346.10550000001</v>
      </c>
      <c r="D13" s="305">
        <f t="shared" si="1"/>
        <v>93396.186421713399</v>
      </c>
      <c r="F13" s="45" t="s">
        <v>1214</v>
      </c>
      <c r="G13" s="435">
        <f>J10</f>
        <v>147766.85550000001</v>
      </c>
    </row>
    <row r="14" spans="2:10" x14ac:dyDescent="0.25">
      <c r="B14" s="2">
        <f t="shared" si="2"/>
        <v>2034</v>
      </c>
      <c r="C14" s="202">
        <f t="shared" si="0"/>
        <v>210346.10550000001</v>
      </c>
      <c r="D14" s="305">
        <f t="shared" si="1"/>
        <v>87286.155534311576</v>
      </c>
      <c r="F14" s="45" t="s">
        <v>1215</v>
      </c>
      <c r="G14" s="435">
        <f>SUM(I38:I45)+SUM(N38:N44)</f>
        <v>62579.25</v>
      </c>
    </row>
    <row r="15" spans="2:10" x14ac:dyDescent="0.25">
      <c r="B15" s="2">
        <f t="shared" si="2"/>
        <v>2035</v>
      </c>
      <c r="C15" s="202">
        <f t="shared" si="0"/>
        <v>210346.10550000001</v>
      </c>
      <c r="D15" s="305">
        <f t="shared" si="1"/>
        <v>81575.846293749157</v>
      </c>
      <c r="F15" s="45" t="s">
        <v>31</v>
      </c>
      <c r="G15" s="435">
        <f>SUM(G13:G14)</f>
        <v>210346.10550000001</v>
      </c>
    </row>
    <row r="16" spans="2:10" x14ac:dyDescent="0.25">
      <c r="B16" s="2">
        <f t="shared" si="2"/>
        <v>2036</v>
      </c>
      <c r="C16" s="202">
        <f t="shared" si="0"/>
        <v>210346.10550000001</v>
      </c>
      <c r="D16" s="305">
        <f t="shared" si="1"/>
        <v>76239.108685746862</v>
      </c>
    </row>
    <row r="17" spans="2:17" x14ac:dyDescent="0.25">
      <c r="B17" s="2">
        <f t="shared" si="2"/>
        <v>2037</v>
      </c>
      <c r="C17" s="202">
        <f t="shared" si="0"/>
        <v>210346.10550000001</v>
      </c>
      <c r="D17" s="305">
        <f t="shared" si="1"/>
        <v>71251.503444623246</v>
      </c>
      <c r="F17" s="45" t="s">
        <v>1218</v>
      </c>
      <c r="G17" s="342">
        <v>0.18</v>
      </c>
    </row>
    <row r="18" spans="2:17" x14ac:dyDescent="0.25">
      <c r="B18" s="2">
        <f t="shared" si="2"/>
        <v>2038</v>
      </c>
      <c r="C18" s="202">
        <f t="shared" si="0"/>
        <v>210346.10550000001</v>
      </c>
      <c r="D18" s="305">
        <f t="shared" si="1"/>
        <v>66590.190135161916</v>
      </c>
      <c r="F18" s="45" t="s">
        <v>1219</v>
      </c>
      <c r="G18" s="342">
        <v>0.11</v>
      </c>
    </row>
    <row r="19" spans="2:17" x14ac:dyDescent="0.25">
      <c r="B19" s="2">
        <f t="shared" si="2"/>
        <v>2039</v>
      </c>
      <c r="C19" s="202">
        <f t="shared" si="0"/>
        <v>210346.10550000001</v>
      </c>
      <c r="D19" s="305">
        <f t="shared" si="1"/>
        <v>62233.822556226078</v>
      </c>
      <c r="F19" s="45" t="s">
        <v>1221</v>
      </c>
      <c r="G19" s="342">
        <v>0.48</v>
      </c>
    </row>
    <row r="20" spans="2:17" x14ac:dyDescent="0.25">
      <c r="B20" s="2">
        <f t="shared" si="2"/>
        <v>2040</v>
      </c>
      <c r="C20" s="202">
        <f t="shared" si="0"/>
        <v>210346.10550000001</v>
      </c>
      <c r="D20" s="305">
        <f t="shared" si="1"/>
        <v>58162.45098712718</v>
      </c>
      <c r="F20" s="45" t="s">
        <v>1220</v>
      </c>
      <c r="G20" s="45">
        <v>6</v>
      </c>
    </row>
    <row r="21" spans="2:17" x14ac:dyDescent="0.25">
      <c r="B21" s="2">
        <f t="shared" si="2"/>
        <v>2041</v>
      </c>
      <c r="C21" s="202">
        <f t="shared" si="0"/>
        <v>210346.10550000001</v>
      </c>
      <c r="D21" s="305">
        <f t="shared" si="1"/>
        <v>54357.430829090823</v>
      </c>
    </row>
    <row r="22" spans="2:17" x14ac:dyDescent="0.25">
      <c r="B22" s="2">
        <f t="shared" si="2"/>
        <v>2042</v>
      </c>
      <c r="C22" s="202">
        <f t="shared" si="0"/>
        <v>210346.10550000001</v>
      </c>
      <c r="D22" s="305">
        <f t="shared" si="1"/>
        <v>50801.337223449365</v>
      </c>
    </row>
    <row r="23" spans="2:17" x14ac:dyDescent="0.25">
      <c r="B23" s="2">
        <f t="shared" si="2"/>
        <v>2043</v>
      </c>
      <c r="C23" s="202">
        <f t="shared" si="0"/>
        <v>210346.10550000001</v>
      </c>
      <c r="D23" s="305">
        <f t="shared" si="1"/>
        <v>47477.885255560155</v>
      </c>
    </row>
    <row r="24" spans="2:17" x14ac:dyDescent="0.25">
      <c r="B24" s="2">
        <f t="shared" si="2"/>
        <v>2044</v>
      </c>
      <c r="C24" s="202">
        <f t="shared" si="0"/>
        <v>210346.10550000001</v>
      </c>
      <c r="D24" s="305">
        <f t="shared" si="1"/>
        <v>44371.85537902818</v>
      </c>
      <c r="E24" s="48"/>
      <c r="F24" s="512" t="s">
        <v>1212</v>
      </c>
      <c r="G24" s="561"/>
      <c r="H24" s="561"/>
      <c r="I24" s="513"/>
      <c r="K24" s="512" t="s">
        <v>1213</v>
      </c>
      <c r="L24" s="561"/>
      <c r="M24" s="513"/>
    </row>
    <row r="25" spans="2:17" x14ac:dyDescent="0.25">
      <c r="B25" s="2">
        <f t="shared" si="2"/>
        <v>2045</v>
      </c>
      <c r="C25" s="202">
        <f t="shared" si="0"/>
        <v>210346.10550000001</v>
      </c>
      <c r="D25" s="305">
        <f t="shared" si="1"/>
        <v>41469.02371871793</v>
      </c>
      <c r="F25" s="45" t="s">
        <v>1211</v>
      </c>
      <c r="G25" s="45" t="s">
        <v>1209</v>
      </c>
      <c r="H25" s="45"/>
      <c r="I25" s="45" t="s">
        <v>1210</v>
      </c>
      <c r="K25" s="45">
        <v>1</v>
      </c>
      <c r="L25" s="45">
        <v>105</v>
      </c>
      <c r="M25" s="45">
        <v>28</v>
      </c>
    </row>
    <row r="26" spans="2:17" ht="15.75" thickBot="1" x14ac:dyDescent="0.3">
      <c r="B26" s="3">
        <f t="shared" si="2"/>
        <v>2046</v>
      </c>
      <c r="C26" s="350">
        <f t="shared" si="0"/>
        <v>210346.10550000001</v>
      </c>
      <c r="D26" s="416">
        <f t="shared" si="1"/>
        <v>38756.096933381232</v>
      </c>
      <c r="F26" s="45">
        <v>1</v>
      </c>
      <c r="G26" s="45">
        <v>45</v>
      </c>
      <c r="H26" s="45"/>
      <c r="I26" s="45">
        <v>32</v>
      </c>
      <c r="K26" s="45">
        <v>2</v>
      </c>
      <c r="L26" s="45">
        <v>1</v>
      </c>
      <c r="M26" s="45">
        <v>3</v>
      </c>
    </row>
    <row r="27" spans="2:17" ht="15.75" thickBot="1" x14ac:dyDescent="0.3">
      <c r="B27" s="4"/>
      <c r="C27" s="48"/>
      <c r="D27" s="111">
        <f>SUM(D7:D26)</f>
        <v>1588825.2742333196</v>
      </c>
      <c r="F27" s="45">
        <v>2</v>
      </c>
      <c r="G27" s="45">
        <v>35</v>
      </c>
      <c r="H27" s="45">
        <v>38</v>
      </c>
      <c r="I27" s="45"/>
      <c r="K27" s="45">
        <v>3</v>
      </c>
      <c r="L27" s="45">
        <v>23</v>
      </c>
      <c r="M27" s="45">
        <v>82</v>
      </c>
    </row>
    <row r="28" spans="2:17" x14ac:dyDescent="0.25">
      <c r="F28" s="45">
        <v>3</v>
      </c>
      <c r="G28" s="45">
        <v>100</v>
      </c>
      <c r="H28" s="45"/>
      <c r="I28" s="45">
        <v>24</v>
      </c>
      <c r="K28" s="45">
        <v>4</v>
      </c>
      <c r="L28" s="45">
        <v>85</v>
      </c>
      <c r="M28" s="45">
        <v>31</v>
      </c>
    </row>
    <row r="29" spans="2:17" x14ac:dyDescent="0.25">
      <c r="F29" s="45">
        <v>4</v>
      </c>
      <c r="G29" s="45">
        <v>4</v>
      </c>
      <c r="H29" s="45"/>
      <c r="I29" s="45">
        <v>59</v>
      </c>
      <c r="K29" s="45">
        <v>5</v>
      </c>
      <c r="L29" s="45">
        <v>37</v>
      </c>
      <c r="M29" s="45">
        <v>16</v>
      </c>
      <c r="O29" s="424"/>
      <c r="P29" s="424"/>
      <c r="Q29" s="424"/>
    </row>
    <row r="30" spans="2:17" x14ac:dyDescent="0.25">
      <c r="F30" s="45">
        <v>5</v>
      </c>
      <c r="G30" s="45">
        <v>8</v>
      </c>
      <c r="H30" s="45"/>
      <c r="I30" s="45">
        <v>36</v>
      </c>
      <c r="K30" s="45">
        <v>6</v>
      </c>
      <c r="L30" s="45">
        <v>16</v>
      </c>
      <c r="M30" s="45">
        <v>9</v>
      </c>
      <c r="O30" s="424"/>
      <c r="P30" s="424"/>
      <c r="Q30" s="424"/>
    </row>
    <row r="31" spans="2:17" x14ac:dyDescent="0.25">
      <c r="F31" s="45">
        <v>6</v>
      </c>
      <c r="G31" s="45">
        <v>18</v>
      </c>
      <c r="H31" s="45"/>
      <c r="I31" s="45">
        <v>37</v>
      </c>
      <c r="K31" s="45">
        <v>7</v>
      </c>
      <c r="L31" s="45">
        <v>1</v>
      </c>
      <c r="M31" s="45">
        <v>0</v>
      </c>
    </row>
    <row r="32" spans="2:17" x14ac:dyDescent="0.25">
      <c r="F32" s="45">
        <v>7</v>
      </c>
      <c r="G32" s="45"/>
      <c r="H32" s="45"/>
      <c r="I32" s="45">
        <v>38</v>
      </c>
      <c r="K32" s="45"/>
      <c r="L32" s="45"/>
      <c r="M32" s="45"/>
    </row>
    <row r="33" spans="6:14" x14ac:dyDescent="0.25">
      <c r="F33" s="45">
        <v>8</v>
      </c>
      <c r="G33" s="45">
        <v>13</v>
      </c>
      <c r="H33" s="45"/>
      <c r="I33" s="45">
        <v>27</v>
      </c>
      <c r="K33" s="45"/>
      <c r="L33" s="45" t="s">
        <v>31</v>
      </c>
      <c r="M33" s="45">
        <f>SUM(L25:M31)</f>
        <v>437</v>
      </c>
    </row>
    <row r="34" spans="6:14" x14ac:dyDescent="0.25">
      <c r="F34" s="45"/>
      <c r="G34" s="45"/>
      <c r="H34" s="45"/>
      <c r="I34" s="45"/>
      <c r="K34" s="45"/>
      <c r="L34" s="45"/>
      <c r="M34" s="45"/>
    </row>
    <row r="35" spans="6:14" x14ac:dyDescent="0.25">
      <c r="F35" s="324"/>
      <c r="G35" s="45"/>
      <c r="H35" s="45" t="s">
        <v>31</v>
      </c>
      <c r="I35" s="45">
        <f>SUM(G26:I33)</f>
        <v>514</v>
      </c>
    </row>
    <row r="37" spans="6:14" x14ac:dyDescent="0.25">
      <c r="F37" s="45" t="s">
        <v>779</v>
      </c>
      <c r="G37" s="45" t="s">
        <v>1207</v>
      </c>
      <c r="H37" s="45" t="s">
        <v>1208</v>
      </c>
      <c r="I37" s="45" t="s">
        <v>1195</v>
      </c>
      <c r="K37" s="45" t="s">
        <v>1213</v>
      </c>
      <c r="L37" s="45"/>
      <c r="M37" s="45" t="s">
        <v>1208</v>
      </c>
      <c r="N37" s="45" t="s">
        <v>1195</v>
      </c>
    </row>
    <row r="38" spans="6:14" x14ac:dyDescent="0.25">
      <c r="F38" s="45">
        <v>1</v>
      </c>
      <c r="G38" s="45">
        <f t="shared" ref="G38:G45" si="3">SUM(G26:I26)</f>
        <v>77</v>
      </c>
      <c r="H38" s="45" t="s">
        <v>1217</v>
      </c>
      <c r="I38" s="342">
        <f t="shared" ref="I38:I45" si="4">G38*$G$17*365*3/4</f>
        <v>3794.1749999999997</v>
      </c>
      <c r="K38" s="45">
        <v>1</v>
      </c>
      <c r="L38" s="45">
        <f t="shared" ref="L38:L44" si="5">SUM(L25:M25)</f>
        <v>133</v>
      </c>
      <c r="M38" s="45" t="s">
        <v>1217</v>
      </c>
      <c r="N38" s="420">
        <f>L38*$G$17*365</f>
        <v>8738.0999999999985</v>
      </c>
    </row>
    <row r="39" spans="6:14" x14ac:dyDescent="0.25">
      <c r="F39" s="45">
        <v>2</v>
      </c>
      <c r="G39" s="45">
        <f t="shared" si="3"/>
        <v>73</v>
      </c>
      <c r="H39" s="45" t="s">
        <v>1217</v>
      </c>
      <c r="I39" s="342">
        <f t="shared" si="4"/>
        <v>3597.0749999999998</v>
      </c>
      <c r="J39" s="424"/>
      <c r="K39" s="45">
        <v>2</v>
      </c>
      <c r="L39" s="45">
        <f t="shared" si="5"/>
        <v>4</v>
      </c>
      <c r="M39" s="45" t="s">
        <v>1217</v>
      </c>
      <c r="N39" s="420">
        <f t="shared" ref="N39:N41" si="6">L39*$G$17*365</f>
        <v>262.8</v>
      </c>
    </row>
    <row r="40" spans="6:14" x14ac:dyDescent="0.25">
      <c r="F40" s="45">
        <v>3</v>
      </c>
      <c r="G40" s="45">
        <f t="shared" si="3"/>
        <v>124</v>
      </c>
      <c r="H40" s="45" t="s">
        <v>1217</v>
      </c>
      <c r="I40" s="342">
        <f t="shared" si="4"/>
        <v>6110.1</v>
      </c>
      <c r="J40" s="424"/>
      <c r="K40" s="45">
        <v>3</v>
      </c>
      <c r="L40" s="45">
        <f t="shared" si="5"/>
        <v>105</v>
      </c>
      <c r="M40" s="45" t="s">
        <v>1217</v>
      </c>
      <c r="N40" s="420">
        <f t="shared" si="6"/>
        <v>6898.4999999999991</v>
      </c>
    </row>
    <row r="41" spans="6:14" x14ac:dyDescent="0.25">
      <c r="F41" s="45">
        <v>4</v>
      </c>
      <c r="G41" s="45">
        <f t="shared" si="3"/>
        <v>63</v>
      </c>
      <c r="H41" s="45" t="s">
        <v>1217</v>
      </c>
      <c r="I41" s="342">
        <f t="shared" si="4"/>
        <v>3104.3250000000003</v>
      </c>
      <c r="J41" s="424"/>
      <c r="K41" s="45">
        <v>4</v>
      </c>
      <c r="L41" s="45">
        <f t="shared" si="5"/>
        <v>116</v>
      </c>
      <c r="M41" s="45" t="s">
        <v>1217</v>
      </c>
      <c r="N41" s="420">
        <f t="shared" si="6"/>
        <v>7621.2</v>
      </c>
    </row>
    <row r="42" spans="6:14" x14ac:dyDescent="0.25">
      <c r="F42" s="45">
        <v>5</v>
      </c>
      <c r="G42" s="45">
        <f t="shared" si="3"/>
        <v>44</v>
      </c>
      <c r="H42" s="45" t="s">
        <v>1217</v>
      </c>
      <c r="I42" s="342">
        <f t="shared" si="4"/>
        <v>2168.1000000000004</v>
      </c>
      <c r="J42" s="424"/>
      <c r="K42" s="45">
        <v>5</v>
      </c>
      <c r="L42" s="45">
        <f t="shared" si="5"/>
        <v>53</v>
      </c>
      <c r="M42" s="45" t="s">
        <v>400</v>
      </c>
      <c r="N42" s="420">
        <f>L42*$G$19*365</f>
        <v>9285.5999999999985</v>
      </c>
    </row>
    <row r="43" spans="6:14" x14ac:dyDescent="0.25">
      <c r="F43" s="45">
        <v>6</v>
      </c>
      <c r="G43" s="45">
        <f t="shared" si="3"/>
        <v>55</v>
      </c>
      <c r="H43" s="45" t="s">
        <v>1217</v>
      </c>
      <c r="I43" s="342">
        <f t="shared" si="4"/>
        <v>2710.125</v>
      </c>
      <c r="J43" s="424"/>
      <c r="K43" s="45">
        <v>6</v>
      </c>
      <c r="L43" s="45">
        <f t="shared" si="5"/>
        <v>25</v>
      </c>
      <c r="M43" s="45" t="s">
        <v>400</v>
      </c>
      <c r="N43" s="420">
        <f>L43*$G$19*365</f>
        <v>4380</v>
      </c>
    </row>
    <row r="44" spans="6:14" x14ac:dyDescent="0.25">
      <c r="F44" s="45">
        <v>7</v>
      </c>
      <c r="G44" s="45">
        <f t="shared" si="3"/>
        <v>38</v>
      </c>
      <c r="H44" s="45" t="s">
        <v>1217</v>
      </c>
      <c r="I44" s="342">
        <f t="shared" si="4"/>
        <v>1872.4499999999998</v>
      </c>
      <c r="J44" s="424"/>
      <c r="K44" s="45">
        <v>7</v>
      </c>
      <c r="L44" s="45">
        <f t="shared" si="5"/>
        <v>1</v>
      </c>
      <c r="M44" s="45" t="s">
        <v>1217</v>
      </c>
      <c r="N44" s="420">
        <f t="shared" ref="N44" si="7">L44*$G$17*365</f>
        <v>65.7</v>
      </c>
    </row>
    <row r="45" spans="6:14" x14ac:dyDescent="0.25">
      <c r="F45" s="45">
        <v>8</v>
      </c>
      <c r="G45" s="45">
        <f t="shared" si="3"/>
        <v>40</v>
      </c>
      <c r="H45" s="45" t="s">
        <v>1217</v>
      </c>
      <c r="I45" s="342">
        <f t="shared" si="4"/>
        <v>1970.9999999999995</v>
      </c>
      <c r="J45" s="424"/>
      <c r="K45" s="424"/>
    </row>
    <row r="46" spans="6:14" x14ac:dyDescent="0.25">
      <c r="I46" s="424"/>
      <c r="J46" s="424"/>
      <c r="K46" s="424"/>
    </row>
  </sheetData>
  <mergeCells count="12">
    <mergeCell ref="F24:I24"/>
    <mergeCell ref="K24:M24"/>
    <mergeCell ref="B4:D4"/>
    <mergeCell ref="J8:J9"/>
    <mergeCell ref="F7:J7"/>
    <mergeCell ref="B5:B6"/>
    <mergeCell ref="C5:C6"/>
    <mergeCell ref="D5:D6"/>
    <mergeCell ref="F8:F9"/>
    <mergeCell ref="G8:G9"/>
    <mergeCell ref="H8:H9"/>
    <mergeCell ref="I8:I9"/>
  </mergeCells>
  <pageMargins left="0.7" right="0.7" top="0.75" bottom="0.75" header="0.3" footer="0.3"/>
  <pageSetup paperSize="1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CFDD-585B-44FA-AE5E-4CD4F659B784}">
  <sheetPr>
    <tabColor rgb="FF00B050"/>
    <pageSetUpPr fitToPage="1"/>
  </sheetPr>
  <dimension ref="A1:AL100"/>
  <sheetViews>
    <sheetView view="pageBreakPreview" topLeftCell="I1" zoomScale="85" zoomScaleNormal="25" zoomScaleSheetLayoutView="85" workbookViewId="0">
      <selection activeCell="G81" sqref="G81"/>
    </sheetView>
  </sheetViews>
  <sheetFormatPr defaultRowHeight="15" x14ac:dyDescent="0.25"/>
  <cols>
    <col min="2" max="3" width="15.7109375" customWidth="1"/>
    <col min="4" max="5" width="18.5703125" customWidth="1"/>
    <col min="6" max="13" width="15.7109375" customWidth="1"/>
    <col min="14" max="14" width="20.85546875" bestFit="1" customWidth="1"/>
    <col min="15" max="15" width="15.7109375" customWidth="1"/>
    <col min="16" max="16" width="17.7109375" customWidth="1"/>
    <col min="17" max="18" width="15.7109375" customWidth="1"/>
    <col min="19" max="23" width="15.42578125" customWidth="1"/>
    <col min="24" max="24" width="21.85546875" customWidth="1"/>
    <col min="25" max="25" width="31.42578125" customWidth="1"/>
    <col min="26" max="29" width="17.7109375" customWidth="1"/>
    <col min="32" max="32" width="12.7109375" customWidth="1"/>
    <col min="33" max="33" width="20.7109375" customWidth="1"/>
    <col min="34" max="38" width="12.28515625" customWidth="1"/>
    <col min="40" max="43" width="25.7109375" customWidth="1"/>
    <col min="44" max="44" width="37" bestFit="1" customWidth="1"/>
    <col min="45" max="45" width="38.85546875" bestFit="1" customWidth="1"/>
  </cols>
  <sheetData>
    <row r="1" spans="2:18" ht="15.75" thickBot="1" x14ac:dyDescent="0.3">
      <c r="B1" s="6" t="s">
        <v>13</v>
      </c>
      <c r="C1" s="6"/>
      <c r="D1" s="6"/>
      <c r="E1" s="6"/>
    </row>
    <row r="2" spans="2:18" ht="15.75" thickBot="1" x14ac:dyDescent="0.3">
      <c r="C2" s="564" t="s">
        <v>97</v>
      </c>
      <c r="D2" s="565"/>
      <c r="E2" s="566"/>
      <c r="F2" s="542" t="s">
        <v>110</v>
      </c>
      <c r="G2" s="544"/>
      <c r="H2" s="544"/>
      <c r="I2" s="544"/>
      <c r="J2" s="544"/>
      <c r="K2" s="544"/>
      <c r="L2" s="544"/>
      <c r="M2" s="544"/>
      <c r="N2" s="544"/>
      <c r="O2" s="567" t="s">
        <v>237</v>
      </c>
      <c r="P2" s="568"/>
    </row>
    <row r="3" spans="2:18" ht="35.1" customHeight="1" x14ac:dyDescent="0.25">
      <c r="B3" s="528" t="s">
        <v>0</v>
      </c>
      <c r="C3" s="491" t="s">
        <v>238</v>
      </c>
      <c r="D3" s="499" t="s">
        <v>686</v>
      </c>
      <c r="E3" s="570" t="s">
        <v>98</v>
      </c>
      <c r="F3" s="491" t="s">
        <v>239</v>
      </c>
      <c r="G3" s="499" t="s">
        <v>99</v>
      </c>
      <c r="H3" s="497" t="s">
        <v>100</v>
      </c>
      <c r="I3" s="501" t="s">
        <v>101</v>
      </c>
      <c r="J3" s="499" t="s">
        <v>233</v>
      </c>
      <c r="K3" s="497" t="s">
        <v>234</v>
      </c>
      <c r="L3" s="501" t="s">
        <v>102</v>
      </c>
      <c r="M3" s="491" t="s">
        <v>103</v>
      </c>
      <c r="N3" s="578" t="s">
        <v>1</v>
      </c>
      <c r="O3" s="573" t="s">
        <v>96</v>
      </c>
      <c r="P3" s="575" t="s">
        <v>104</v>
      </c>
    </row>
    <row r="4" spans="2:18" ht="35.1" customHeight="1" thickBot="1" x14ac:dyDescent="0.3">
      <c r="B4" s="529"/>
      <c r="C4" s="492"/>
      <c r="D4" s="569"/>
      <c r="E4" s="571"/>
      <c r="F4" s="492"/>
      <c r="G4" s="569"/>
      <c r="H4" s="572"/>
      <c r="I4" s="577"/>
      <c r="J4" s="569"/>
      <c r="K4" s="572"/>
      <c r="L4" s="577"/>
      <c r="M4" s="492"/>
      <c r="N4" s="579"/>
      <c r="O4" s="574"/>
      <c r="P4" s="576"/>
    </row>
    <row r="5" spans="2:18" x14ac:dyDescent="0.25">
      <c r="B5" s="1">
        <f>Assumptions!$C$10</f>
        <v>2027</v>
      </c>
      <c r="C5" s="234">
        <f>($F5*F$57*'Annualized Operations'!$N$14+$F5*F$58*'Annualized Operations'!$N$15)/10^6</f>
        <v>254.46510787396787</v>
      </c>
      <c r="D5" s="210">
        <f t="shared" ref="D5:D24" si="0">C5*_xlfn.XLOOKUP($B5,$B$63:$B$98,$F$63:$F$98)</f>
        <v>15522.371580312039</v>
      </c>
      <c r="E5" s="206">
        <f>D5*(1+0.03)^-($B5-Assumptions!$C$6)</f>
        <v>12999.741824905112</v>
      </c>
      <c r="F5" s="313">
        <f>-_xlfn.XLOOKUP(B5,'Annualized Operations'!$B$13:$B$32,'Annualized Operations'!$H$13:$H$32,0,0,1)*'Annualized Operations'!$N$31</f>
        <v>337814.43271874846</v>
      </c>
      <c r="G5" s="175">
        <f>($F5*C$57*'Annualized Operations'!$N$14+'Annualized Operations'!$N$15*$F5*C$58*'Annualized Operations'!$N$15)/10^6</f>
        <v>0.32832052997172956</v>
      </c>
      <c r="H5" s="176">
        <f>($F5*D$57*'Annualized Operations'!$N$14+$F5*D$58*'Annualized Operations'!$N$15)/10^6</f>
        <v>1.1298299204503424E-3</v>
      </c>
      <c r="I5" s="177">
        <f>($F5*E$57*'Annualized Operations'!$N$14+$F5*E$58*'Annualized Operations'!$N$15)/10^6</f>
        <v>5.4388561294647165E-3</v>
      </c>
      <c r="J5" s="204">
        <f t="shared" ref="J5:J24" si="1">G5*_xlfn.XLOOKUP($B5,$B$63:$B$98,$C$63:$C$98)</f>
        <v>5876.9374864939591</v>
      </c>
      <c r="K5" s="205">
        <f t="shared" ref="K5:K24" si="2">H5*_xlfn.XLOOKUP($B5,$B$63:$B$98,$D$63:$D$98)</f>
        <v>55.022717125931678</v>
      </c>
      <c r="L5" s="206">
        <f t="shared" ref="L5:L24" si="3">I5*_xlfn.XLOOKUP($B5,$B$63:$B$98,$E$63:$E$98)</f>
        <v>4707.8738656646583</v>
      </c>
      <c r="M5" s="211">
        <f>SUM(J5:L5)</f>
        <v>10639.834069284549</v>
      </c>
      <c r="N5" s="212">
        <f>M5*(1+0.07)^-(B5-Assumptions!$C$6)</f>
        <v>7089.7706947657598</v>
      </c>
      <c r="O5" s="213">
        <f>M5+D5</f>
        <v>26162.205649596588</v>
      </c>
      <c r="P5" s="214">
        <f>N5+E5</f>
        <v>20089.512519670872</v>
      </c>
      <c r="Q5" s="317"/>
      <c r="R5" s="316"/>
    </row>
    <row r="6" spans="2:18" x14ac:dyDescent="0.25">
      <c r="B6" s="2">
        <f t="shared" ref="B6:B24" si="4">+B5+1</f>
        <v>2028</v>
      </c>
      <c r="C6" s="178">
        <f>($F6*F$57*'Annualized Operations'!$N$14+$F6*F$58*'Annualized Operations'!$N$15)/10^6</f>
        <v>255.79422287236127</v>
      </c>
      <c r="D6" s="213">
        <f t="shared" si="0"/>
        <v>15859.241818086399</v>
      </c>
      <c r="E6" s="214">
        <f>D6*(1+0.03)^-($B6-Assumptions!$C$6)</f>
        <v>12895.014898627587</v>
      </c>
      <c r="F6" s="190">
        <f>-_xlfn.XLOOKUP(B6,'Annualized Operations'!$B$13:$B$32,'Annualized Operations'!$H$13:$H$32,0,0,1)*'Annualized Operations'!$N$31</f>
        <v>339578.89556770859</v>
      </c>
      <c r="G6" s="179">
        <f>($F6*C$57*'Annualized Operations'!$N$14+'Annualized Operations'!$N$15*$F6*C$58*'Annualized Operations'!$N$15)/10^6</f>
        <v>0.33003540453473645</v>
      </c>
      <c r="H6" s="180">
        <f>($F6*D$57*'Annualized Operations'!$N$14+$F6*D$58*'Annualized Operations'!$N$15)/10^6</f>
        <v>1.135731216331143E-3</v>
      </c>
      <c r="I6" s="181">
        <f>($F6*E$57*'Annualized Operations'!$N$14+$F6*E$58*'Annualized Operations'!$N$15)/10^6</f>
        <v>5.4672642099130404E-3</v>
      </c>
      <c r="J6" s="215">
        <f t="shared" si="1"/>
        <v>6006.6443625322036</v>
      </c>
      <c r="K6" s="216">
        <f t="shared" si="2"/>
        <v>56.218695208391573</v>
      </c>
      <c r="L6" s="113">
        <f t="shared" si="3"/>
        <v>4807.9121461975274</v>
      </c>
      <c r="M6" s="114">
        <f t="shared" ref="M6:M8" si="5">SUM(J6:L6)</f>
        <v>10870.775203938123</v>
      </c>
      <c r="N6" s="217">
        <f>M6*(1+0.07)^-(B6-Assumptions!$C$6)</f>
        <v>6769.7724523378793</v>
      </c>
      <c r="O6" s="112">
        <f t="shared" ref="O6:P20" si="6">M6+D6</f>
        <v>26730.01702202452</v>
      </c>
      <c r="P6" s="113">
        <f>N6+E6</f>
        <v>19664.787350965467</v>
      </c>
      <c r="Q6" s="13"/>
    </row>
    <row r="7" spans="2:18" x14ac:dyDescent="0.25">
      <c r="B7" s="2">
        <f t="shared" si="4"/>
        <v>2029</v>
      </c>
      <c r="C7" s="178">
        <f>($F7*F$57*'Annualized Operations'!$N$14+$F7*F$58*'Annualized Operations'!$N$15)/10^6</f>
        <v>257.12333787075136</v>
      </c>
      <c r="D7" s="213">
        <f t="shared" si="0"/>
        <v>16198.770285857336</v>
      </c>
      <c r="E7" s="214">
        <f>D7*(1+0.03)^-($B7-Assumptions!$C$6)</f>
        <v>12787.458848185974</v>
      </c>
      <c r="F7" s="190">
        <f>-_xlfn.XLOOKUP(B7,'Annualized Operations'!$B$13:$B$32,'Annualized Operations'!$H$13:$H$32,0,0,1)*'Annualized Operations'!$N$31</f>
        <v>341343.35841666436</v>
      </c>
      <c r="G7" s="179">
        <f>($F7*C$57*'Annualized Operations'!$N$14+'Annualized Operations'!$N$15*$F7*C$58*'Annualized Operations'!$N$15)/10^6</f>
        <v>0.33175027909773924</v>
      </c>
      <c r="H7" s="180">
        <f>($F7*D$57*'Annualized Operations'!$N$14+$F7*D$58*'Annualized Operations'!$N$15)/10^6</f>
        <v>1.1416325122119292E-3</v>
      </c>
      <c r="I7" s="181">
        <f>($F7*E$57*'Annualized Operations'!$N$14+$F7*E$58*'Annualized Operations'!$N$15)/10^6</f>
        <v>5.4956722903612967E-3</v>
      </c>
      <c r="J7" s="215">
        <f t="shared" si="1"/>
        <v>6170.5551912179499</v>
      </c>
      <c r="K7" s="216">
        <f t="shared" si="2"/>
        <v>57.538278615481232</v>
      </c>
      <c r="L7" s="113">
        <f t="shared" si="3"/>
        <v>4909.8336242087826</v>
      </c>
      <c r="M7" s="114">
        <f t="shared" si="5"/>
        <v>11137.927094042214</v>
      </c>
      <c r="N7" s="217">
        <f>M7*(1+0.07)^-(B7-Assumptions!$C$6)</f>
        <v>6482.3749747141892</v>
      </c>
      <c r="O7" s="112">
        <f t="shared" si="6"/>
        <v>27336.69737989955</v>
      </c>
      <c r="P7" s="113">
        <f t="shared" si="6"/>
        <v>19269.833822900164</v>
      </c>
      <c r="Q7" s="13"/>
    </row>
    <row r="8" spans="2:18" x14ac:dyDescent="0.25">
      <c r="B8" s="2">
        <f t="shared" si="4"/>
        <v>2030</v>
      </c>
      <c r="C8" s="178">
        <f>($F8*F$57*'Annualized Operations'!$N$14+$F8*F$58*'Annualized Operations'!$N$15)/10^6</f>
        <v>258.45245286914479</v>
      </c>
      <c r="D8" s="213">
        <f t="shared" si="0"/>
        <v>16799.40943649441</v>
      </c>
      <c r="E8" s="214">
        <f>D8*(1+0.03)^-($B8-Assumptions!$C$6)</f>
        <v>12875.348485620738</v>
      </c>
      <c r="F8" s="190">
        <f>-_xlfn.XLOOKUP(B8,'Annualized Operations'!$B$13:$B$32,'Annualized Operations'!$H$13:$H$32,0,0,1)*'Annualized Operations'!$N$31</f>
        <v>343107.82126562449</v>
      </c>
      <c r="G8" s="179">
        <f>($F8*C$57*'Annualized Operations'!$N$14+'Annualized Operations'!$N$15*$F8*C$58*'Annualized Operations'!$N$15)/10^6</f>
        <v>0.33346515366074625</v>
      </c>
      <c r="H8" s="180">
        <f>($F8*D$57*'Annualized Operations'!$N$14+$F8*D$58*'Annualized Operations'!$N$15)/10^6</f>
        <v>1.1475338080927302E-3</v>
      </c>
      <c r="I8" s="181">
        <f>($F8*E$57*'Annualized Operations'!$N$14+$F8*E$58*'Annualized Operations'!$N$15)/10^6</f>
        <v>5.5240803708096215E-3</v>
      </c>
      <c r="J8" s="215">
        <f t="shared" si="1"/>
        <v>6302.4914041881038</v>
      </c>
      <c r="K8" s="216">
        <f t="shared" si="2"/>
        <v>58.868484355157058</v>
      </c>
      <c r="L8" s="113">
        <f t="shared" si="3"/>
        <v>5013.6553445468126</v>
      </c>
      <c r="M8" s="114">
        <f t="shared" si="5"/>
        <v>11375.015233090075</v>
      </c>
      <c r="N8" s="217">
        <f>M8*(1+0.07)^-(B8-Assumptions!$C$6)</f>
        <v>6187.25460768638</v>
      </c>
      <c r="O8" s="112">
        <f t="shared" si="6"/>
        <v>28174.424669584485</v>
      </c>
      <c r="P8" s="113">
        <f t="shared" si="6"/>
        <v>19062.603093307116</v>
      </c>
      <c r="Q8" s="13"/>
    </row>
    <row r="9" spans="2:18" ht="15" customHeight="1" x14ac:dyDescent="0.25">
      <c r="B9" s="2">
        <f t="shared" si="4"/>
        <v>2031</v>
      </c>
      <c r="C9" s="178">
        <f>($F9*F$57*'Annualized Operations'!$N$14+$F9*F$58*'Annualized Operations'!$N$15)/10^6</f>
        <v>259.78156786753817</v>
      </c>
      <c r="D9" s="213">
        <f t="shared" si="0"/>
        <v>17145.583479257519</v>
      </c>
      <c r="E9" s="214">
        <f>D9*(1+0.03)^-($B9-Assumptions!$C$6)</f>
        <v>12757.924334269341</v>
      </c>
      <c r="F9" s="190">
        <f>-_xlfn.XLOOKUP(B9,'Annualized Operations'!$B$13:$B$32,'Annualized Operations'!$H$13:$H$32,0,0,1)*'Annualized Operations'!$N$31</f>
        <v>344872.28411458462</v>
      </c>
      <c r="G9" s="179">
        <f>($F9*C$57*'Annualized Operations'!$N$14+'Annualized Operations'!$N$15*$F9*C$58*'Annualized Operations'!$N$15)/10^6</f>
        <v>0.33518002822375326</v>
      </c>
      <c r="H9" s="180">
        <f>($F9*D$57*'Annualized Operations'!$N$14+$F9*D$58*'Annualized Operations'!$N$15)/10^6</f>
        <v>1.1534351039735309E-3</v>
      </c>
      <c r="I9" s="181">
        <f>($F9*E$57*'Annualized Operations'!$N$14+$F9*E$58*'Annualized Operations'!$N$15)/10^6</f>
        <v>5.5524884512579463E-3</v>
      </c>
      <c r="J9" s="215">
        <f t="shared" si="1"/>
        <v>6334.9025334289363</v>
      </c>
      <c r="K9" s="216">
        <f t="shared" si="2"/>
        <v>59.171220833842135</v>
      </c>
      <c r="L9" s="113">
        <f t="shared" si="3"/>
        <v>5039.4385183617123</v>
      </c>
      <c r="M9" s="114">
        <f t="shared" ref="M9:M11" si="7">SUM(J9:L9)</f>
        <v>11433.512272624492</v>
      </c>
      <c r="N9" s="217">
        <f>M9*(1+0.07)^-(B9-Assumptions!$C$6)</f>
        <v>5812.217870402269</v>
      </c>
      <c r="O9" s="112">
        <f t="shared" si="6"/>
        <v>28579.095751882011</v>
      </c>
      <c r="P9" s="113">
        <f t="shared" si="6"/>
        <v>18570.142204671611</v>
      </c>
      <c r="Q9" s="13"/>
    </row>
    <row r="10" spans="2:18" x14ac:dyDescent="0.25">
      <c r="B10" s="2">
        <f t="shared" si="4"/>
        <v>2032</v>
      </c>
      <c r="C10" s="178">
        <f>($F10*F$57*'Annualized Operations'!$N$14+$F10*F$58*'Annualized Operations'!$N$15)/10^6</f>
        <v>261.11068286592825</v>
      </c>
      <c r="D10" s="213">
        <f t="shared" si="0"/>
        <v>17494.415752017194</v>
      </c>
      <c r="E10" s="214">
        <f>D10*(1+0.03)^-($B10-Assumptions!$C$6)</f>
        <v>12638.338160921758</v>
      </c>
      <c r="F10" s="190">
        <f>-_xlfn.XLOOKUP(B10,'Annualized Operations'!$B$13:$B$32,'Annualized Operations'!$H$13:$H$32,0,0,1)*'Annualized Operations'!$N$31</f>
        <v>346636.74696354032</v>
      </c>
      <c r="G10" s="179">
        <f>($F10*C$57*'Annualized Operations'!$N$14+'Annualized Operations'!$N$15*$F10*C$58*'Annualized Operations'!$N$15)/10^6</f>
        <v>0.33689490278675593</v>
      </c>
      <c r="H10" s="180">
        <f>($F10*D$57*'Annualized Operations'!$N$14+$F10*D$58*'Annualized Operations'!$N$15)/10^6</f>
        <v>1.1593363998543167E-3</v>
      </c>
      <c r="I10" s="181">
        <f>($F10*E$57*'Annualized Operations'!$N$14+$F10*E$58*'Annualized Operations'!$N$15)/10^6</f>
        <v>5.5808965317062E-3</v>
      </c>
      <c r="J10" s="215">
        <f t="shared" si="1"/>
        <v>6367.3136626696869</v>
      </c>
      <c r="K10" s="216">
        <f t="shared" si="2"/>
        <v>59.473957312526444</v>
      </c>
      <c r="L10" s="113">
        <f t="shared" si="3"/>
        <v>5065.2216921765475</v>
      </c>
      <c r="M10" s="114">
        <f t="shared" si="7"/>
        <v>11492.00931215876</v>
      </c>
      <c r="N10" s="217">
        <f>M10*(1+0.07)^-(B10-Assumptions!$C$6)</f>
        <v>5459.7708402256912</v>
      </c>
      <c r="O10" s="112">
        <f t="shared" si="6"/>
        <v>28986.425064175954</v>
      </c>
      <c r="P10" s="113">
        <f t="shared" si="6"/>
        <v>18098.109001147448</v>
      </c>
      <c r="Q10" s="13"/>
    </row>
    <row r="11" spans="2:18" x14ac:dyDescent="0.25">
      <c r="B11" s="2">
        <f t="shared" si="4"/>
        <v>2033</v>
      </c>
      <c r="C11" s="178">
        <f>($F11*F$57*'Annualized Operations'!$N$14+$F11*F$58*'Annualized Operations'!$N$15)/10^6</f>
        <v>262.43979786432163</v>
      </c>
      <c r="D11" s="213">
        <f t="shared" si="0"/>
        <v>17845.906254773872</v>
      </c>
      <c r="E11" s="214">
        <f>D11*(1+0.03)^-($B11-Assumptions!$C$6)</f>
        <v>12516.75959090833</v>
      </c>
      <c r="F11" s="190">
        <f>-_xlfn.XLOOKUP(B11,'Annualized Operations'!$B$13:$B$32,'Annualized Operations'!$H$13:$H$32,0,0,1)*'Annualized Operations'!$N$31</f>
        <v>348401.20981250046</v>
      </c>
      <c r="G11" s="179">
        <f>($F11*C$57*'Annualized Operations'!$N$14+'Annualized Operations'!$N$15*$F11*C$58*'Annualized Operations'!$N$15)/10^6</f>
        <v>0.33860977734976289</v>
      </c>
      <c r="H11" s="180">
        <f>($F11*D$57*'Annualized Operations'!$N$14+$F11*D$58*'Annualized Operations'!$N$15)/10^6</f>
        <v>1.1652376957351175E-3</v>
      </c>
      <c r="I11" s="181">
        <f>($F11*E$57*'Annualized Operations'!$N$14+$F11*E$58*'Annualized Operations'!$N$15)/10^6</f>
        <v>5.6093046121545266E-3</v>
      </c>
      <c r="J11" s="215">
        <f t="shared" si="1"/>
        <v>6399.7247919105184</v>
      </c>
      <c r="K11" s="216">
        <f t="shared" si="2"/>
        <v>59.776693791211528</v>
      </c>
      <c r="L11" s="113">
        <f t="shared" si="3"/>
        <v>5091.0048659914482</v>
      </c>
      <c r="M11" s="114">
        <f t="shared" si="7"/>
        <v>11550.506351693179</v>
      </c>
      <c r="N11" s="217">
        <f>M11*(1+0.07)^-(B11-Assumptions!$C$6)</f>
        <v>5128.5629554378456</v>
      </c>
      <c r="O11" s="112">
        <f t="shared" si="6"/>
        <v>29396.412606467049</v>
      </c>
      <c r="P11" s="113">
        <f t="shared" si="6"/>
        <v>17645.322546346175</v>
      </c>
      <c r="Q11" s="13"/>
    </row>
    <row r="12" spans="2:18" x14ac:dyDescent="0.25">
      <c r="B12" s="2">
        <f t="shared" si="4"/>
        <v>2034</v>
      </c>
      <c r="C12" s="178">
        <f>($F12*F$57*'Annualized Operations'!$N$14+$F12*F$58*'Annualized Operations'!$N$15)/10^6</f>
        <v>263.76891286271285</v>
      </c>
      <c r="D12" s="213">
        <f t="shared" si="0"/>
        <v>18200.054987527186</v>
      </c>
      <c r="E12" s="214">
        <f>D12*(1+0.03)^-($B12-Assumptions!$C$6)</f>
        <v>12393.351831706159</v>
      </c>
      <c r="F12" s="190">
        <f>-_xlfn.XLOOKUP(B12,'Annualized Operations'!$B$13:$B$32,'Annualized Operations'!$H$13:$H$32,0,0,1)*'Annualized Operations'!$N$31</f>
        <v>350165.67266145762</v>
      </c>
      <c r="G12" s="179">
        <f>($F12*C$57*'Annualized Operations'!$N$14+'Annualized Operations'!$N$15*$F12*C$58*'Annualized Operations'!$N$15)/10^6</f>
        <v>0.34032465191276701</v>
      </c>
      <c r="H12" s="180">
        <f>($F12*D$57*'Annualized Operations'!$N$14+$F12*D$58*'Annualized Operations'!$N$15)/10^6</f>
        <v>1.1711389916159087E-3</v>
      </c>
      <c r="I12" s="181">
        <f>($F12*E$57*'Annualized Operations'!$N$14+$F12*E$58*'Annualized Operations'!$N$15)/10^6</f>
        <v>5.6377126926028037E-3</v>
      </c>
      <c r="J12" s="215">
        <f t="shared" si="1"/>
        <v>6432.1359211512963</v>
      </c>
      <c r="K12" s="216">
        <f t="shared" si="2"/>
        <v>60.079430269896115</v>
      </c>
      <c r="L12" s="113">
        <f t="shared" si="3"/>
        <v>5116.7880398063044</v>
      </c>
      <c r="M12" s="114">
        <f t="shared" ref="M12:M24" si="8">SUM(J12:L12)</f>
        <v>11609.003391227496</v>
      </c>
      <c r="N12" s="217">
        <f>M12*(1+0.07)^-(B12-Assumptions!$C$6)</f>
        <v>4817.3236827768787</v>
      </c>
      <c r="O12" s="112">
        <f t="shared" si="6"/>
        <v>29809.058378754682</v>
      </c>
      <c r="P12" s="113">
        <f t="shared" si="6"/>
        <v>17210.675514483039</v>
      </c>
      <c r="Q12" s="13"/>
    </row>
    <row r="13" spans="2:18" ht="15" customHeight="1" x14ac:dyDescent="0.25">
      <c r="B13" s="2">
        <f t="shared" si="4"/>
        <v>2035</v>
      </c>
      <c r="C13" s="178">
        <f>($F13*F$57*'Annualized Operations'!$N$14+$F13*F$58*'Annualized Operations'!$N$15)/10^6</f>
        <v>265.09802786110515</v>
      </c>
      <c r="D13" s="213">
        <f t="shared" si="0"/>
        <v>18556.861950277362</v>
      </c>
      <c r="E13" s="214">
        <f>D13*(1+0.03)^-($B13-Assumptions!$C$6)</f>
        <v>12268.271855446392</v>
      </c>
      <c r="F13" s="190">
        <f>-_xlfn.XLOOKUP(B13,'Annualized Operations'!$B$13:$B$32,'Annualized Operations'!$H$13:$H$32,0,0,1)*'Annualized Operations'!$N$31</f>
        <v>351930.13551041629</v>
      </c>
      <c r="G13" s="179">
        <f>($F13*C$57*'Annualized Operations'!$N$14+'Annualized Operations'!$N$15*$F13*C$58*'Annualized Operations'!$N$15)/10^6</f>
        <v>0.34203952647577268</v>
      </c>
      <c r="H13" s="180">
        <f>($F13*D$57*'Annualized Operations'!$N$14+$F13*D$58*'Annualized Operations'!$N$15)/10^6</f>
        <v>1.1770402874967045E-3</v>
      </c>
      <c r="I13" s="181">
        <f>($F13*E$57*'Annualized Operations'!$N$14+$F13*E$58*'Annualized Operations'!$N$15)/10^6</f>
        <v>5.666120773051106E-3</v>
      </c>
      <c r="J13" s="215">
        <f t="shared" si="1"/>
        <v>6464.5470503921033</v>
      </c>
      <c r="K13" s="216">
        <f t="shared" si="2"/>
        <v>60.382166748580936</v>
      </c>
      <c r="L13" s="113">
        <f t="shared" si="3"/>
        <v>5142.5712136211841</v>
      </c>
      <c r="M13" s="114">
        <f t="shared" si="8"/>
        <v>11667.500430761869</v>
      </c>
      <c r="N13" s="217">
        <f>M13*(1+0.07)^-(B13-Assumptions!$C$6)</f>
        <v>4524.8578266265176</v>
      </c>
      <c r="O13" s="112">
        <f t="shared" si="6"/>
        <v>30224.362381039231</v>
      </c>
      <c r="P13" s="113">
        <f t="shared" si="6"/>
        <v>16793.129682072911</v>
      </c>
      <c r="Q13" s="13"/>
    </row>
    <row r="14" spans="2:18" x14ac:dyDescent="0.25">
      <c r="B14" s="2">
        <f t="shared" si="4"/>
        <v>2036</v>
      </c>
      <c r="C14" s="178">
        <f>($F14*F$57*'Annualized Operations'!$N$14+$F14*F$58*'Annualized Operations'!$N$15)/10^6</f>
        <v>266.42714285949631</v>
      </c>
      <c r="D14" s="213">
        <f t="shared" si="0"/>
        <v>19182.754285883733</v>
      </c>
      <c r="E14" s="214">
        <f>D14*(1+0.03)^-($B14-Assumptions!$C$6)</f>
        <v>12312.680022370065</v>
      </c>
      <c r="F14" s="190">
        <f>-_xlfn.XLOOKUP(B14,'Annualized Operations'!$B$13:$B$32,'Annualized Operations'!$H$13:$H$32,0,0,1)*'Annualized Operations'!$N$31</f>
        <v>353694.59835937346</v>
      </c>
      <c r="G14" s="179">
        <f>($F14*C$57*'Annualized Operations'!$N$14+'Annualized Operations'!$N$15*$F14*C$58*'Annualized Operations'!$N$15)/10^6</f>
        <v>0.34375440103877669</v>
      </c>
      <c r="H14" s="180">
        <f>($F14*D$57*'Annualized Operations'!$N$14+$F14*D$58*'Annualized Operations'!$N$15)/10^6</f>
        <v>1.1829415833774955E-3</v>
      </c>
      <c r="I14" s="181">
        <f>($F14*E$57*'Annualized Operations'!$N$14+$F14*E$58*'Annualized Operations'!$N$15)/10^6</f>
        <v>5.6945288534993822E-3</v>
      </c>
      <c r="J14" s="215">
        <f t="shared" si="1"/>
        <v>6496.9581796328794</v>
      </c>
      <c r="K14" s="216">
        <f t="shared" si="2"/>
        <v>60.684903227265515</v>
      </c>
      <c r="L14" s="113">
        <f t="shared" si="3"/>
        <v>5168.3543874360394</v>
      </c>
      <c r="M14" s="114">
        <f t="shared" si="8"/>
        <v>11725.997470296184</v>
      </c>
      <c r="N14" s="217">
        <f>M14*(1+0.07)^-(B14-Assumptions!$C$6)</f>
        <v>4250.0411094452311</v>
      </c>
      <c r="O14" s="112">
        <f t="shared" si="6"/>
        <v>30908.751756179918</v>
      </c>
      <c r="P14" s="113">
        <f t="shared" si="6"/>
        <v>16562.721131815295</v>
      </c>
      <c r="Q14" s="13"/>
    </row>
    <row r="15" spans="2:18" x14ac:dyDescent="0.25">
      <c r="B15" s="2">
        <f t="shared" si="4"/>
        <v>2037</v>
      </c>
      <c r="C15" s="178">
        <f>($F15*F$57*'Annualized Operations'!$N$14+$F15*F$58*'Annualized Operations'!$N$15)/10^6</f>
        <v>267.75625785788969</v>
      </c>
      <c r="D15" s="213">
        <f t="shared" si="0"/>
        <v>19546.206823625947</v>
      </c>
      <c r="E15" s="214">
        <f>D15*(1+0.03)^-($B15-Assumptions!$C$6)</f>
        <v>12180.549879642294</v>
      </c>
      <c r="F15" s="190">
        <f>-_xlfn.XLOOKUP(B15,'Annualized Operations'!$B$13:$B$32,'Annualized Operations'!$H$13:$H$32,0,0,1)*'Annualized Operations'!$N$31</f>
        <v>355459.06120833359</v>
      </c>
      <c r="G15" s="179">
        <f>($F15*C$57*'Annualized Operations'!$N$14+'Annualized Operations'!$N$15*$F15*C$58*'Annualized Operations'!$N$15)/10^6</f>
        <v>0.3454692756017837</v>
      </c>
      <c r="H15" s="180">
        <f>($F15*D$57*'Annualized Operations'!$N$14+$F15*D$58*'Annualized Operations'!$N$15)/10^6</f>
        <v>1.1888428792582962E-3</v>
      </c>
      <c r="I15" s="181">
        <f>($F15*E$57*'Annualized Operations'!$N$14+$F15*E$58*'Annualized Operations'!$N$15)/10^6</f>
        <v>5.7229369339477087E-3</v>
      </c>
      <c r="J15" s="215">
        <f t="shared" si="1"/>
        <v>6529.3693088737118</v>
      </c>
      <c r="K15" s="216">
        <f t="shared" si="2"/>
        <v>60.987639705950599</v>
      </c>
      <c r="L15" s="113">
        <f t="shared" si="3"/>
        <v>5194.1375612509401</v>
      </c>
      <c r="M15" s="114">
        <f t="shared" si="8"/>
        <v>11784.494509830602</v>
      </c>
      <c r="N15" s="217">
        <f>M15*(1+0.07)^-(B15-Assumptions!$C$6)</f>
        <v>3991.8160080236844</v>
      </c>
      <c r="O15" s="112">
        <f t="shared" si="6"/>
        <v>31330.701333456549</v>
      </c>
      <c r="P15" s="113">
        <f t="shared" si="6"/>
        <v>16172.365887665979</v>
      </c>
      <c r="Q15" s="13"/>
    </row>
    <row r="16" spans="2:18" x14ac:dyDescent="0.25">
      <c r="B16" s="2">
        <f t="shared" si="4"/>
        <v>2038</v>
      </c>
      <c r="C16" s="178">
        <f>($F16*F$57*'Annualized Operations'!$N$14+$F16*F$58*'Annualized Operations'!$N$15)/10^6</f>
        <v>269.08537285627983</v>
      </c>
      <c r="D16" s="213">
        <f t="shared" si="0"/>
        <v>19912.317591364706</v>
      </c>
      <c r="E16" s="214">
        <f>D16*(1+0.03)^-($B16-Assumptions!$C$6)</f>
        <v>12047.279617659789</v>
      </c>
      <c r="F16" s="190">
        <f>-_xlfn.XLOOKUP(B16,'Annualized Operations'!$B$13:$B$32,'Annualized Operations'!$H$13:$H$32,0,0,1)*'Annualized Operations'!$N$31</f>
        <v>357223.52405728935</v>
      </c>
      <c r="G16" s="179">
        <f>($F16*C$57*'Annualized Operations'!$N$14+'Annualized Operations'!$N$15*$F16*C$58*'Annualized Operations'!$N$15)/10^6</f>
        <v>0.34718415016478638</v>
      </c>
      <c r="H16" s="180">
        <f>($F16*D$57*'Annualized Operations'!$N$14+$F16*D$58*'Annualized Operations'!$N$15)/10^6</f>
        <v>1.1947441751390822E-3</v>
      </c>
      <c r="I16" s="181">
        <f>($F16*E$57*'Annualized Operations'!$N$14+$F16*E$58*'Annualized Operations'!$N$15)/10^6</f>
        <v>5.7513450143959633E-3</v>
      </c>
      <c r="J16" s="215">
        <f t="shared" si="1"/>
        <v>6561.7804381144624</v>
      </c>
      <c r="K16" s="216">
        <f t="shared" si="2"/>
        <v>61.290376184634923</v>
      </c>
      <c r="L16" s="113">
        <f t="shared" si="3"/>
        <v>5219.9207350657762</v>
      </c>
      <c r="M16" s="114">
        <f t="shared" si="8"/>
        <v>11842.991549364873</v>
      </c>
      <c r="N16" s="217">
        <f>M16*(1+0.07)^-(B16-Assumptions!$C$6)</f>
        <v>3749.1878310117927</v>
      </c>
      <c r="O16" s="112">
        <f t="shared" si="6"/>
        <v>31755.30914072958</v>
      </c>
      <c r="P16" s="113">
        <f t="shared" si="6"/>
        <v>15796.467448671581</v>
      </c>
      <c r="Q16" s="13"/>
    </row>
    <row r="17" spans="1:38" x14ac:dyDescent="0.25">
      <c r="B17" s="2">
        <f t="shared" si="4"/>
        <v>2039</v>
      </c>
      <c r="C17" s="178">
        <f>($F17*F$57*'Annualized Operations'!$N$14+$F17*F$58*'Annualized Operations'!$N$15)/10^6</f>
        <v>270.41448785467321</v>
      </c>
      <c r="D17" s="213">
        <f t="shared" si="0"/>
        <v>20281.086589100491</v>
      </c>
      <c r="E17" s="214">
        <f>D17*(1+0.03)^-($B17-Assumptions!$C$6)</f>
        <v>11913.000899036537</v>
      </c>
      <c r="F17" s="190">
        <f>-_xlfn.XLOOKUP(B17,'Annualized Operations'!$B$13:$B$32,'Annualized Operations'!$H$13:$H$32,0,0,1)*'Annualized Operations'!$N$31</f>
        <v>358987.98690624948</v>
      </c>
      <c r="G17" s="179">
        <f>($F17*C$57*'Annualized Operations'!$N$14+'Annualized Operations'!$N$15*$F17*C$58*'Annualized Operations'!$N$15)/10^6</f>
        <v>0.34889902472779349</v>
      </c>
      <c r="H17" s="180">
        <f>($F17*D$57*'Annualized Operations'!$N$14+$F17*D$58*'Annualized Operations'!$N$15)/10^6</f>
        <v>1.200645471019883E-3</v>
      </c>
      <c r="I17" s="181">
        <f>($F17*E$57*'Annualized Operations'!$N$14+$F17*E$58*'Annualized Operations'!$N$15)/10^6</f>
        <v>5.779753094844289E-3</v>
      </c>
      <c r="J17" s="215">
        <f t="shared" si="1"/>
        <v>6594.1915673552967</v>
      </c>
      <c r="K17" s="216">
        <f t="shared" si="2"/>
        <v>61.593112663319999</v>
      </c>
      <c r="L17" s="113">
        <f t="shared" si="3"/>
        <v>5245.7039088806769</v>
      </c>
      <c r="M17" s="114">
        <f t="shared" si="8"/>
        <v>11901.488588899294</v>
      </c>
      <c r="N17" s="217">
        <f>M17*(1+0.07)^-(B17-Assumptions!$C$6)</f>
        <v>3521.2210239685573</v>
      </c>
      <c r="O17" s="112">
        <f t="shared" si="6"/>
        <v>32182.575177999785</v>
      </c>
      <c r="P17" s="113">
        <f t="shared" si="6"/>
        <v>15434.221923005094</v>
      </c>
      <c r="Q17" s="13"/>
    </row>
    <row r="18" spans="1:38" x14ac:dyDescent="0.25">
      <c r="B18" s="2">
        <f t="shared" si="4"/>
        <v>2040</v>
      </c>
      <c r="C18" s="178">
        <f>($F18*F$57*'Annualized Operations'!$N$14+$F18*F$58*'Annualized Operations'!$N$15)/10^6</f>
        <v>271.74360285306665</v>
      </c>
      <c r="D18" s="213">
        <f t="shared" si="0"/>
        <v>20652.513816833067</v>
      </c>
      <c r="E18" s="214">
        <f>D18*(1+0.03)^-($B18-Assumptions!$C$6)</f>
        <v>11777.840048280113</v>
      </c>
      <c r="F18" s="190">
        <f>-_xlfn.XLOOKUP(B18,'Annualized Operations'!$B$13:$B$32,'Annualized Operations'!$H$13:$H$32,0,0,1)*'Annualized Operations'!$N$31</f>
        <v>360752.44975520961</v>
      </c>
      <c r="G18" s="179">
        <f>($F18*C$57*'Annualized Operations'!$N$14+'Annualized Operations'!$N$15*$F18*C$58*'Annualized Operations'!$N$15)/10^6</f>
        <v>0.35061389929080045</v>
      </c>
      <c r="H18" s="180">
        <f>($F18*D$57*'Annualized Operations'!$N$14+$F18*D$58*'Annualized Operations'!$N$15)/10^6</f>
        <v>1.206546766900684E-3</v>
      </c>
      <c r="I18" s="181">
        <f>($F18*E$57*'Annualized Operations'!$N$14+$F18*E$58*'Annualized Operations'!$N$15)/10^6</f>
        <v>5.8081611752926147E-3</v>
      </c>
      <c r="J18" s="215">
        <f t="shared" si="1"/>
        <v>6626.6026965961282</v>
      </c>
      <c r="K18" s="216">
        <f t="shared" si="2"/>
        <v>61.89584914200509</v>
      </c>
      <c r="L18" s="113">
        <f t="shared" si="3"/>
        <v>5271.4870826955766</v>
      </c>
      <c r="M18" s="114">
        <f t="shared" si="8"/>
        <v>11959.985628433711</v>
      </c>
      <c r="N18" s="217">
        <f>M18*(1+0.07)^-(B18-Assumptions!$C$6)</f>
        <v>3307.035688951803</v>
      </c>
      <c r="O18" s="112">
        <f t="shared" si="6"/>
        <v>32612.499445266778</v>
      </c>
      <c r="P18" s="113">
        <f t="shared" si="6"/>
        <v>15084.875737231916</v>
      </c>
      <c r="Q18" s="13"/>
    </row>
    <row r="19" spans="1:38" x14ac:dyDescent="0.25">
      <c r="B19" s="2">
        <f t="shared" si="4"/>
        <v>2041</v>
      </c>
      <c r="C19" s="178">
        <f>($F19*F$57*'Annualized Operations'!$N$14+$F19*F$58*'Annualized Operations'!$N$15)/10^6</f>
        <v>273.07271785145679</v>
      </c>
      <c r="D19" s="213">
        <f t="shared" si="0"/>
        <v>21299.671992413631</v>
      </c>
      <c r="E19" s="214">
        <f>D19*(1+0.03)^-($B19-Assumptions!$C$6)</f>
        <v>11793.111954321173</v>
      </c>
      <c r="F19" s="190">
        <f>-_xlfn.XLOOKUP(B19,'Annualized Operations'!$B$13:$B$32,'Annualized Operations'!$H$13:$H$32,0,0,1)*'Annualized Operations'!$N$31</f>
        <v>362516.91260416532</v>
      </c>
      <c r="G19" s="179">
        <f>($F19*C$57*'Annualized Operations'!$N$14+'Annualized Operations'!$N$15*$F19*C$58*'Annualized Operations'!$N$15)/10^6</f>
        <v>0.35232877385380312</v>
      </c>
      <c r="H19" s="180">
        <f>($F19*D$57*'Annualized Operations'!$N$14+$F19*D$58*'Annualized Operations'!$N$15)/10^6</f>
        <v>1.2124480627814698E-3</v>
      </c>
      <c r="I19" s="181">
        <f>($F19*E$57*'Annualized Operations'!$N$14+$F19*E$58*'Annualized Operations'!$N$15)/10^6</f>
        <v>5.8365692557408684E-3</v>
      </c>
      <c r="J19" s="215">
        <f t="shared" si="1"/>
        <v>6659.0138258368788</v>
      </c>
      <c r="K19" s="216">
        <f t="shared" si="2"/>
        <v>62.1985856206894</v>
      </c>
      <c r="L19" s="113">
        <f t="shared" si="3"/>
        <v>5297.2702565104119</v>
      </c>
      <c r="M19" s="114">
        <f t="shared" si="8"/>
        <v>12018.482667967979</v>
      </c>
      <c r="N19" s="217">
        <f>M19*(1+0.07)^-(B19-Assumptions!$C$6)</f>
        <v>3105.8043063920495</v>
      </c>
      <c r="O19" s="112">
        <f t="shared" si="6"/>
        <v>33318.15466038161</v>
      </c>
      <c r="P19" s="113">
        <f t="shared" si="6"/>
        <v>14898.916260713224</v>
      </c>
      <c r="Q19" s="13"/>
    </row>
    <row r="20" spans="1:38" x14ac:dyDescent="0.25">
      <c r="B20" s="2">
        <f t="shared" si="4"/>
        <v>2042</v>
      </c>
      <c r="C20" s="178">
        <f>($F20*F$57*'Annualized Operations'!$N$14+$F20*F$58*'Annualized Operations'!$N$15)/10^6</f>
        <v>274.40183284985011</v>
      </c>
      <c r="D20" s="213">
        <f t="shared" si="0"/>
        <v>21677.744795138158</v>
      </c>
      <c r="E20" s="214">
        <f>D20*(1+0.03)^-($B20-Assumptions!$C$6)</f>
        <v>11652.856017967979</v>
      </c>
      <c r="F20" s="190">
        <f>-_xlfn.XLOOKUP(B20,'Annualized Operations'!$B$13:$B$32,'Annualized Operations'!$H$13:$H$32,0,0,1)*'Annualized Operations'!$N$31</f>
        <v>364281.37545312545</v>
      </c>
      <c r="G20" s="179">
        <f>($F20*C$57*'Annualized Operations'!$N$14+'Annualized Operations'!$N$15*$F20*C$58*'Annualized Operations'!$N$15)/10^6</f>
        <v>0.35404364841681008</v>
      </c>
      <c r="H20" s="180">
        <f>($F20*D$57*'Annualized Operations'!$N$14+$F20*D$58*'Annualized Operations'!$N$15)/10^6</f>
        <v>1.2183493586622708E-3</v>
      </c>
      <c r="I20" s="181">
        <f>($F20*E$57*'Annualized Operations'!$N$14+$F20*E$58*'Annualized Operations'!$N$15)/10^6</f>
        <v>5.8649773361891932E-3</v>
      </c>
      <c r="J20" s="215">
        <f t="shared" si="1"/>
        <v>6691.4249550777104</v>
      </c>
      <c r="K20" s="216">
        <f t="shared" si="2"/>
        <v>62.501322099374491</v>
      </c>
      <c r="L20" s="113">
        <f t="shared" si="3"/>
        <v>5323.0534303253116</v>
      </c>
      <c r="M20" s="114">
        <f t="shared" si="8"/>
        <v>12076.979707502396</v>
      </c>
      <c r="N20" s="217">
        <f>M20*(1+0.07)^-(B20-Assumptions!$C$6)</f>
        <v>2916.7486476785953</v>
      </c>
      <c r="O20" s="112">
        <f t="shared" si="6"/>
        <v>33754.724502640558</v>
      </c>
      <c r="P20" s="113">
        <f t="shared" si="6"/>
        <v>14569.604665646573</v>
      </c>
      <c r="Q20" s="13"/>
      <c r="AL20" s="147"/>
    </row>
    <row r="21" spans="1:38" x14ac:dyDescent="0.25">
      <c r="B21" s="2">
        <f t="shared" si="4"/>
        <v>2043</v>
      </c>
      <c r="C21" s="178">
        <f>($F21*F$57*'Annualized Operations'!$N$14+$F21*F$58*'Annualized Operations'!$N$15)/10^6</f>
        <v>275.73094784824133</v>
      </c>
      <c r="D21" s="213">
        <f t="shared" si="0"/>
        <v>22058.475827859307</v>
      </c>
      <c r="E21" s="214">
        <f>D21*(1+0.03)^-($B21-Assumptions!$C$6)</f>
        <v>11512.153115459556</v>
      </c>
      <c r="F21" s="190">
        <f>-_xlfn.XLOOKUP(B21,'Annualized Operations'!$B$13:$B$32,'Annualized Operations'!$H$13:$H$32,0,0,1)*'Annualized Operations'!$N$31</f>
        <v>366045.83830208261</v>
      </c>
      <c r="G21" s="179">
        <f>($F21*C$57*'Annualized Operations'!$N$14+'Annualized Operations'!$N$15*$F21*C$58*'Annualized Operations'!$N$15)/10^6</f>
        <v>0.3557585229798142</v>
      </c>
      <c r="H21" s="180">
        <f>($F21*D$57*'Annualized Operations'!$N$14+$F21*D$58*'Annualized Operations'!$N$15)/10^6</f>
        <v>1.2242506545430618E-3</v>
      </c>
      <c r="I21" s="181">
        <f>($F21*E$57*'Annualized Operations'!$N$14+$F21*E$58*'Annualized Operations'!$N$15)/10^6</f>
        <v>5.8933854166374712E-3</v>
      </c>
      <c r="J21" s="215">
        <f t="shared" si="1"/>
        <v>6723.8360843184882</v>
      </c>
      <c r="K21" s="216">
        <f t="shared" si="2"/>
        <v>62.80405857805907</v>
      </c>
      <c r="L21" s="113">
        <f t="shared" si="3"/>
        <v>5348.8366041401687</v>
      </c>
      <c r="M21" s="114">
        <f t="shared" si="8"/>
        <v>12135.476747036715</v>
      </c>
      <c r="N21" s="217">
        <f>M21*(1+0.07)^-(B21-Assumptions!$C$6)</f>
        <v>2739.1368675343865</v>
      </c>
      <c r="O21" s="112">
        <f t="shared" ref="O21:O24" si="9">M21+D21</f>
        <v>34193.952574896022</v>
      </c>
      <c r="P21" s="113">
        <f t="shared" ref="P21:P24" si="10">N21+E21</f>
        <v>14251.289982993942</v>
      </c>
      <c r="Q21" s="13"/>
      <c r="AL21" s="147"/>
    </row>
    <row r="22" spans="1:38" x14ac:dyDescent="0.25">
      <c r="B22" s="2">
        <f t="shared" si="4"/>
        <v>2044</v>
      </c>
      <c r="C22" s="178">
        <f>($F22*F$57*'Annualized Operations'!$N$14+$F22*F$58*'Annualized Operations'!$N$15)/10^6</f>
        <v>277.06006284663363</v>
      </c>
      <c r="D22" s="213">
        <f t="shared" si="0"/>
        <v>22441.865090577325</v>
      </c>
      <c r="E22" s="214">
        <f>D22*(1+0.03)^-($B22-Assumptions!$C$6)</f>
        <v>11371.107860767952</v>
      </c>
      <c r="F22" s="190">
        <f>-_xlfn.XLOOKUP(B22,'Annualized Operations'!$B$13:$B$32,'Annualized Operations'!$H$13:$H$32,0,0,1)*'Annualized Operations'!$N$31</f>
        <v>367810.30115104129</v>
      </c>
      <c r="G22" s="179">
        <f>($F22*C$57*'Annualized Operations'!$N$14+'Annualized Operations'!$N$15*$F22*C$58*'Annualized Operations'!$N$15)/10^6</f>
        <v>0.35747339754281982</v>
      </c>
      <c r="H22" s="180">
        <f>($F22*D$57*'Annualized Operations'!$N$14+$F22*D$58*'Annualized Operations'!$N$15)/10^6</f>
        <v>1.2301519504238575E-3</v>
      </c>
      <c r="I22" s="181">
        <f>($F22*E$57*'Annualized Operations'!$N$14+$F22*E$58*'Annualized Operations'!$N$15)/10^6</f>
        <v>5.9217934970857734E-3</v>
      </c>
      <c r="J22" s="215">
        <f t="shared" si="1"/>
        <v>6756.2472135592943</v>
      </c>
      <c r="K22" s="216">
        <f t="shared" si="2"/>
        <v>63.106795056743891</v>
      </c>
      <c r="L22" s="113">
        <f t="shared" si="3"/>
        <v>5374.6197779550475</v>
      </c>
      <c r="M22" s="114">
        <f t="shared" si="8"/>
        <v>12193.973786571085</v>
      </c>
      <c r="N22" s="217">
        <f>M22*(1+0.07)^-(B22-Assumptions!$C$6)</f>
        <v>2572.280765870385</v>
      </c>
      <c r="O22" s="112">
        <f t="shared" si="9"/>
        <v>34635.83887714841</v>
      </c>
      <c r="P22" s="113">
        <f t="shared" si="10"/>
        <v>13943.388626638338</v>
      </c>
      <c r="Q22" s="13"/>
      <c r="AL22" s="147"/>
    </row>
    <row r="23" spans="1:38" x14ac:dyDescent="0.25">
      <c r="B23" s="2">
        <f t="shared" si="4"/>
        <v>2045</v>
      </c>
      <c r="C23" s="178">
        <f>($F23*F$57*'Annualized Operations'!$N$14+$F23*F$58*'Annualized Operations'!$N$15)/10^6</f>
        <v>278.38917784502479</v>
      </c>
      <c r="D23" s="213">
        <f t="shared" si="0"/>
        <v>22827.912583292033</v>
      </c>
      <c r="E23" s="214">
        <f>D23*(1+0.03)^-($B23-Assumptions!$C$6)</f>
        <v>11229.820329930553</v>
      </c>
      <c r="F23" s="190">
        <f>-_xlfn.XLOOKUP(B23,'Annualized Operations'!$B$13:$B$32,'Annualized Operations'!$H$13:$H$32,0,0,1)*'Annualized Operations'!$N$31</f>
        <v>369574.76399999845</v>
      </c>
      <c r="G23" s="179">
        <f>($F23*C$57*'Annualized Operations'!$N$14+'Annualized Operations'!$N$15*$F23*C$58*'Annualized Operations'!$N$15)/10^6</f>
        <v>0.35918827210582394</v>
      </c>
      <c r="H23" s="180">
        <f>($F23*D$57*'Annualized Operations'!$N$14+$F23*D$58*'Annualized Operations'!$N$15)/10^6</f>
        <v>1.2360532463046485E-3</v>
      </c>
      <c r="I23" s="181">
        <f>($F23*E$57*'Annualized Operations'!$N$14+$F23*E$58*'Annualized Operations'!$N$15)/10^6</f>
        <v>5.9502015775340514E-3</v>
      </c>
      <c r="J23" s="215">
        <f t="shared" si="1"/>
        <v>6788.6583428000722</v>
      </c>
      <c r="K23" s="216">
        <f t="shared" si="2"/>
        <v>63.409531535428471</v>
      </c>
      <c r="L23" s="113">
        <f t="shared" si="3"/>
        <v>5400.4029517699055</v>
      </c>
      <c r="M23" s="114">
        <f t="shared" si="8"/>
        <v>12252.470826105407</v>
      </c>
      <c r="N23" s="217">
        <f>M23*(1+0.07)^-(B23-Assumptions!$C$6)</f>
        <v>2415.5332093879179</v>
      </c>
      <c r="O23" s="112">
        <f t="shared" si="9"/>
        <v>35080.383409397444</v>
      </c>
      <c r="P23" s="113">
        <f t="shared" si="10"/>
        <v>13645.353539318472</v>
      </c>
      <c r="Q23" s="13"/>
      <c r="AL23" s="147"/>
    </row>
    <row r="24" spans="1:38" ht="15" customHeight="1" thickBot="1" x14ac:dyDescent="0.3">
      <c r="B24" s="3">
        <f t="shared" si="4"/>
        <v>2046</v>
      </c>
      <c r="C24" s="183">
        <f>($F24*F$57*'Annualized Operations'!$N$14+$F24*F$58*'Annualized Operations'!$N$15)/10^6</f>
        <v>279.71829284341817</v>
      </c>
      <c r="D24" s="115">
        <f t="shared" si="0"/>
        <v>23496.336598847127</v>
      </c>
      <c r="E24" s="116">
        <f>D24*(1+0.03)^-($B24-Assumptions!$C$6)</f>
        <v>11221.981216855949</v>
      </c>
      <c r="F24" s="196">
        <f>-_xlfn.XLOOKUP(B24,'Annualized Operations'!$B$13:$B$32,'Annualized Operations'!$H$13:$H$32,0,0,1)*'Annualized Operations'!$N$31</f>
        <v>371339.22684895858</v>
      </c>
      <c r="G24" s="184">
        <f>($F24*C$57*'Annualized Operations'!$N$14+'Annualized Operations'!$N$15*$F24*C$58*'Annualized Operations'!$N$15)/10^6</f>
        <v>0.36090314666883083</v>
      </c>
      <c r="H24" s="185">
        <f>($F24*D$57*'Annualized Operations'!$N$14+$F24*D$58*'Annualized Operations'!$N$15)/10^6</f>
        <v>1.2419545421854493E-3</v>
      </c>
      <c r="I24" s="186">
        <f>($F24*E$57*'Annualized Operations'!$N$14+$F24*E$58*'Annualized Operations'!$N$15)/10^6</f>
        <v>5.9786096579823762E-3</v>
      </c>
      <c r="J24" s="228">
        <f t="shared" si="1"/>
        <v>6821.0694720409028</v>
      </c>
      <c r="K24" s="229">
        <f t="shared" si="2"/>
        <v>63.712268014113548</v>
      </c>
      <c r="L24" s="116">
        <f t="shared" si="3"/>
        <v>5426.1861255848044</v>
      </c>
      <c r="M24" s="117">
        <f t="shared" si="8"/>
        <v>12310.967865639821</v>
      </c>
      <c r="N24" s="230">
        <f>M24*(1+0.07)^-(B24-Assumptions!$C$6)</f>
        <v>2268.285703746858</v>
      </c>
      <c r="O24" s="115">
        <f t="shared" si="9"/>
        <v>35807.304464486951</v>
      </c>
      <c r="P24" s="116">
        <f t="shared" si="10"/>
        <v>13490.266920602808</v>
      </c>
      <c r="Q24" s="13"/>
    </row>
    <row r="25" spans="1:38" x14ac:dyDescent="0.25">
      <c r="B25" s="4"/>
      <c r="C25" s="232">
        <f>SUM(C5:C24)</f>
        <v>5341.8340071738621</v>
      </c>
      <c r="D25" s="187" t="s">
        <v>2</v>
      </c>
      <c r="E25" s="188">
        <f>SUM(E5:E24)</f>
        <v>243144.59079288333</v>
      </c>
      <c r="F25" s="197"/>
      <c r="G25" s="233">
        <f>SUM(G5:G24)</f>
        <v>6.8922367664056043</v>
      </c>
      <c r="H25" s="233">
        <f>SUM(H5:H24)</f>
        <v>2.3717844626357919E-2</v>
      </c>
      <c r="I25" s="233">
        <f>SUM(I5:I24)</f>
        <v>0.11417465787447095</v>
      </c>
      <c r="J25" s="4"/>
      <c r="K25" s="4"/>
      <c r="L25" s="4"/>
      <c r="M25" s="187" t="s">
        <v>2</v>
      </c>
      <c r="N25" s="188">
        <f>SUM(N5:N24)</f>
        <v>87108.997066984666</v>
      </c>
      <c r="O25" s="188">
        <f>SUM(O5:O24)</f>
        <v>620978.89424600778</v>
      </c>
      <c r="P25" s="188">
        <f>SUM(P5:P24)</f>
        <v>330253.58785986807</v>
      </c>
      <c r="Q25" s="19"/>
      <c r="R25" s="19"/>
    </row>
    <row r="26" spans="1:38" x14ac:dyDescent="0.25">
      <c r="G26" s="54">
        <f>G25*1000</f>
        <v>6892.2367664056046</v>
      </c>
      <c r="H26" s="54">
        <f t="shared" ref="H26" si="11">H25*1000</f>
        <v>23.71784462635792</v>
      </c>
      <c r="I26" s="54">
        <f>I25*1000</f>
        <v>114.17465787447095</v>
      </c>
      <c r="Q26" s="19"/>
      <c r="R26" s="19"/>
    </row>
    <row r="27" spans="1:38" x14ac:dyDescent="0.25">
      <c r="B27" s="6" t="s">
        <v>3</v>
      </c>
      <c r="C27" s="6"/>
      <c r="D27" s="6"/>
      <c r="E27" s="6"/>
    </row>
    <row r="28" spans="1:38" ht="15" customHeight="1" x14ac:dyDescent="0.25">
      <c r="A28" s="7" t="s">
        <v>20</v>
      </c>
      <c r="B28" s="503" t="s">
        <v>690</v>
      </c>
      <c r="C28" s="503"/>
      <c r="D28" s="503"/>
      <c r="E28" s="503"/>
      <c r="F28" s="503"/>
      <c r="G28" s="503"/>
      <c r="H28" s="503"/>
      <c r="I28" s="503"/>
      <c r="J28" s="503"/>
      <c r="K28" s="503"/>
      <c r="L28" s="503"/>
      <c r="M28" s="503"/>
    </row>
    <row r="29" spans="1:38" x14ac:dyDescent="0.25">
      <c r="B29" s="503"/>
      <c r="C29" s="503"/>
      <c r="D29" s="503"/>
      <c r="E29" s="503"/>
      <c r="F29" s="503"/>
      <c r="G29" s="503"/>
      <c r="H29" s="503"/>
      <c r="I29" s="503"/>
      <c r="J29" s="503"/>
      <c r="K29" s="503"/>
      <c r="L29" s="503"/>
      <c r="M29" s="503"/>
      <c r="N29" s="60"/>
      <c r="O29" s="413"/>
      <c r="P29" s="413"/>
      <c r="Q29" s="54"/>
    </row>
    <row r="30" spans="1:38" x14ac:dyDescent="0.25">
      <c r="B30" s="503"/>
      <c r="C30" s="503"/>
      <c r="D30" s="503"/>
      <c r="E30" s="503"/>
      <c r="F30" s="503"/>
      <c r="G30" s="503"/>
      <c r="H30" s="503"/>
      <c r="I30" s="503"/>
      <c r="J30" s="503"/>
      <c r="K30" s="503"/>
      <c r="L30" s="503"/>
      <c r="M30" s="503"/>
      <c r="N30" s="60"/>
      <c r="O30" s="413"/>
      <c r="P30" s="413"/>
    </row>
    <row r="31" spans="1:38" x14ac:dyDescent="0.25">
      <c r="B31" s="503"/>
      <c r="C31" s="503"/>
      <c r="D31" s="503"/>
      <c r="E31" s="503"/>
      <c r="F31" s="503"/>
      <c r="G31" s="503"/>
      <c r="H31" s="503"/>
      <c r="I31" s="503"/>
      <c r="J31" s="503"/>
      <c r="K31" s="503"/>
      <c r="L31" s="503"/>
      <c r="M31" s="503"/>
      <c r="N31" s="60"/>
      <c r="O31" s="413"/>
      <c r="P31" s="413"/>
    </row>
    <row r="32" spans="1:38" x14ac:dyDescent="0.25">
      <c r="B32" s="6"/>
      <c r="C32" s="6"/>
      <c r="D32" s="6"/>
      <c r="E32" s="6"/>
      <c r="N32" s="60"/>
      <c r="O32" s="413"/>
      <c r="P32" s="413"/>
    </row>
    <row r="33" spans="1:16" x14ac:dyDescent="0.25">
      <c r="A33" s="7" t="s">
        <v>19</v>
      </c>
      <c r="B33" s="503" t="s">
        <v>691</v>
      </c>
      <c r="C33" s="503"/>
      <c r="D33" s="503"/>
      <c r="E33" s="503"/>
      <c r="F33" s="503"/>
      <c r="G33" s="503"/>
      <c r="H33" s="503"/>
      <c r="I33" s="503"/>
      <c r="J33" s="503"/>
      <c r="K33" s="503"/>
      <c r="L33" s="503"/>
      <c r="M33" s="503"/>
      <c r="N33" s="60"/>
      <c r="O33" s="413"/>
      <c r="P33" s="413"/>
    </row>
    <row r="34" spans="1:16" x14ac:dyDescent="0.25">
      <c r="B34" s="503"/>
      <c r="C34" s="503"/>
      <c r="D34" s="503"/>
      <c r="E34" s="503"/>
      <c r="F34" s="503"/>
      <c r="G34" s="503"/>
      <c r="H34" s="503"/>
      <c r="I34" s="503"/>
      <c r="J34" s="503"/>
      <c r="K34" s="503"/>
      <c r="L34" s="503"/>
      <c r="M34" s="503"/>
      <c r="N34" s="60"/>
      <c r="O34" s="413"/>
      <c r="P34" s="413"/>
    </row>
    <row r="35" spans="1:16" x14ac:dyDescent="0.25">
      <c r="A35" s="7"/>
      <c r="B35" s="43"/>
      <c r="C35" s="43"/>
      <c r="D35" s="43"/>
      <c r="E35" s="43"/>
      <c r="F35" s="21"/>
      <c r="G35" s="19"/>
      <c r="H35" s="19"/>
      <c r="I35" s="21"/>
      <c r="N35" s="60"/>
      <c r="O35" s="413"/>
      <c r="P35" s="413"/>
    </row>
    <row r="36" spans="1:16" x14ac:dyDescent="0.25">
      <c r="A36" s="7"/>
      <c r="G36" s="21"/>
      <c r="H36" s="21"/>
      <c r="I36" s="6" t="s">
        <v>241</v>
      </c>
      <c r="P36" s="413"/>
    </row>
    <row r="37" spans="1:16" x14ac:dyDescent="0.25">
      <c r="B37" t="s">
        <v>243</v>
      </c>
      <c r="G37" s="21"/>
      <c r="H37" s="21"/>
      <c r="I37" s="45" t="s">
        <v>242</v>
      </c>
      <c r="J37" s="218">
        <f>AVERAGE(F51:F53)*0.94+AVERAGE(F43:F50)*0.04</f>
        <v>0.25414999999999999</v>
      </c>
      <c r="P37" s="413"/>
    </row>
    <row r="38" spans="1:16" ht="15" customHeight="1" x14ac:dyDescent="0.25">
      <c r="A38" s="7"/>
      <c r="B38" s="220" t="s">
        <v>245</v>
      </c>
      <c r="C38" s="221"/>
      <c r="D38" s="221"/>
      <c r="E38" s="221"/>
      <c r="F38" s="221"/>
      <c r="G38" s="21"/>
      <c r="H38" s="21"/>
      <c r="I38" t="s">
        <v>244</v>
      </c>
      <c r="P38" s="413"/>
    </row>
    <row r="39" spans="1:16" ht="15.75" x14ac:dyDescent="0.25">
      <c r="A39" s="7"/>
      <c r="B39" s="222" t="s">
        <v>246</v>
      </c>
      <c r="C39" s="221"/>
      <c r="D39" s="221"/>
      <c r="E39" s="221"/>
      <c r="F39" s="221"/>
      <c r="G39" s="163"/>
      <c r="H39" s="163"/>
      <c r="P39" s="413"/>
    </row>
    <row r="40" spans="1:16" x14ac:dyDescent="0.25">
      <c r="A40" s="7"/>
      <c r="B40" s="221"/>
      <c r="C40" s="221"/>
      <c r="D40" s="221"/>
      <c r="E40" s="221"/>
      <c r="F40" s="221"/>
      <c r="G40" s="21"/>
      <c r="H40" s="21"/>
      <c r="I40" s="6" t="s">
        <v>247</v>
      </c>
      <c r="P40" s="413"/>
    </row>
    <row r="41" spans="1:16" ht="15.75" x14ac:dyDescent="0.25">
      <c r="B41" s="223" t="s">
        <v>250</v>
      </c>
      <c r="C41" s="220"/>
      <c r="D41" s="220"/>
      <c r="E41" s="220"/>
      <c r="F41" s="220"/>
      <c r="G41" s="21"/>
      <c r="H41" s="21"/>
      <c r="I41" s="135" t="s">
        <v>248</v>
      </c>
      <c r="J41" s="135" t="s">
        <v>249</v>
      </c>
      <c r="P41" s="413"/>
    </row>
    <row r="42" spans="1:16" ht="15" customHeight="1" x14ac:dyDescent="0.25">
      <c r="A42" s="7"/>
      <c r="B42" s="223" t="s">
        <v>252</v>
      </c>
      <c r="C42" s="220" t="s">
        <v>253</v>
      </c>
      <c r="D42" s="220" t="s">
        <v>254</v>
      </c>
      <c r="E42" s="220" t="s">
        <v>255</v>
      </c>
      <c r="F42" s="220" t="s">
        <v>256</v>
      </c>
      <c r="G42" s="21"/>
      <c r="H42" s="21"/>
      <c r="I42" s="135" t="s">
        <v>116</v>
      </c>
      <c r="J42" s="218">
        <v>24.9</v>
      </c>
      <c r="P42" s="413"/>
    </row>
    <row r="43" spans="1:16" ht="15.75" customHeight="1" x14ac:dyDescent="0.25">
      <c r="A43" s="7"/>
      <c r="B43" s="220" t="s">
        <v>257</v>
      </c>
      <c r="C43" s="224" t="s">
        <v>258</v>
      </c>
      <c r="D43" s="224" t="s">
        <v>259</v>
      </c>
      <c r="E43" s="225">
        <v>80000</v>
      </c>
      <c r="F43" s="226">
        <v>0.64</v>
      </c>
      <c r="G43" s="163"/>
      <c r="H43" s="163"/>
      <c r="P43" s="413"/>
    </row>
    <row r="44" spans="1:16" ht="15" customHeight="1" x14ac:dyDescent="0.25">
      <c r="A44" s="7"/>
      <c r="B44" s="220" t="s">
        <v>260</v>
      </c>
      <c r="C44" s="224" t="s">
        <v>258</v>
      </c>
      <c r="D44" s="224" t="s">
        <v>259</v>
      </c>
      <c r="E44" s="225">
        <v>37000</v>
      </c>
      <c r="F44" s="226">
        <v>0.9</v>
      </c>
      <c r="G44" s="21"/>
      <c r="H44" s="21"/>
      <c r="P44" s="413"/>
    </row>
    <row r="45" spans="1:16" ht="15" customHeight="1" x14ac:dyDescent="0.25">
      <c r="B45" s="220" t="s">
        <v>124</v>
      </c>
      <c r="C45" s="224" t="s">
        <v>258</v>
      </c>
      <c r="D45" s="224" t="s">
        <v>259</v>
      </c>
      <c r="E45" s="225">
        <v>32000</v>
      </c>
      <c r="F45" s="226">
        <v>0.49</v>
      </c>
      <c r="G45" s="21"/>
      <c r="H45" s="21"/>
      <c r="P45" s="413"/>
    </row>
    <row r="46" spans="1:16" ht="15.75" x14ac:dyDescent="0.25">
      <c r="B46" s="220" t="s">
        <v>262</v>
      </c>
      <c r="C46" s="224" t="s">
        <v>258</v>
      </c>
      <c r="D46" s="224" t="s">
        <v>259</v>
      </c>
      <c r="E46" s="225">
        <v>30000</v>
      </c>
      <c r="F46" s="226">
        <v>0.97</v>
      </c>
      <c r="G46" s="21"/>
      <c r="H46" s="21"/>
      <c r="I46" s="20"/>
      <c r="J46" s="39"/>
      <c r="K46" s="20"/>
      <c r="P46" s="413"/>
    </row>
    <row r="47" spans="1:16" ht="15.75" x14ac:dyDescent="0.25">
      <c r="B47" s="220" t="s">
        <v>263</v>
      </c>
      <c r="C47" s="224" t="s">
        <v>258</v>
      </c>
      <c r="D47" s="227" t="s">
        <v>264</v>
      </c>
      <c r="E47" s="224" t="s">
        <v>265</v>
      </c>
      <c r="F47" s="226">
        <v>0.44</v>
      </c>
      <c r="G47" s="21"/>
      <c r="H47" s="21"/>
      <c r="I47" s="6" t="s">
        <v>111</v>
      </c>
      <c r="P47" s="413"/>
    </row>
    <row r="48" spans="1:16" ht="15.75" x14ac:dyDescent="0.25">
      <c r="A48" s="7"/>
      <c r="B48" s="220" t="s">
        <v>266</v>
      </c>
      <c r="C48" s="224" t="s">
        <v>258</v>
      </c>
      <c r="D48" s="224" t="s">
        <v>259</v>
      </c>
      <c r="E48" s="225">
        <v>26000</v>
      </c>
      <c r="F48" s="226">
        <v>0.59</v>
      </c>
      <c r="G48" s="21"/>
      <c r="H48" s="21"/>
      <c r="I48" s="45" t="s">
        <v>113</v>
      </c>
      <c r="J48" s="45" t="s">
        <v>114</v>
      </c>
      <c r="K48" s="45" t="s">
        <v>115</v>
      </c>
      <c r="L48" s="135" t="s">
        <v>107</v>
      </c>
      <c r="M48" s="135" t="s">
        <v>105</v>
      </c>
      <c r="N48" s="135" t="s">
        <v>108</v>
      </c>
      <c r="O48" s="135" t="s">
        <v>106</v>
      </c>
      <c r="P48" s="413"/>
    </row>
    <row r="49" spans="1:18" ht="15.75" x14ac:dyDescent="0.25">
      <c r="B49" s="220" t="s">
        <v>267</v>
      </c>
      <c r="C49" s="224" t="s">
        <v>258</v>
      </c>
      <c r="D49" s="224" t="s">
        <v>259</v>
      </c>
      <c r="E49" s="225">
        <v>19500</v>
      </c>
      <c r="F49" s="226">
        <v>0.84</v>
      </c>
      <c r="G49" s="21"/>
      <c r="H49" s="21"/>
      <c r="I49" s="135">
        <v>11</v>
      </c>
      <c r="J49" s="45" t="s">
        <v>117</v>
      </c>
      <c r="K49" s="45" t="s">
        <v>118</v>
      </c>
      <c r="L49" s="192">
        <v>0.73690802096518104</v>
      </c>
      <c r="M49" s="192">
        <v>2.4081927794970298E-3</v>
      </c>
      <c r="N49" s="192">
        <v>1.78605259703664E-2</v>
      </c>
      <c r="O49" s="219">
        <v>362.51238716242</v>
      </c>
      <c r="P49" s="413"/>
    </row>
    <row r="50" spans="1:18" ht="15.75" x14ac:dyDescent="0.25">
      <c r="B50" s="220" t="s">
        <v>263</v>
      </c>
      <c r="C50" s="224" t="s">
        <v>268</v>
      </c>
      <c r="D50" s="227" t="s">
        <v>269</v>
      </c>
      <c r="E50" s="224" t="s">
        <v>270</v>
      </c>
      <c r="F50" s="226">
        <v>0.84</v>
      </c>
      <c r="G50" s="21"/>
      <c r="H50" s="21"/>
      <c r="I50" s="135">
        <v>21</v>
      </c>
      <c r="J50" s="45" t="s">
        <v>120</v>
      </c>
      <c r="K50" s="45" t="s">
        <v>118</v>
      </c>
      <c r="L50" s="192">
        <v>3.7528759722247264E-2</v>
      </c>
      <c r="M50" s="192">
        <v>1.6122938930079201E-3</v>
      </c>
      <c r="N50" s="192">
        <v>1.1798384221972261E-3</v>
      </c>
      <c r="O50" s="219">
        <v>243.79125643460799</v>
      </c>
      <c r="P50" s="413"/>
    </row>
    <row r="51" spans="1:18" ht="15.75" x14ac:dyDescent="0.25">
      <c r="B51" s="220" t="s">
        <v>271</v>
      </c>
      <c r="C51" s="224" t="s">
        <v>258</v>
      </c>
      <c r="D51" s="224">
        <v>2</v>
      </c>
      <c r="E51" s="224" t="s">
        <v>259</v>
      </c>
      <c r="F51" s="226">
        <v>0.17</v>
      </c>
      <c r="G51" s="21"/>
      <c r="H51" s="21"/>
      <c r="I51" s="135">
        <v>31</v>
      </c>
      <c r="J51" s="45" t="s">
        <v>120</v>
      </c>
      <c r="K51" s="45" t="s">
        <v>118</v>
      </c>
      <c r="L51" s="192">
        <v>5.602001301010253E-2</v>
      </c>
      <c r="M51" s="192">
        <v>2.0534055761767299E-3</v>
      </c>
      <c r="N51" s="192">
        <v>1.6834690354423085E-3</v>
      </c>
      <c r="O51" s="219">
        <v>318.590574637288</v>
      </c>
      <c r="P51" s="413"/>
    </row>
    <row r="52" spans="1:18" ht="15.75" x14ac:dyDescent="0.25">
      <c r="B52" s="220" t="s">
        <v>272</v>
      </c>
      <c r="C52" s="224" t="s">
        <v>268</v>
      </c>
      <c r="D52" s="224">
        <v>4.5999999999999996</v>
      </c>
      <c r="E52" s="224" t="s">
        <v>259</v>
      </c>
      <c r="F52" s="226">
        <v>0.39</v>
      </c>
      <c r="G52" s="21"/>
      <c r="H52" s="21"/>
      <c r="I52" s="135">
        <v>32</v>
      </c>
      <c r="J52" s="45" t="s">
        <v>120</v>
      </c>
      <c r="K52" s="45" t="s">
        <v>118</v>
      </c>
      <c r="L52" s="192">
        <v>8.1182565604368817E-2</v>
      </c>
      <c r="M52" s="192">
        <v>2.2057095109159902E-3</v>
      </c>
      <c r="N52" s="192">
        <v>2.5484529232710825E-3</v>
      </c>
      <c r="O52" s="219">
        <v>344.00451224712401</v>
      </c>
      <c r="P52" s="411"/>
      <c r="Q52" s="21"/>
    </row>
    <row r="53" spans="1:18" ht="15.75" x14ac:dyDescent="0.25">
      <c r="B53" s="220" t="s">
        <v>271</v>
      </c>
      <c r="C53" s="224" t="s">
        <v>268</v>
      </c>
      <c r="D53" s="224">
        <v>2</v>
      </c>
      <c r="E53" s="224" t="s">
        <v>259</v>
      </c>
      <c r="F53" s="226">
        <v>0.16</v>
      </c>
      <c r="G53" s="21"/>
      <c r="H53" s="21"/>
      <c r="I53" s="135">
        <v>41</v>
      </c>
      <c r="J53" s="45" t="s">
        <v>121</v>
      </c>
      <c r="K53" s="45" t="s">
        <v>122</v>
      </c>
      <c r="L53" s="192">
        <v>2.237602310868759</v>
      </c>
      <c r="M53" s="192">
        <v>5.5717265564873301E-3</v>
      </c>
      <c r="N53" s="192">
        <v>1.658066855283262E-2</v>
      </c>
      <c r="O53" s="219">
        <v>1406.7823013201701</v>
      </c>
      <c r="P53" s="241"/>
      <c r="Q53" s="412"/>
    </row>
    <row r="54" spans="1:18" ht="15.75" x14ac:dyDescent="0.25">
      <c r="B54" s="220"/>
      <c r="C54" s="220"/>
      <c r="D54" s="220"/>
      <c r="E54" s="220"/>
      <c r="F54" s="220"/>
      <c r="G54" s="21"/>
      <c r="H54" s="21"/>
      <c r="I54" s="135">
        <v>42</v>
      </c>
      <c r="J54" s="45" t="s">
        <v>121</v>
      </c>
      <c r="K54" s="45" t="s">
        <v>122</v>
      </c>
      <c r="L54" s="192">
        <v>1.9658170115512426</v>
      </c>
      <c r="M54" s="192">
        <v>5.4889920561794897E-3</v>
      </c>
      <c r="N54" s="192">
        <v>1.2308421676718551E-2</v>
      </c>
      <c r="O54" s="219">
        <v>1391.9649569298599</v>
      </c>
      <c r="P54" s="414"/>
      <c r="Q54" s="412"/>
    </row>
    <row r="55" spans="1:18" x14ac:dyDescent="0.25">
      <c r="B55" s="166" t="s">
        <v>240</v>
      </c>
      <c r="C55" s="166"/>
      <c r="D55" s="166"/>
      <c r="E55" s="166"/>
      <c r="F55" s="166"/>
      <c r="H55" s="21"/>
      <c r="I55" s="135">
        <v>43</v>
      </c>
      <c r="J55" s="45" t="s">
        <v>121</v>
      </c>
      <c r="K55" s="45" t="s">
        <v>122</v>
      </c>
      <c r="L55" s="192">
        <v>1.9469017025302577</v>
      </c>
      <c r="M55" s="192">
        <v>3.66910948950592E-3</v>
      </c>
      <c r="N55" s="192">
        <v>5.5096995199883071E-2</v>
      </c>
      <c r="O55" s="219">
        <v>1071.1129065416801</v>
      </c>
      <c r="P55" s="414"/>
      <c r="Q55" s="412"/>
    </row>
    <row r="56" spans="1:18" x14ac:dyDescent="0.25">
      <c r="A56" s="7"/>
      <c r="B56" s="57" t="s">
        <v>112</v>
      </c>
      <c r="C56" s="94" t="s">
        <v>107</v>
      </c>
      <c r="D56" s="94" t="s">
        <v>105</v>
      </c>
      <c r="E56" s="94" t="s">
        <v>108</v>
      </c>
      <c r="F56" s="94" t="s">
        <v>106</v>
      </c>
      <c r="H56" s="21"/>
      <c r="I56" s="135">
        <v>51</v>
      </c>
      <c r="J56" s="45" t="s">
        <v>123</v>
      </c>
      <c r="K56" s="45" t="s">
        <v>122</v>
      </c>
      <c r="L56" s="192">
        <v>2.48942987946789</v>
      </c>
      <c r="M56" s="192">
        <v>5.2833773025508703E-3</v>
      </c>
      <c r="N56" s="192">
        <v>3.4321389281753531E-2</v>
      </c>
      <c r="O56" s="219">
        <v>1427.83446247497</v>
      </c>
      <c r="P56" s="414"/>
      <c r="Q56" s="412"/>
    </row>
    <row r="57" spans="1:18" x14ac:dyDescent="0.25">
      <c r="B57" s="57" t="s">
        <v>116</v>
      </c>
      <c r="C57" s="191">
        <f t="shared" ref="C57:F58" si="12">J64</f>
        <v>1.0088514834645941</v>
      </c>
      <c r="D57" s="191">
        <f t="shared" si="12"/>
        <v>3.2870614088243441E-3</v>
      </c>
      <c r="E57" s="191">
        <f t="shared" si="12"/>
        <v>1.5322624540101609E-2</v>
      </c>
      <c r="F57" s="191">
        <f t="shared" si="12"/>
        <v>734.10841361045004</v>
      </c>
      <c r="I57" s="135">
        <v>52</v>
      </c>
      <c r="J57" s="45" t="s">
        <v>123</v>
      </c>
      <c r="K57" s="45" t="s">
        <v>122</v>
      </c>
      <c r="L57" s="192">
        <v>0.95074648895471525</v>
      </c>
      <c r="M57" s="192">
        <v>3.5321878667988801E-3</v>
      </c>
      <c r="N57" s="192">
        <v>1.5158170819293781E-2</v>
      </c>
      <c r="O57" s="219">
        <v>862.616489254057</v>
      </c>
      <c r="P57" s="411"/>
      <c r="R57" s="161"/>
    </row>
    <row r="58" spans="1:18" x14ac:dyDescent="0.25">
      <c r="B58" s="57" t="s">
        <v>119</v>
      </c>
      <c r="C58" s="191">
        <f t="shared" si="12"/>
        <v>2.1241729553117459</v>
      </c>
      <c r="D58" s="191">
        <f t="shared" si="12"/>
        <v>4.7237329536439681E-3</v>
      </c>
      <c r="E58" s="191">
        <f t="shared" si="12"/>
        <v>3.476024970120533E-2</v>
      </c>
      <c r="F58" s="191">
        <f t="shared" si="12"/>
        <v>1213.1207018067209</v>
      </c>
      <c r="I58" s="135">
        <v>53</v>
      </c>
      <c r="J58" s="45" t="s">
        <v>123</v>
      </c>
      <c r="K58" s="45" t="s">
        <v>122</v>
      </c>
      <c r="L58" s="192">
        <v>0.89067775827536644</v>
      </c>
      <c r="M58" s="192">
        <v>3.4020765235606102E-3</v>
      </c>
      <c r="N58" s="192">
        <v>1.349939126139434E-2</v>
      </c>
      <c r="O58" s="219">
        <v>829.46088804247995</v>
      </c>
      <c r="P58" s="161"/>
      <c r="Q58" s="161"/>
      <c r="R58" s="161"/>
    </row>
    <row r="59" spans="1:18" x14ac:dyDescent="0.25">
      <c r="B59" s="6"/>
      <c r="C59" s="193"/>
      <c r="D59" s="194"/>
      <c r="E59" s="193"/>
      <c r="F59" s="195"/>
      <c r="I59" s="135">
        <v>54</v>
      </c>
      <c r="J59" s="45" t="s">
        <v>123</v>
      </c>
      <c r="K59" s="45" t="s">
        <v>122</v>
      </c>
      <c r="L59" s="192">
        <v>1.6481032166429217</v>
      </c>
      <c r="M59" s="192">
        <v>6.0326542026046303E-3</v>
      </c>
      <c r="N59" s="192">
        <v>4.2864875162321965E-2</v>
      </c>
      <c r="O59" s="219">
        <v>1166.1048437433201</v>
      </c>
      <c r="P59" s="161"/>
      <c r="Q59" s="161"/>
      <c r="R59" s="161"/>
    </row>
    <row r="60" spans="1:18" x14ac:dyDescent="0.25">
      <c r="C60" s="20"/>
      <c r="D60" s="20"/>
      <c r="E60" s="20"/>
      <c r="F60" s="20"/>
      <c r="I60" s="135">
        <v>61</v>
      </c>
      <c r="J60" s="45" t="s">
        <v>124</v>
      </c>
      <c r="K60" s="45" t="s">
        <v>122</v>
      </c>
      <c r="L60" s="192">
        <v>3.0234078113615883</v>
      </c>
      <c r="M60" s="192">
        <v>4.9760807160904204E-3</v>
      </c>
      <c r="N60" s="192">
        <v>4.3407648080982714E-2</v>
      </c>
      <c r="O60" s="219">
        <v>1463.90880302132</v>
      </c>
      <c r="P60" s="161"/>
      <c r="Q60" s="161"/>
      <c r="R60" s="161"/>
    </row>
    <row r="61" spans="1:18" x14ac:dyDescent="0.25">
      <c r="A61" s="7"/>
      <c r="B61" s="6" t="s">
        <v>251</v>
      </c>
      <c r="H61" s="21"/>
      <c r="I61" s="135">
        <v>62</v>
      </c>
      <c r="J61" s="45" t="s">
        <v>124</v>
      </c>
      <c r="K61" s="45" t="s">
        <v>122</v>
      </c>
      <c r="L61" s="192">
        <v>3.7426725771679936</v>
      </c>
      <c r="M61" s="192">
        <v>5.1160211102583997E-3</v>
      </c>
      <c r="N61" s="192">
        <v>5.9310023601485649E-2</v>
      </c>
      <c r="O61" s="219">
        <v>1528.79872430418</v>
      </c>
      <c r="P61" s="161"/>
      <c r="Q61" s="161"/>
      <c r="R61" s="161"/>
    </row>
    <row r="62" spans="1:18" x14ac:dyDescent="0.25">
      <c r="B62" s="182" t="s">
        <v>63</v>
      </c>
      <c r="C62" s="93" t="s">
        <v>107</v>
      </c>
      <c r="D62" s="93" t="s">
        <v>105</v>
      </c>
      <c r="E62" s="93" t="s">
        <v>108</v>
      </c>
      <c r="F62" s="93" t="s">
        <v>106</v>
      </c>
      <c r="J62" s="240"/>
      <c r="K62" s="241"/>
      <c r="P62" s="161"/>
      <c r="Q62" s="161"/>
      <c r="R62" s="161"/>
    </row>
    <row r="63" spans="1:18" x14ac:dyDescent="0.25">
      <c r="B63" s="436">
        <v>2022</v>
      </c>
      <c r="C63" s="326">
        <v>16600</v>
      </c>
      <c r="D63" s="326">
        <v>44300</v>
      </c>
      <c r="E63" s="326">
        <v>796700</v>
      </c>
      <c r="F63" s="326">
        <v>56</v>
      </c>
      <c r="I63" s="57" t="s">
        <v>112</v>
      </c>
      <c r="J63" s="94" t="s">
        <v>107</v>
      </c>
      <c r="K63" s="94" t="s">
        <v>105</v>
      </c>
      <c r="L63" s="94" t="s">
        <v>108</v>
      </c>
      <c r="M63" s="231" t="s">
        <v>106</v>
      </c>
      <c r="P63" s="161"/>
      <c r="Q63" s="161"/>
      <c r="R63" s="161"/>
    </row>
    <row r="64" spans="1:18" x14ac:dyDescent="0.25">
      <c r="A64" s="7"/>
      <c r="B64" s="436">
        <f t="shared" ref="B64:B91" si="13">B63+1</f>
        <v>2023</v>
      </c>
      <c r="C64" s="326">
        <v>16800</v>
      </c>
      <c r="D64" s="326">
        <v>45100</v>
      </c>
      <c r="E64" s="326">
        <v>810500</v>
      </c>
      <c r="F64" s="326">
        <v>57</v>
      </c>
      <c r="I64" s="57" t="s">
        <v>116</v>
      </c>
      <c r="J64" s="191">
        <f>AVERAGE(L49:L55)</f>
        <v>1.0088514834645941</v>
      </c>
      <c r="K64" s="191">
        <f>AVERAGE(M49:M55)</f>
        <v>3.2870614088243441E-3</v>
      </c>
      <c r="L64" s="191">
        <f>AVERAGE(N49:N55)</f>
        <v>1.5322624540101609E-2</v>
      </c>
      <c r="M64" s="191">
        <f>AVERAGE(O49:O55)</f>
        <v>734.10841361045004</v>
      </c>
      <c r="P64" s="161"/>
      <c r="Q64" s="161"/>
      <c r="R64" s="161"/>
    </row>
    <row r="65" spans="2:18" x14ac:dyDescent="0.25">
      <c r="B65" s="436">
        <f t="shared" si="13"/>
        <v>2024</v>
      </c>
      <c r="C65" s="326">
        <v>17000</v>
      </c>
      <c r="D65" s="326">
        <v>46000</v>
      </c>
      <c r="E65" s="326">
        <v>824500</v>
      </c>
      <c r="F65" s="326">
        <v>58</v>
      </c>
      <c r="I65" s="57" t="s">
        <v>119</v>
      </c>
      <c r="J65" s="191">
        <f>AVERAGE(L56:L61)</f>
        <v>2.1241729553117459</v>
      </c>
      <c r="K65" s="191">
        <f>AVERAGE(M56:M61)</f>
        <v>4.7237329536439681E-3</v>
      </c>
      <c r="L65" s="191">
        <f>AVERAGE(N56:N61)</f>
        <v>3.476024970120533E-2</v>
      </c>
      <c r="M65" s="191">
        <f>AVERAGE(O56:O61)</f>
        <v>1213.1207018067209</v>
      </c>
      <c r="P65" s="161"/>
      <c r="Q65" s="161"/>
      <c r="R65" s="161"/>
    </row>
    <row r="66" spans="2:18" x14ac:dyDescent="0.25">
      <c r="B66" s="436">
        <f t="shared" si="13"/>
        <v>2025</v>
      </c>
      <c r="C66" s="326">
        <v>17200</v>
      </c>
      <c r="D66" s="326">
        <v>46900</v>
      </c>
      <c r="E66" s="326">
        <v>838800</v>
      </c>
      <c r="F66" s="326">
        <v>59</v>
      </c>
      <c r="O66" s="161"/>
      <c r="P66" s="161"/>
      <c r="Q66" s="161"/>
      <c r="R66" s="161"/>
    </row>
    <row r="67" spans="2:18" x14ac:dyDescent="0.25">
      <c r="B67" s="436">
        <f t="shared" si="13"/>
        <v>2026</v>
      </c>
      <c r="C67" s="326">
        <v>17500</v>
      </c>
      <c r="D67" s="326">
        <v>47800</v>
      </c>
      <c r="E67" s="326">
        <v>852100</v>
      </c>
      <c r="F67" s="326">
        <v>60</v>
      </c>
      <c r="O67" s="161"/>
      <c r="P67" s="161"/>
      <c r="Q67" s="161"/>
      <c r="R67" s="161"/>
    </row>
    <row r="68" spans="2:18" x14ac:dyDescent="0.25">
      <c r="B68" s="436">
        <f t="shared" si="13"/>
        <v>2027</v>
      </c>
      <c r="C68" s="326">
        <v>17900</v>
      </c>
      <c r="D68" s="326">
        <v>48700</v>
      </c>
      <c r="E68" s="326">
        <v>865600</v>
      </c>
      <c r="F68" s="326">
        <v>61</v>
      </c>
      <c r="O68" s="161"/>
      <c r="P68" s="161"/>
      <c r="Q68" s="161"/>
      <c r="R68" s="161"/>
    </row>
    <row r="69" spans="2:18" x14ac:dyDescent="0.25">
      <c r="B69" s="436">
        <f t="shared" si="13"/>
        <v>2028</v>
      </c>
      <c r="C69" s="326">
        <v>18200</v>
      </c>
      <c r="D69" s="326">
        <v>49500</v>
      </c>
      <c r="E69" s="326">
        <v>879400</v>
      </c>
      <c r="F69" s="326">
        <v>62</v>
      </c>
      <c r="O69" s="161"/>
      <c r="P69" s="161"/>
      <c r="Q69" s="161"/>
      <c r="R69" s="161"/>
    </row>
    <row r="70" spans="2:18" x14ac:dyDescent="0.25">
      <c r="B70" s="436">
        <f t="shared" si="13"/>
        <v>2029</v>
      </c>
      <c r="C70" s="326">
        <v>18600</v>
      </c>
      <c r="D70" s="326">
        <v>50400</v>
      </c>
      <c r="E70" s="326">
        <v>893400</v>
      </c>
      <c r="F70" s="326">
        <v>63</v>
      </c>
      <c r="O70" s="161"/>
      <c r="P70" s="161"/>
      <c r="Q70" s="161"/>
      <c r="R70" s="161"/>
    </row>
    <row r="71" spans="2:18" x14ac:dyDescent="0.25">
      <c r="B71" s="436">
        <f t="shared" si="13"/>
        <v>2030</v>
      </c>
      <c r="C71" s="326">
        <v>18900</v>
      </c>
      <c r="D71" s="326">
        <v>51300</v>
      </c>
      <c r="E71" s="326">
        <v>907600</v>
      </c>
      <c r="F71" s="326">
        <v>65</v>
      </c>
      <c r="O71" s="161"/>
      <c r="P71" s="161"/>
      <c r="Q71" s="161"/>
      <c r="R71" s="161"/>
    </row>
    <row r="72" spans="2:18" x14ac:dyDescent="0.25">
      <c r="B72" s="436">
        <f t="shared" si="13"/>
        <v>2031</v>
      </c>
      <c r="C72" s="326">
        <v>18900</v>
      </c>
      <c r="D72" s="326">
        <v>51300</v>
      </c>
      <c r="E72" s="326">
        <v>907600</v>
      </c>
      <c r="F72" s="326">
        <v>66</v>
      </c>
      <c r="O72" s="161"/>
      <c r="P72" s="161"/>
      <c r="Q72" s="161"/>
      <c r="R72" s="161"/>
    </row>
    <row r="73" spans="2:18" x14ac:dyDescent="0.25">
      <c r="B73" s="436">
        <f t="shared" si="13"/>
        <v>2032</v>
      </c>
      <c r="C73" s="326">
        <v>18900</v>
      </c>
      <c r="D73" s="326">
        <v>51300</v>
      </c>
      <c r="E73" s="326">
        <v>907600</v>
      </c>
      <c r="F73" s="326">
        <v>67</v>
      </c>
      <c r="O73" s="161"/>
      <c r="P73" s="161"/>
      <c r="Q73" s="161"/>
      <c r="R73" s="161"/>
    </row>
    <row r="74" spans="2:18" x14ac:dyDescent="0.25">
      <c r="B74" s="436">
        <f t="shared" si="13"/>
        <v>2033</v>
      </c>
      <c r="C74" s="326">
        <v>18900</v>
      </c>
      <c r="D74" s="326">
        <v>51300</v>
      </c>
      <c r="E74" s="326">
        <v>907600</v>
      </c>
      <c r="F74" s="326">
        <v>68</v>
      </c>
      <c r="O74" s="161"/>
      <c r="P74" s="161"/>
      <c r="Q74" s="161"/>
      <c r="R74" s="161"/>
    </row>
    <row r="75" spans="2:18" x14ac:dyDescent="0.25">
      <c r="B75" s="436">
        <f t="shared" si="13"/>
        <v>2034</v>
      </c>
      <c r="C75" s="326">
        <v>18900</v>
      </c>
      <c r="D75" s="326">
        <v>51300</v>
      </c>
      <c r="E75" s="326">
        <v>907600</v>
      </c>
      <c r="F75" s="326">
        <v>69</v>
      </c>
      <c r="O75" s="161"/>
      <c r="P75" s="161"/>
      <c r="Q75" s="161"/>
      <c r="R75" s="161"/>
    </row>
    <row r="76" spans="2:18" x14ac:dyDescent="0.25">
      <c r="B76" s="436">
        <f t="shared" si="13"/>
        <v>2035</v>
      </c>
      <c r="C76" s="326">
        <v>18900</v>
      </c>
      <c r="D76" s="326">
        <v>51300</v>
      </c>
      <c r="E76" s="326">
        <v>907600</v>
      </c>
      <c r="F76" s="326">
        <v>70</v>
      </c>
      <c r="O76" s="161"/>
      <c r="P76" s="161"/>
      <c r="Q76" s="161"/>
      <c r="R76" s="161"/>
    </row>
    <row r="77" spans="2:18" x14ac:dyDescent="0.25">
      <c r="B77" s="436">
        <f t="shared" si="13"/>
        <v>2036</v>
      </c>
      <c r="C77" s="326">
        <v>18900</v>
      </c>
      <c r="D77" s="326">
        <v>51300</v>
      </c>
      <c r="E77" s="326">
        <v>907600</v>
      </c>
      <c r="F77" s="326">
        <v>72</v>
      </c>
      <c r="O77" s="161"/>
      <c r="P77" s="161"/>
      <c r="Q77" s="161"/>
      <c r="R77" s="161"/>
    </row>
    <row r="78" spans="2:18" x14ac:dyDescent="0.25">
      <c r="B78" s="436">
        <f t="shared" si="13"/>
        <v>2037</v>
      </c>
      <c r="C78" s="326">
        <v>18900</v>
      </c>
      <c r="D78" s="326">
        <v>51300</v>
      </c>
      <c r="E78" s="326">
        <v>907600</v>
      </c>
      <c r="F78" s="326">
        <v>73</v>
      </c>
      <c r="O78" s="161"/>
      <c r="P78" s="161"/>
      <c r="Q78" s="161"/>
      <c r="R78" s="161"/>
    </row>
    <row r="79" spans="2:18" x14ac:dyDescent="0.25">
      <c r="B79" s="436">
        <f t="shared" si="13"/>
        <v>2038</v>
      </c>
      <c r="C79" s="326">
        <v>18900</v>
      </c>
      <c r="D79" s="326">
        <v>51300</v>
      </c>
      <c r="E79" s="326">
        <v>907600</v>
      </c>
      <c r="F79" s="326">
        <v>74</v>
      </c>
      <c r="O79" s="161"/>
      <c r="P79" s="161"/>
      <c r="Q79" s="161"/>
      <c r="R79" s="161"/>
    </row>
    <row r="80" spans="2:18" x14ac:dyDescent="0.25">
      <c r="B80" s="436">
        <f t="shared" si="13"/>
        <v>2039</v>
      </c>
      <c r="C80" s="326">
        <v>18900</v>
      </c>
      <c r="D80" s="326">
        <v>51300</v>
      </c>
      <c r="E80" s="326">
        <v>907600</v>
      </c>
      <c r="F80" s="326">
        <v>75</v>
      </c>
      <c r="O80" s="161"/>
      <c r="P80" s="161"/>
      <c r="Q80" s="161"/>
      <c r="R80" s="161"/>
    </row>
    <row r="81" spans="2:18" x14ac:dyDescent="0.25">
      <c r="B81" s="436">
        <f t="shared" si="13"/>
        <v>2040</v>
      </c>
      <c r="C81" s="326">
        <v>18900</v>
      </c>
      <c r="D81" s="326">
        <v>51300</v>
      </c>
      <c r="E81" s="326">
        <v>907600</v>
      </c>
      <c r="F81" s="326">
        <v>76</v>
      </c>
      <c r="O81" s="161"/>
      <c r="P81" s="161"/>
      <c r="Q81" s="161"/>
      <c r="R81" s="161"/>
    </row>
    <row r="82" spans="2:18" x14ac:dyDescent="0.25">
      <c r="B82" s="436">
        <f t="shared" si="13"/>
        <v>2041</v>
      </c>
      <c r="C82" s="326">
        <v>18900</v>
      </c>
      <c r="D82" s="326">
        <v>51300</v>
      </c>
      <c r="E82" s="326">
        <v>907600</v>
      </c>
      <c r="F82" s="326">
        <v>78</v>
      </c>
      <c r="O82" s="161"/>
      <c r="P82" s="161"/>
      <c r="Q82" s="161"/>
      <c r="R82" s="161"/>
    </row>
    <row r="83" spans="2:18" x14ac:dyDescent="0.25">
      <c r="B83" s="436">
        <f t="shared" si="13"/>
        <v>2042</v>
      </c>
      <c r="C83" s="326">
        <v>18900</v>
      </c>
      <c r="D83" s="326">
        <v>51300</v>
      </c>
      <c r="E83" s="326">
        <v>907600</v>
      </c>
      <c r="F83" s="326">
        <v>79</v>
      </c>
      <c r="O83" s="161"/>
      <c r="P83" s="161"/>
      <c r="Q83" s="161"/>
      <c r="R83" s="161"/>
    </row>
    <row r="84" spans="2:18" x14ac:dyDescent="0.25">
      <c r="B84" s="436">
        <f t="shared" si="13"/>
        <v>2043</v>
      </c>
      <c r="C84" s="326">
        <v>18900</v>
      </c>
      <c r="D84" s="326">
        <v>51300</v>
      </c>
      <c r="E84" s="326">
        <v>907600</v>
      </c>
      <c r="F84" s="326">
        <v>80</v>
      </c>
      <c r="O84" s="161"/>
      <c r="P84" s="161"/>
      <c r="Q84" s="161"/>
      <c r="R84" s="161"/>
    </row>
    <row r="85" spans="2:18" x14ac:dyDescent="0.25">
      <c r="B85" s="436">
        <f t="shared" si="13"/>
        <v>2044</v>
      </c>
      <c r="C85" s="326">
        <v>18900</v>
      </c>
      <c r="D85" s="326">
        <v>51300</v>
      </c>
      <c r="E85" s="326">
        <v>907600</v>
      </c>
      <c r="F85" s="326">
        <v>81</v>
      </c>
      <c r="O85" s="161"/>
      <c r="P85" s="161"/>
      <c r="Q85" s="161"/>
      <c r="R85" s="161"/>
    </row>
    <row r="86" spans="2:18" x14ac:dyDescent="0.25">
      <c r="B86" s="436">
        <f t="shared" si="13"/>
        <v>2045</v>
      </c>
      <c r="C86" s="326">
        <v>18900</v>
      </c>
      <c r="D86" s="326">
        <v>51300</v>
      </c>
      <c r="E86" s="326">
        <v>907600</v>
      </c>
      <c r="F86" s="326">
        <v>82</v>
      </c>
    </row>
    <row r="87" spans="2:18" x14ac:dyDescent="0.25">
      <c r="B87" s="436">
        <f t="shared" si="13"/>
        <v>2046</v>
      </c>
      <c r="C87" s="326">
        <v>18900</v>
      </c>
      <c r="D87" s="326">
        <v>51300</v>
      </c>
      <c r="E87" s="326">
        <v>907600</v>
      </c>
      <c r="F87" s="326">
        <v>84</v>
      </c>
    </row>
    <row r="88" spans="2:18" x14ac:dyDescent="0.25">
      <c r="B88" s="436">
        <f t="shared" si="13"/>
        <v>2047</v>
      </c>
      <c r="C88" s="326">
        <v>18900</v>
      </c>
      <c r="D88" s="326">
        <v>51300</v>
      </c>
      <c r="E88" s="326">
        <v>907600</v>
      </c>
      <c r="F88" s="326">
        <v>85</v>
      </c>
    </row>
    <row r="89" spans="2:18" x14ac:dyDescent="0.25">
      <c r="B89" s="436">
        <f t="shared" si="13"/>
        <v>2048</v>
      </c>
      <c r="C89" s="326">
        <v>18900</v>
      </c>
      <c r="D89" s="326">
        <v>51300</v>
      </c>
      <c r="E89" s="326">
        <v>907600</v>
      </c>
      <c r="F89" s="326">
        <v>86</v>
      </c>
    </row>
    <row r="90" spans="2:18" x14ac:dyDescent="0.25">
      <c r="B90" s="436">
        <f t="shared" si="13"/>
        <v>2049</v>
      </c>
      <c r="C90" s="326">
        <v>18900</v>
      </c>
      <c r="D90" s="326">
        <v>51300</v>
      </c>
      <c r="E90" s="326">
        <v>907600</v>
      </c>
      <c r="F90" s="326">
        <v>87</v>
      </c>
    </row>
    <row r="91" spans="2:18" x14ac:dyDescent="0.25">
      <c r="B91" s="436">
        <f t="shared" si="13"/>
        <v>2050</v>
      </c>
      <c r="C91" s="326">
        <v>18900</v>
      </c>
      <c r="D91" s="326">
        <v>51300</v>
      </c>
      <c r="E91" s="326">
        <v>907600</v>
      </c>
      <c r="F91" s="326">
        <v>88</v>
      </c>
    </row>
    <row r="92" spans="2:18" x14ac:dyDescent="0.25">
      <c r="B92" s="424"/>
      <c r="C92" s="424"/>
      <c r="D92" s="424"/>
      <c r="E92" s="424"/>
      <c r="F92" s="424"/>
      <c r="G92" s="424"/>
    </row>
    <row r="93" spans="2:18" x14ac:dyDescent="0.25">
      <c r="B93" s="424"/>
      <c r="C93" s="424"/>
      <c r="D93" s="424"/>
      <c r="E93" s="424"/>
      <c r="F93" s="424"/>
      <c r="G93" s="424"/>
    </row>
    <row r="94" spans="2:18" x14ac:dyDescent="0.25">
      <c r="B94" s="424"/>
      <c r="C94" s="424"/>
      <c r="D94" s="424"/>
      <c r="E94" s="424"/>
      <c r="F94" s="424"/>
      <c r="G94" s="424"/>
      <c r="I94" s="240"/>
      <c r="J94" s="241"/>
    </row>
    <row r="95" spans="2:18" x14ac:dyDescent="0.25">
      <c r="B95" s="424"/>
      <c r="C95" s="424"/>
      <c r="D95" s="424"/>
      <c r="E95" s="424"/>
      <c r="F95" s="424"/>
      <c r="G95" s="424"/>
      <c r="I95" s="240"/>
      <c r="J95" s="241"/>
    </row>
    <row r="96" spans="2:18" x14ac:dyDescent="0.25">
      <c r="B96" s="424"/>
      <c r="C96" s="424"/>
      <c r="D96" s="424"/>
      <c r="E96" s="424"/>
      <c r="F96" s="424"/>
      <c r="G96" s="424"/>
    </row>
    <row r="97" spans="2:7" x14ac:dyDescent="0.25">
      <c r="B97" s="424"/>
      <c r="C97" s="424"/>
      <c r="D97" s="424"/>
      <c r="E97" s="424"/>
      <c r="F97" s="424"/>
      <c r="G97" s="424"/>
    </row>
    <row r="98" spans="2:7" x14ac:dyDescent="0.25">
      <c r="B98" s="424"/>
      <c r="C98" s="424"/>
      <c r="D98" s="424"/>
      <c r="E98" s="424"/>
      <c r="F98" s="424"/>
      <c r="G98" s="424"/>
    </row>
    <row r="99" spans="2:7" x14ac:dyDescent="0.25">
      <c r="B99" s="424"/>
      <c r="C99" s="424"/>
      <c r="D99" s="424"/>
      <c r="E99" s="424"/>
      <c r="F99" s="424"/>
      <c r="G99" s="424"/>
    </row>
    <row r="100" spans="2:7" x14ac:dyDescent="0.25">
      <c r="B100" s="424"/>
      <c r="C100" s="424"/>
      <c r="D100" s="424"/>
      <c r="E100" s="424"/>
      <c r="F100" s="424"/>
      <c r="G100" s="424"/>
    </row>
  </sheetData>
  <mergeCells count="20">
    <mergeCell ref="B33:M34"/>
    <mergeCell ref="O3:O4"/>
    <mergeCell ref="P3:P4"/>
    <mergeCell ref="B28:M31"/>
    <mergeCell ref="I3:I4"/>
    <mergeCell ref="J3:J4"/>
    <mergeCell ref="K3:K4"/>
    <mergeCell ref="L3:L4"/>
    <mergeCell ref="M3:M4"/>
    <mergeCell ref="N3:N4"/>
    <mergeCell ref="C2:E2"/>
    <mergeCell ref="F2:N2"/>
    <mergeCell ref="O2:P2"/>
    <mergeCell ref="B3:B4"/>
    <mergeCell ref="C3:C4"/>
    <mergeCell ref="D3:D4"/>
    <mergeCell ref="E3:E4"/>
    <mergeCell ref="F3:F4"/>
    <mergeCell ref="G3:G4"/>
    <mergeCell ref="H3:H4"/>
  </mergeCells>
  <hyperlinks>
    <hyperlink ref="B39" r:id="rId1" xr:uid="{3C54266C-C77A-4929-AAE8-F81DFE9D7837}"/>
  </hyperlinks>
  <pageMargins left="0.25" right="0.25" top="0.75" bottom="0.75" header="0.3" footer="0.3"/>
  <pageSetup paperSize="3" scale="45"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A1:M55"/>
  <sheetViews>
    <sheetView view="pageBreakPreview" topLeftCell="E4" zoomScaleNormal="55" zoomScaleSheetLayoutView="100" workbookViewId="0">
      <selection activeCell="J26" sqref="J26"/>
    </sheetView>
  </sheetViews>
  <sheetFormatPr defaultColWidth="9.140625" defaultRowHeight="15" x14ac:dyDescent="0.25"/>
  <cols>
    <col min="1" max="1" width="3.7109375" customWidth="1"/>
    <col min="2" max="7" width="15.7109375" customWidth="1"/>
    <col min="8" max="8" width="10.85546875" bestFit="1" customWidth="1"/>
    <col min="9" max="9" width="12.85546875" customWidth="1"/>
    <col min="10" max="10" width="48.140625" bestFit="1" customWidth="1"/>
    <col min="11" max="11" width="25.85546875" customWidth="1"/>
    <col min="12" max="12" width="19.5703125" customWidth="1"/>
    <col min="13" max="13" width="18" customWidth="1"/>
    <col min="14" max="14" width="13.140625" customWidth="1"/>
  </cols>
  <sheetData>
    <row r="1" spans="2:13" x14ac:dyDescent="0.25">
      <c r="B1">
        <v>1</v>
      </c>
      <c r="C1">
        <f t="shared" ref="C1" si="0">B1+1</f>
        <v>2</v>
      </c>
      <c r="D1">
        <f>C1+1</f>
        <v>3</v>
      </c>
      <c r="E1">
        <f t="shared" ref="E1" si="1">D1+1</f>
        <v>4</v>
      </c>
      <c r="F1">
        <f t="shared" ref="F1" si="2">E1+1</f>
        <v>5</v>
      </c>
      <c r="G1">
        <f t="shared" ref="G1" si="3">F1+1</f>
        <v>6</v>
      </c>
      <c r="H1">
        <f t="shared" ref="H1" si="4">G1+1</f>
        <v>7</v>
      </c>
    </row>
    <row r="2" spans="2:13" x14ac:dyDescent="0.25">
      <c r="B2" s="6" t="s">
        <v>55</v>
      </c>
      <c r="C2" s="6"/>
      <c r="D2" s="6"/>
      <c r="E2" s="6"/>
      <c r="F2" s="6"/>
      <c r="G2" s="6"/>
      <c r="H2" s="6"/>
    </row>
    <row r="3" spans="2:13" x14ac:dyDescent="0.25">
      <c r="B3" s="6"/>
      <c r="C3" s="6"/>
      <c r="D3" s="6"/>
      <c r="E3" s="6"/>
      <c r="F3" s="6"/>
      <c r="G3" s="6"/>
      <c r="H3" s="6"/>
    </row>
    <row r="4" spans="2:13" ht="15" customHeight="1" thickBot="1" x14ac:dyDescent="0.3">
      <c r="B4" s="6"/>
      <c r="C4" s="189"/>
      <c r="D4" s="189"/>
      <c r="E4" s="189"/>
      <c r="F4" s="189"/>
      <c r="G4" s="6"/>
      <c r="H4" s="6"/>
    </row>
    <row r="5" spans="2:13" ht="21" customHeight="1" thickBot="1" x14ac:dyDescent="0.3">
      <c r="B5" s="6"/>
      <c r="C5" s="506" t="s">
        <v>29</v>
      </c>
      <c r="D5" s="508"/>
      <c r="E5" s="506" t="s">
        <v>30</v>
      </c>
      <c r="F5" s="508"/>
      <c r="G5" s="424"/>
      <c r="H5" s="424"/>
    </row>
    <row r="6" spans="2:13" ht="15.75" customHeight="1" x14ac:dyDescent="0.25">
      <c r="B6" s="491" t="s">
        <v>0</v>
      </c>
      <c r="C6" s="28"/>
      <c r="D6" s="491" t="s">
        <v>1230</v>
      </c>
      <c r="E6" s="438"/>
      <c r="F6" s="501" t="s">
        <v>1230</v>
      </c>
      <c r="G6" s="521" t="s">
        <v>66</v>
      </c>
      <c r="H6" s="525" t="s">
        <v>1</v>
      </c>
    </row>
    <row r="7" spans="2:13" ht="35.1" customHeight="1" thickBot="1" x14ac:dyDescent="0.3">
      <c r="B7" s="493"/>
      <c r="C7" s="32"/>
      <c r="D7" s="493"/>
      <c r="E7" s="439"/>
      <c r="F7" s="502"/>
      <c r="G7" s="522"/>
      <c r="H7" s="526"/>
      <c r="I7" s="424"/>
      <c r="J7" s="6" t="s">
        <v>81</v>
      </c>
      <c r="K7" s="55"/>
    </row>
    <row r="8" spans="2:13" x14ac:dyDescent="0.25">
      <c r="B8" s="440">
        <f>Assumptions!C10</f>
        <v>2027</v>
      </c>
      <c r="C8" s="104">
        <f>IFERROR(VLOOKUP($B8-2022,$K$14:$L$17,2,FALSE),0)*$K$10*2</f>
        <v>0</v>
      </c>
      <c r="D8" s="442">
        <f t="shared" ref="D8:D27" si="5">(1+$D$29)^(B8-$B$8)*($L$43+$L$44)</f>
        <v>80953.587332486844</v>
      </c>
      <c r="E8" s="104">
        <f>IFERROR(VLOOKUP($B8-2026,$K$21:$L$22,2,FALSE),0)*$K$10*4</f>
        <v>0</v>
      </c>
      <c r="F8" s="149">
        <f t="shared" ref="F8" si="6">$L$44</f>
        <v>50000</v>
      </c>
      <c r="G8" s="100">
        <f t="shared" ref="G8:G27" si="7">SUM(D8:D8)-SUM(F8:F8)</f>
        <v>30953.587332486844</v>
      </c>
      <c r="H8" s="101">
        <f>G8*(1+0.07)^-(B8-Assumptions!$C$6)</f>
        <v>20625.682218227917</v>
      </c>
      <c r="I8" s="424"/>
      <c r="J8" s="134" t="s">
        <v>34</v>
      </c>
      <c r="K8" s="135">
        <f>'Capital Costs'!$I$5</f>
        <v>2025</v>
      </c>
    </row>
    <row r="9" spans="2:13" x14ac:dyDescent="0.25">
      <c r="B9" s="52">
        <f>+B8+1</f>
        <v>2028</v>
      </c>
      <c r="C9" s="104">
        <f>IFERROR(VLOOKUP($B9-2022,$K$14:$L$17,2,FALSE),0)*$K$10*2</f>
        <v>0</v>
      </c>
      <c r="D9" s="441">
        <f t="shared" si="5"/>
        <v>81763.123205811717</v>
      </c>
      <c r="E9" s="104">
        <f t="shared" ref="E9:E26" si="8">IFERROR(VLOOKUP($B9-2026,$K$21:$L$22,2,FALSE),0)*$K$10*4</f>
        <v>0</v>
      </c>
      <c r="F9" s="149">
        <f t="shared" ref="F9:F27" si="9">$L$44</f>
        <v>50000</v>
      </c>
      <c r="G9" s="100">
        <f t="shared" si="7"/>
        <v>31763.123205811717</v>
      </c>
      <c r="H9" s="101">
        <f>G9*(1+0.07)^-(B9-Assumptions!$C$6)</f>
        <v>19780.476777867712</v>
      </c>
      <c r="I9" s="424"/>
      <c r="J9" s="134" t="s">
        <v>32</v>
      </c>
      <c r="K9" s="135">
        <f>'Capital Costs'!$I$6</f>
        <v>2</v>
      </c>
    </row>
    <row r="10" spans="2:13" x14ac:dyDescent="0.25">
      <c r="B10" s="52">
        <f t="shared" ref="B10:B27" si="10">+B9+1</f>
        <v>2029</v>
      </c>
      <c r="C10" s="104">
        <f t="shared" ref="C10:C27" si="11">IFERROR(VLOOKUP($B10-2022,$K$14:$L$17,2,FALSE),0)*$K$10*2</f>
        <v>0</v>
      </c>
      <c r="D10" s="441">
        <f t="shared" si="5"/>
        <v>82580.754437869837</v>
      </c>
      <c r="E10" s="104">
        <f t="shared" si="8"/>
        <v>0</v>
      </c>
      <c r="F10" s="149">
        <f t="shared" si="9"/>
        <v>50000</v>
      </c>
      <c r="G10" s="100">
        <f t="shared" si="7"/>
        <v>32580.754437869837</v>
      </c>
      <c r="H10" s="101">
        <f>G10*(1+0.07)^-(B10-Assumptions!$C$6)</f>
        <v>18962.295716438024</v>
      </c>
      <c r="I10" s="424"/>
      <c r="J10" s="45" t="s">
        <v>109</v>
      </c>
      <c r="K10" s="135">
        <v>1.52</v>
      </c>
      <c r="M10" s="235"/>
    </row>
    <row r="11" spans="2:13" x14ac:dyDescent="0.25">
      <c r="B11" s="52">
        <f t="shared" si="10"/>
        <v>2030</v>
      </c>
      <c r="C11" s="104">
        <f t="shared" si="11"/>
        <v>0</v>
      </c>
      <c r="D11" s="441">
        <f t="shared" si="5"/>
        <v>83406.561982248517</v>
      </c>
      <c r="E11" s="104">
        <f t="shared" si="8"/>
        <v>0</v>
      </c>
      <c r="F11" s="149">
        <f t="shared" si="9"/>
        <v>50000</v>
      </c>
      <c r="G11" s="100">
        <f t="shared" si="7"/>
        <v>33406.561982248517</v>
      </c>
      <c r="H11" s="101">
        <f>G11*(1+0.07)^-(B11-Assumptions!$C$6)</f>
        <v>18170.956285873752</v>
      </c>
      <c r="I11" s="424"/>
      <c r="J11" s="317"/>
      <c r="K11" s="317"/>
    </row>
    <row r="12" spans="2:13" x14ac:dyDescent="0.25">
      <c r="B12" s="52">
        <f>+B11+1</f>
        <v>2031</v>
      </c>
      <c r="C12" s="104">
        <f>IFERROR(VLOOKUP($B12-2022,$K$14:$L$17,2,FALSE),0)*$K$10*2</f>
        <v>0</v>
      </c>
      <c r="D12" s="441">
        <f t="shared" si="5"/>
        <v>84240.627602071021</v>
      </c>
      <c r="E12" s="104">
        <f t="shared" si="8"/>
        <v>0</v>
      </c>
      <c r="F12" s="149">
        <f t="shared" si="9"/>
        <v>50000</v>
      </c>
      <c r="G12" s="100">
        <f t="shared" si="7"/>
        <v>34240.627602071021</v>
      </c>
      <c r="H12" s="101">
        <f>G12*(1+0.07)^-(B12-Assumptions!$C$6)</f>
        <v>17406.198803761283</v>
      </c>
      <c r="I12" s="424"/>
      <c r="J12" s="6" t="s">
        <v>78</v>
      </c>
    </row>
    <row r="13" spans="2:13" x14ac:dyDescent="0.25">
      <c r="B13" s="52">
        <f t="shared" si="10"/>
        <v>2032</v>
      </c>
      <c r="C13" s="104">
        <f t="shared" si="11"/>
        <v>0</v>
      </c>
      <c r="D13" s="441">
        <f t="shared" si="5"/>
        <v>85083.033878091723</v>
      </c>
      <c r="E13" s="104">
        <f t="shared" si="8"/>
        <v>0</v>
      </c>
      <c r="F13" s="149">
        <f t="shared" si="9"/>
        <v>50000</v>
      </c>
      <c r="G13" s="100">
        <f t="shared" si="7"/>
        <v>35083.033878091723</v>
      </c>
      <c r="H13" s="101">
        <f>G13*(1+0.07)^-(B13-Assumptions!$C$6)</f>
        <v>16667.696670903035</v>
      </c>
      <c r="I13" s="424"/>
      <c r="J13" s="57" t="s">
        <v>67</v>
      </c>
      <c r="K13" s="93" t="s">
        <v>63</v>
      </c>
      <c r="L13" s="93" t="s">
        <v>74</v>
      </c>
      <c r="M13" s="93" t="s">
        <v>74</v>
      </c>
    </row>
    <row r="14" spans="2:13" x14ac:dyDescent="0.25">
      <c r="B14" s="52">
        <f t="shared" si="10"/>
        <v>2033</v>
      </c>
      <c r="C14" s="104">
        <f t="shared" si="11"/>
        <v>0</v>
      </c>
      <c r="D14" s="441">
        <f t="shared" si="5"/>
        <v>85933.864216872651</v>
      </c>
      <c r="E14" s="104">
        <f t="shared" si="8"/>
        <v>0</v>
      </c>
      <c r="F14" s="149">
        <f t="shared" si="9"/>
        <v>50000</v>
      </c>
      <c r="G14" s="100">
        <f t="shared" si="7"/>
        <v>35933.864216872651</v>
      </c>
      <c r="H14" s="101">
        <f>G14*(1+0.07)^-(B14-Assumptions!$C$6)</f>
        <v>15955.065454024176</v>
      </c>
      <c r="I14" s="424"/>
      <c r="J14" s="45" t="s">
        <v>68</v>
      </c>
      <c r="K14" s="45">
        <v>0</v>
      </c>
      <c r="L14" s="102">
        <v>0</v>
      </c>
      <c r="M14" s="102">
        <v>350000</v>
      </c>
    </row>
    <row r="15" spans="2:13" x14ac:dyDescent="0.25">
      <c r="B15" s="52">
        <f t="shared" si="10"/>
        <v>2034</v>
      </c>
      <c r="C15" s="104">
        <f t="shared" si="11"/>
        <v>0</v>
      </c>
      <c r="D15" s="441">
        <f t="shared" si="5"/>
        <v>86793.202859041354</v>
      </c>
      <c r="E15" s="104">
        <f t="shared" si="8"/>
        <v>0</v>
      </c>
      <c r="F15" s="149">
        <f t="shared" si="9"/>
        <v>50000</v>
      </c>
      <c r="G15" s="100">
        <f t="shared" si="7"/>
        <v>36793.202859041354</v>
      </c>
      <c r="H15" s="101">
        <f>G15*(1+0.07)^-(B15-Assumptions!$C$6)</f>
        <v>15267.871110453058</v>
      </c>
      <c r="I15" s="424"/>
      <c r="J15" s="45" t="s">
        <v>69</v>
      </c>
      <c r="K15" s="45">
        <v>14</v>
      </c>
      <c r="L15" s="102">
        <v>0</v>
      </c>
      <c r="M15" s="102">
        <v>250000</v>
      </c>
    </row>
    <row r="16" spans="2:13" x14ac:dyDescent="0.25">
      <c r="B16" s="52">
        <f t="shared" si="10"/>
        <v>2035</v>
      </c>
      <c r="C16" s="104">
        <f t="shared" si="11"/>
        <v>0</v>
      </c>
      <c r="D16" s="441">
        <f t="shared" si="5"/>
        <v>87661.134887631793</v>
      </c>
      <c r="E16" s="104">
        <f t="shared" si="8"/>
        <v>0</v>
      </c>
      <c r="F16" s="149">
        <f t="shared" si="9"/>
        <v>50000</v>
      </c>
      <c r="G16" s="100">
        <f t="shared" si="7"/>
        <v>37661.134887631793</v>
      </c>
      <c r="H16" s="101">
        <f>G16*(1+0.07)^-(B16-Assumptions!$C$6)</f>
        <v>14605.637425702682</v>
      </c>
      <c r="I16" s="424"/>
      <c r="J16" s="45" t="s">
        <v>68</v>
      </c>
      <c r="K16" s="45">
        <v>24</v>
      </c>
      <c r="L16" s="102">
        <v>0</v>
      </c>
      <c r="M16" s="102">
        <v>350000</v>
      </c>
    </row>
    <row r="17" spans="2:13" x14ac:dyDescent="0.25">
      <c r="B17" s="52">
        <f t="shared" si="10"/>
        <v>2036</v>
      </c>
      <c r="C17" s="104">
        <f>IFERROR(VLOOKUP($B17-2022,$K$14:$L$17,2,FALSE),0)*$K$10*2</f>
        <v>0</v>
      </c>
      <c r="D17" s="441">
        <f t="shared" si="5"/>
        <v>88537.746236508116</v>
      </c>
      <c r="E17" s="104">
        <f t="shared" si="8"/>
        <v>0</v>
      </c>
      <c r="F17" s="149">
        <f t="shared" si="9"/>
        <v>50000</v>
      </c>
      <c r="G17" s="100">
        <f t="shared" si="7"/>
        <v>38537.746236508116</v>
      </c>
      <c r="H17" s="101">
        <f>G17*(1+0.07)^-(B17-Assumptions!$C$6)</f>
        <v>13967.852729409693</v>
      </c>
      <c r="I17" s="424"/>
      <c r="J17" s="45" t="s">
        <v>70</v>
      </c>
      <c r="K17" s="45">
        <v>37</v>
      </c>
      <c r="L17" s="102">
        <v>0</v>
      </c>
      <c r="M17" s="102">
        <v>800000</v>
      </c>
    </row>
    <row r="18" spans="2:13" x14ac:dyDescent="0.25">
      <c r="B18" s="52">
        <f t="shared" si="10"/>
        <v>2037</v>
      </c>
      <c r="C18" s="104">
        <f t="shared" si="11"/>
        <v>0</v>
      </c>
      <c r="D18" s="441">
        <f t="shared" si="5"/>
        <v>89423.123698873198</v>
      </c>
      <c r="E18" s="104">
        <f t="shared" si="8"/>
        <v>0</v>
      </c>
      <c r="F18" s="149">
        <f t="shared" si="9"/>
        <v>50000</v>
      </c>
      <c r="G18" s="100">
        <f t="shared" si="7"/>
        <v>39423.123698873198</v>
      </c>
      <c r="H18" s="101">
        <f>G18*(1+0.07)^-(B18-Assumptions!$C$6)</f>
        <v>13353.975950023338</v>
      </c>
      <c r="I18" s="424"/>
    </row>
    <row r="19" spans="2:13" x14ac:dyDescent="0.25">
      <c r="B19" s="52">
        <f t="shared" si="10"/>
        <v>2038</v>
      </c>
      <c r="C19" s="104">
        <f t="shared" si="11"/>
        <v>0</v>
      </c>
      <c r="D19" s="441">
        <f t="shared" si="5"/>
        <v>90317.354935861906</v>
      </c>
      <c r="E19" s="104">
        <f t="shared" si="8"/>
        <v>0</v>
      </c>
      <c r="F19" s="149">
        <f t="shared" si="9"/>
        <v>50000</v>
      </c>
      <c r="G19" s="100">
        <f t="shared" si="7"/>
        <v>40317.354935861906</v>
      </c>
      <c r="H19" s="101">
        <f>G19*(1+0.07)^-(B19-Assumptions!$C$6)</f>
        <v>12763.442063945668</v>
      </c>
      <c r="I19" s="424"/>
      <c r="J19" s="6" t="s">
        <v>79</v>
      </c>
    </row>
    <row r="20" spans="2:13" x14ac:dyDescent="0.25">
      <c r="B20" s="52">
        <f t="shared" si="10"/>
        <v>2039</v>
      </c>
      <c r="C20" s="104">
        <f t="shared" si="11"/>
        <v>0</v>
      </c>
      <c r="D20" s="441">
        <f t="shared" si="5"/>
        <v>91220.528485220537</v>
      </c>
      <c r="E20" s="104">
        <f t="shared" si="8"/>
        <v>0</v>
      </c>
      <c r="F20" s="149">
        <f t="shared" si="9"/>
        <v>50000</v>
      </c>
      <c r="G20" s="100">
        <f t="shared" si="7"/>
        <v>41220.528485220537</v>
      </c>
      <c r="H20" s="101">
        <f>G20*(1+0.07)^-(B20-Assumptions!$C$6)</f>
        <v>12195.666990483345</v>
      </c>
      <c r="I20" s="424"/>
      <c r="J20" s="57" t="s">
        <v>67</v>
      </c>
      <c r="K20" s="93" t="s">
        <v>63</v>
      </c>
      <c r="L20" s="93" t="s">
        <v>74</v>
      </c>
    </row>
    <row r="21" spans="2:13" x14ac:dyDescent="0.25">
      <c r="B21" s="52">
        <f t="shared" si="10"/>
        <v>2040</v>
      </c>
      <c r="C21" s="104">
        <f t="shared" si="11"/>
        <v>0</v>
      </c>
      <c r="D21" s="441">
        <f t="shared" si="5"/>
        <v>92132.733770072737</v>
      </c>
      <c r="E21" s="104">
        <f t="shared" si="8"/>
        <v>0</v>
      </c>
      <c r="F21" s="149">
        <f t="shared" si="9"/>
        <v>50000</v>
      </c>
      <c r="G21" s="100">
        <f t="shared" si="7"/>
        <v>42132.733770072737</v>
      </c>
      <c r="H21" s="101">
        <f>G21*(1+0.07)^-(B21-Assumptions!$C$6)</f>
        <v>11650.051979952315</v>
      </c>
      <c r="I21" s="424"/>
      <c r="J21" s="45" t="s">
        <v>69</v>
      </c>
      <c r="K21" s="45">
        <v>20</v>
      </c>
      <c r="L21" s="102">
        <v>250000</v>
      </c>
    </row>
    <row r="22" spans="2:13" x14ac:dyDescent="0.25">
      <c r="B22" s="52">
        <f t="shared" si="10"/>
        <v>2041</v>
      </c>
      <c r="C22" s="104">
        <f t="shared" si="11"/>
        <v>0</v>
      </c>
      <c r="D22" s="441">
        <f t="shared" si="5"/>
        <v>93054.061107773479</v>
      </c>
      <c r="E22" s="104">
        <f t="shared" si="8"/>
        <v>0</v>
      </c>
      <c r="F22" s="149">
        <f t="shared" si="9"/>
        <v>50000</v>
      </c>
      <c r="G22" s="100">
        <f t="shared" si="7"/>
        <v>43054.061107773479</v>
      </c>
      <c r="H22" s="101">
        <f>G22*(1+0.07)^-(B22-Assumptions!$C$6)</f>
        <v>11125.987538558189</v>
      </c>
      <c r="I22" s="424"/>
      <c r="J22" s="45" t="s">
        <v>68</v>
      </c>
      <c r="K22" s="45">
        <v>35</v>
      </c>
      <c r="L22" s="102">
        <v>350000</v>
      </c>
    </row>
    <row r="23" spans="2:13" x14ac:dyDescent="0.25">
      <c r="B23" s="52">
        <f t="shared" si="10"/>
        <v>2042</v>
      </c>
      <c r="C23" s="104">
        <f t="shared" si="11"/>
        <v>0</v>
      </c>
      <c r="D23" s="441">
        <f t="shared" si="5"/>
        <v>93984.601718851191</v>
      </c>
      <c r="E23" s="104">
        <f t="shared" si="8"/>
        <v>0</v>
      </c>
      <c r="F23" s="149">
        <f t="shared" si="9"/>
        <v>50000</v>
      </c>
      <c r="G23" s="100">
        <f t="shared" si="7"/>
        <v>43984.601718851191</v>
      </c>
      <c r="H23" s="101">
        <f>G23*(1+0.07)^-(B23-Assumptions!$C$6)</f>
        <v>10622.856930234298</v>
      </c>
      <c r="I23" s="424"/>
      <c r="J23" s="317"/>
    </row>
    <row r="24" spans="2:13" x14ac:dyDescent="0.25">
      <c r="B24" s="52">
        <f t="shared" si="10"/>
        <v>2043</v>
      </c>
      <c r="C24" s="104">
        <f t="shared" si="11"/>
        <v>0</v>
      </c>
      <c r="D24" s="441">
        <f t="shared" si="5"/>
        <v>94924.447736039729</v>
      </c>
      <c r="E24" s="104">
        <f t="shared" si="8"/>
        <v>0</v>
      </c>
      <c r="F24" s="149">
        <f t="shared" si="9"/>
        <v>50000</v>
      </c>
      <c r="G24" s="100">
        <f t="shared" si="7"/>
        <v>44924.447736039729</v>
      </c>
      <c r="H24" s="101">
        <f>G24*(1+0.07)^-(B24-Assumptions!$C$6)</f>
        <v>10140.039292437023</v>
      </c>
      <c r="I24" s="424"/>
      <c r="J24" s="317"/>
    </row>
    <row r="25" spans="2:13" x14ac:dyDescent="0.25">
      <c r="B25" s="52">
        <f t="shared" si="10"/>
        <v>2044</v>
      </c>
      <c r="C25" s="104">
        <f t="shared" si="11"/>
        <v>0</v>
      </c>
      <c r="D25" s="441">
        <f t="shared" si="5"/>
        <v>95873.692213400136</v>
      </c>
      <c r="E25" s="104">
        <f t="shared" si="8"/>
        <v>0</v>
      </c>
      <c r="F25" s="149">
        <f t="shared" si="9"/>
        <v>50000</v>
      </c>
      <c r="G25" s="100">
        <f t="shared" si="7"/>
        <v>45873.692213400136</v>
      </c>
      <c r="H25" s="101">
        <f>G25*(1+0.07)^-(B25-Assumptions!$C$6)</f>
        <v>9676.9123999542844</v>
      </c>
      <c r="I25" s="317"/>
      <c r="J25" s="317"/>
    </row>
    <row r="26" spans="2:13" x14ac:dyDescent="0.25">
      <c r="B26" s="52">
        <f t="shared" si="10"/>
        <v>2045</v>
      </c>
      <c r="C26" s="104">
        <f t="shared" si="11"/>
        <v>0</v>
      </c>
      <c r="D26" s="441">
        <f t="shared" si="5"/>
        <v>96832.429135534141</v>
      </c>
      <c r="E26" s="104">
        <f t="shared" si="8"/>
        <v>0</v>
      </c>
      <c r="F26" s="149">
        <f t="shared" si="9"/>
        <v>50000</v>
      </c>
      <c r="G26" s="100">
        <f t="shared" si="7"/>
        <v>46832.429135534141</v>
      </c>
      <c r="H26" s="101">
        <f>G26*(1+0.07)^-(B26-Assumptions!$C$6)</f>
        <v>9232.8551080620873</v>
      </c>
      <c r="I26" s="317"/>
      <c r="J26" s="317"/>
    </row>
    <row r="27" spans="2:13" ht="15.75" thickBot="1" x14ac:dyDescent="0.3">
      <c r="B27" s="52">
        <f t="shared" si="10"/>
        <v>2046</v>
      </c>
      <c r="C27" s="104">
        <f t="shared" si="11"/>
        <v>0</v>
      </c>
      <c r="D27" s="441">
        <f t="shared" si="5"/>
        <v>97800.753426889452</v>
      </c>
      <c r="E27" s="104">
        <f>IFERROR(VLOOKUP($B27-2026,$K$21:$L$22,2,FALSE),0)*$K$10*4</f>
        <v>1520000</v>
      </c>
      <c r="F27" s="149">
        <f t="shared" si="9"/>
        <v>50000</v>
      </c>
      <c r="G27" s="100">
        <f t="shared" si="7"/>
        <v>47800.753426889452</v>
      </c>
      <c r="H27" s="101">
        <f>G27*(1+0.07)^-(B27-Assumptions!$C$6)</f>
        <v>8807.2495038477555</v>
      </c>
      <c r="I27" s="317"/>
      <c r="J27" s="317"/>
    </row>
    <row r="28" spans="2:13" ht="15.75" thickBot="1" x14ac:dyDescent="0.3">
      <c r="B28" s="424"/>
      <c r="C28" s="4"/>
      <c r="D28" s="4"/>
      <c r="E28" s="4"/>
      <c r="F28" s="4"/>
      <c r="G28" s="137">
        <f>SUM(G8:G27)</f>
        <v>782517.36286715022</v>
      </c>
      <c r="H28" s="137">
        <f>SUM(H8:H27)</f>
        <v>280978.77095015964</v>
      </c>
      <c r="I28" s="317"/>
      <c r="J28" s="317"/>
    </row>
    <row r="29" spans="2:13" x14ac:dyDescent="0.25">
      <c r="B29" s="424"/>
      <c r="C29" t="s">
        <v>1178</v>
      </c>
      <c r="D29" s="259">
        <v>0.01</v>
      </c>
      <c r="E29" s="259"/>
      <c r="F29" s="259"/>
      <c r="J29" s="317"/>
    </row>
    <row r="30" spans="2:13" x14ac:dyDescent="0.25">
      <c r="B30" s="424"/>
      <c r="J30" s="317"/>
    </row>
    <row r="31" spans="2:13" ht="15" customHeight="1" x14ac:dyDescent="0.25">
      <c r="B31" s="424"/>
      <c r="J31" s="317"/>
    </row>
    <row r="32" spans="2:13" ht="15" customHeight="1" x14ac:dyDescent="0.25">
      <c r="B32" s="4"/>
      <c r="J32" s="317"/>
    </row>
    <row r="33" spans="2:12" x14ac:dyDescent="0.25">
      <c r="F33" s="7"/>
      <c r="G33" s="6"/>
      <c r="H33" s="6"/>
      <c r="I33" s="43"/>
      <c r="J33" s="317"/>
    </row>
    <row r="34" spans="2:12" x14ac:dyDescent="0.25">
      <c r="B34" s="6"/>
      <c r="C34" s="6"/>
      <c r="D34" s="6"/>
      <c r="E34" s="6"/>
      <c r="F34" s="6"/>
      <c r="G34" s="43"/>
      <c r="H34" s="43"/>
      <c r="J34" s="317"/>
    </row>
    <row r="35" spans="2:12" x14ac:dyDescent="0.25">
      <c r="B35" s="43"/>
      <c r="C35" s="43"/>
      <c r="D35" s="43"/>
      <c r="E35" s="43"/>
      <c r="F35" s="43"/>
      <c r="G35" s="43"/>
      <c r="H35" s="43"/>
      <c r="J35" s="317"/>
      <c r="K35" s="6" t="s">
        <v>1229</v>
      </c>
    </row>
    <row r="36" spans="2:12" x14ac:dyDescent="0.25">
      <c r="B36" s="43"/>
      <c r="C36" s="43"/>
      <c r="D36" s="43"/>
      <c r="E36" s="43"/>
      <c r="F36" s="43"/>
      <c r="G36" s="43"/>
      <c r="H36" s="43"/>
      <c r="J36" s="317"/>
      <c r="K36" s="45" t="s">
        <v>664</v>
      </c>
      <c r="L36" s="322">
        <v>44743</v>
      </c>
    </row>
    <row r="37" spans="2:12" x14ac:dyDescent="0.25">
      <c r="B37" s="43"/>
      <c r="C37" s="43"/>
      <c r="D37" s="43"/>
      <c r="E37" s="43"/>
      <c r="F37" s="43"/>
      <c r="J37" s="317"/>
      <c r="K37" s="45" t="s">
        <v>665</v>
      </c>
      <c r="L37" s="322">
        <v>42117</v>
      </c>
    </row>
    <row r="38" spans="2:12" x14ac:dyDescent="0.25">
      <c r="J38" s="317"/>
      <c r="K38" s="45" t="s">
        <v>666</v>
      </c>
      <c r="L38" s="323">
        <f>(L36-L37)/365.25</f>
        <v>7.1895961670088981</v>
      </c>
    </row>
    <row r="39" spans="2:12" x14ac:dyDescent="0.25">
      <c r="J39" s="317"/>
      <c r="K39" s="45" t="s">
        <v>692</v>
      </c>
      <c r="L39" s="45">
        <v>8</v>
      </c>
    </row>
    <row r="40" spans="2:12" x14ac:dyDescent="0.25">
      <c r="J40" s="317"/>
      <c r="K40" s="45" t="s">
        <v>693</v>
      </c>
      <c r="L40" s="325">
        <v>10000</v>
      </c>
    </row>
    <row r="41" spans="2:12" x14ac:dyDescent="0.25">
      <c r="J41" s="317"/>
      <c r="K41" s="45" t="s">
        <v>694</v>
      </c>
      <c r="L41" s="219">
        <f>L39/L38*20</f>
        <v>22.254379284082255</v>
      </c>
    </row>
    <row r="42" spans="2:12" x14ac:dyDescent="0.25">
      <c r="J42" s="317"/>
      <c r="K42" s="45" t="s">
        <v>667</v>
      </c>
      <c r="L42" s="325">
        <f>L40*L41</f>
        <v>222543.79284082254</v>
      </c>
    </row>
    <row r="43" spans="2:12" x14ac:dyDescent="0.25">
      <c r="J43" s="317"/>
      <c r="K43" s="45" t="s">
        <v>668</v>
      </c>
      <c r="L43" s="325">
        <f>L42/L38</f>
        <v>30953.587332486837</v>
      </c>
    </row>
    <row r="44" spans="2:12" x14ac:dyDescent="0.25">
      <c r="J44" s="317"/>
      <c r="K44" s="45" t="s">
        <v>682</v>
      </c>
      <c r="L44" s="325">
        <v>50000</v>
      </c>
    </row>
    <row r="45" spans="2:12" x14ac:dyDescent="0.25">
      <c r="J45" s="317"/>
    </row>
    <row r="46" spans="2:12" x14ac:dyDescent="0.25">
      <c r="J46" s="317"/>
    </row>
    <row r="47" spans="2:12" x14ac:dyDescent="0.25">
      <c r="J47" s="317"/>
    </row>
    <row r="48" spans="2:12" x14ac:dyDescent="0.25">
      <c r="J48" s="317"/>
    </row>
    <row r="49" spans="1:12" x14ac:dyDescent="0.25">
      <c r="A49" s="7"/>
      <c r="J49" s="317"/>
    </row>
    <row r="50" spans="1:12" x14ac:dyDescent="0.25">
      <c r="J50" s="317"/>
    </row>
    <row r="51" spans="1:12" x14ac:dyDescent="0.25">
      <c r="K51" s="317"/>
      <c r="L51" s="317"/>
    </row>
    <row r="52" spans="1:12" x14ac:dyDescent="0.25">
      <c r="K52" s="317"/>
      <c r="L52" s="317"/>
    </row>
    <row r="53" spans="1:12" x14ac:dyDescent="0.25">
      <c r="K53" s="317"/>
      <c r="L53" s="317"/>
    </row>
    <row r="54" spans="1:12" x14ac:dyDescent="0.25">
      <c r="J54" s="43"/>
      <c r="K54" s="43"/>
    </row>
    <row r="55" spans="1:12" x14ac:dyDescent="0.25">
      <c r="J55" s="43"/>
    </row>
  </sheetData>
  <mergeCells count="7">
    <mergeCell ref="B6:B7"/>
    <mergeCell ref="C5:D5"/>
    <mergeCell ref="E5:F5"/>
    <mergeCell ref="G6:G7"/>
    <mergeCell ref="H6:H7"/>
    <mergeCell ref="D6:D7"/>
    <mergeCell ref="F6:F7"/>
  </mergeCells>
  <pageMargins left="0.25" right="0.25" top="0.75" bottom="0.75" header="0.3" footer="0.3"/>
  <pageSetup paperSize="3"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C00000"/>
    <pageSetUpPr fitToPage="1"/>
  </sheetPr>
  <dimension ref="A1:R60"/>
  <sheetViews>
    <sheetView view="pageBreakPreview" topLeftCell="A7" zoomScale="70" zoomScaleNormal="85" zoomScaleSheetLayoutView="70" workbookViewId="0">
      <selection activeCell="D37" sqref="D37"/>
    </sheetView>
  </sheetViews>
  <sheetFormatPr defaultRowHeight="15" x14ac:dyDescent="0.25"/>
  <cols>
    <col min="1" max="1" width="5.140625" customWidth="1"/>
    <col min="2" max="7" width="15.7109375" customWidth="1"/>
    <col min="8" max="8" width="20.28515625" customWidth="1"/>
    <col min="9" max="9" width="20.42578125" customWidth="1"/>
    <col min="10" max="13" width="15.7109375" customWidth="1"/>
    <col min="14" max="14" width="23.85546875" customWidth="1"/>
    <col min="15" max="17" width="21.140625" customWidth="1"/>
    <col min="18" max="18" width="24.85546875" bestFit="1" customWidth="1"/>
    <col min="19" max="19" width="16" customWidth="1"/>
  </cols>
  <sheetData>
    <row r="1" spans="2:15" x14ac:dyDescent="0.25">
      <c r="B1">
        <v>1</v>
      </c>
      <c r="C1">
        <f>B1+1</f>
        <v>2</v>
      </c>
      <c r="D1">
        <f t="shared" ref="D1:F1" si="0">C1+1</f>
        <v>3</v>
      </c>
      <c r="E1">
        <f t="shared" si="0"/>
        <v>4</v>
      </c>
      <c r="F1">
        <f t="shared" si="0"/>
        <v>5</v>
      </c>
    </row>
    <row r="2" spans="2:15" x14ac:dyDescent="0.25">
      <c r="B2" s="6" t="s">
        <v>76</v>
      </c>
    </row>
    <row r="3" spans="2:15" ht="18.75" customHeight="1" thickBot="1" x14ac:dyDescent="0.3">
      <c r="H3" s="6" t="s">
        <v>33</v>
      </c>
    </row>
    <row r="4" spans="2:15" ht="15.75" customHeight="1" thickBot="1" x14ac:dyDescent="0.3">
      <c r="C4" s="542" t="s">
        <v>9</v>
      </c>
      <c r="D4" s="543"/>
      <c r="E4" s="542" t="s">
        <v>18</v>
      </c>
      <c r="F4" s="543"/>
      <c r="I4" s="93" t="s">
        <v>86</v>
      </c>
      <c r="J4" s="49"/>
    </row>
    <row r="5" spans="2:15" ht="15.75" thickBot="1" x14ac:dyDescent="0.3">
      <c r="C5" s="581" t="s">
        <v>31</v>
      </c>
      <c r="D5" s="581"/>
      <c r="E5" s="581" t="s">
        <v>31</v>
      </c>
      <c r="F5" s="581"/>
      <c r="H5" s="9" t="s">
        <v>34</v>
      </c>
      <c r="I5" s="136">
        <f>Assumptions!C7</f>
        <v>2025</v>
      </c>
    </row>
    <row r="6" spans="2:15" ht="15.75" customHeight="1" x14ac:dyDescent="0.25">
      <c r="B6" s="532" t="s">
        <v>0</v>
      </c>
      <c r="C6" s="532" t="s">
        <v>21</v>
      </c>
      <c r="D6" s="509" t="s">
        <v>1</v>
      </c>
      <c r="E6" s="532" t="s">
        <v>64</v>
      </c>
      <c r="F6" s="501" t="s">
        <v>65</v>
      </c>
      <c r="H6" s="9" t="s">
        <v>32</v>
      </c>
      <c r="I6" s="136">
        <f>Assumptions!C8</f>
        <v>2</v>
      </c>
    </row>
    <row r="7" spans="2:15" ht="15.75" customHeight="1" thickBot="1" x14ac:dyDescent="0.3">
      <c r="B7" s="582"/>
      <c r="C7" s="582"/>
      <c r="D7" s="510"/>
      <c r="E7" s="582"/>
      <c r="F7" s="502"/>
    </row>
    <row r="8" spans="2:15" ht="15.75" customHeight="1" x14ac:dyDescent="0.25">
      <c r="B8" s="66">
        <f>Assumptions!$C$6</f>
        <v>2021</v>
      </c>
      <c r="C8" s="98">
        <f t="shared" ref="C8:C35" si="1">IF(AND($B8&gt;=$I$5,$B8&lt;$I$5+$I$6),($K$19)/$I$6,0)</f>
        <v>0</v>
      </c>
      <c r="D8" s="65">
        <f>C8*(1+0.07)^-($B8-Assumptions!$C$6)</f>
        <v>0</v>
      </c>
      <c r="E8" s="68">
        <f>IF($B8=Assumptions!$C$11,'Capital Costs'!$J$32,0)</f>
        <v>0</v>
      </c>
      <c r="F8" s="123">
        <f>E8*(1+0.07)^-(B8-Assumptions!$C$6)</f>
        <v>0</v>
      </c>
      <c r="G8" s="317"/>
      <c r="H8" s="6" t="s">
        <v>35</v>
      </c>
    </row>
    <row r="9" spans="2:15" ht="15.75" customHeight="1" thickBot="1" x14ac:dyDescent="0.3">
      <c r="B9" s="150">
        <f>B8+1</f>
        <v>2022</v>
      </c>
      <c r="C9" s="99">
        <f t="shared" si="1"/>
        <v>0</v>
      </c>
      <c r="D9" s="97">
        <f>C9*(1+0.07)^-($B9-Assumptions!$C$6)</f>
        <v>0</v>
      </c>
      <c r="E9" s="122">
        <f>IF($B9=Assumptions!$C$11,'Capital Costs'!$J$32,0)</f>
        <v>0</v>
      </c>
      <c r="F9" s="124">
        <f>E9*(1+0.07)^-(B9-Assumptions!$C$6)</f>
        <v>0</v>
      </c>
      <c r="G9" s="13"/>
      <c r="H9" s="6"/>
      <c r="J9" s="6"/>
      <c r="K9" s="93" t="s">
        <v>87</v>
      </c>
    </row>
    <row r="10" spans="2:15" ht="15.75" customHeight="1" x14ac:dyDescent="0.25">
      <c r="B10" s="66">
        <f t="shared" ref="B10:B35" si="2">B9+1</f>
        <v>2023</v>
      </c>
      <c r="C10" s="152">
        <f t="shared" si="1"/>
        <v>0</v>
      </c>
      <c r="D10" s="65">
        <f>C10*(1+0.07)^-($B10-Assumptions!$C$6)</f>
        <v>0</v>
      </c>
      <c r="E10" s="155">
        <f>IF($B10=Assumptions!$C$11,'Capital Costs'!$J$32,0)</f>
        <v>0</v>
      </c>
      <c r="F10" s="125">
        <f>E10*(1+0.07)^-(B10-Assumptions!$C$6)</f>
        <v>0</v>
      </c>
      <c r="G10" s="13"/>
      <c r="H10" s="592" t="s">
        <v>5</v>
      </c>
      <c r="I10" s="595" t="s">
        <v>6</v>
      </c>
      <c r="J10" s="583" t="s">
        <v>699</v>
      </c>
      <c r="K10" s="583" t="s">
        <v>274</v>
      </c>
      <c r="N10" t="s">
        <v>696</v>
      </c>
    </row>
    <row r="11" spans="2:15" ht="15.75" customHeight="1" x14ac:dyDescent="0.25">
      <c r="B11" s="105">
        <f t="shared" si="2"/>
        <v>2024</v>
      </c>
      <c r="C11" s="153">
        <f t="shared" si="1"/>
        <v>0</v>
      </c>
      <c r="D11" s="87">
        <f>C11*(1+0.07)^-($B11-Assumptions!$C$6)</f>
        <v>0</v>
      </c>
      <c r="E11" s="156">
        <f>IF($B11=Assumptions!$C$11,'Capital Costs'!$J$32,0)</f>
        <v>0</v>
      </c>
      <c r="F11" s="126">
        <f>E11*(1+0.07)^-(B11-Assumptions!$C$6)</f>
        <v>0</v>
      </c>
      <c r="G11" s="13"/>
      <c r="H11" s="593"/>
      <c r="I11" s="596"/>
      <c r="J11" s="584"/>
      <c r="K11" s="584"/>
    </row>
    <row r="12" spans="2:15" ht="15.75" customHeight="1" x14ac:dyDescent="0.25">
      <c r="B12" s="105">
        <f t="shared" si="2"/>
        <v>2025</v>
      </c>
      <c r="C12" s="153">
        <f>IF(AND($B12&gt;=$I$5,$B12&lt;$I$5+$I$6),($K$19)/$I$6,0)</f>
        <v>14194808.2610345</v>
      </c>
      <c r="D12" s="87">
        <f>C12*(1+0.07)^-($B12-Assumptions!$C$6)</f>
        <v>10829151.258275878</v>
      </c>
      <c r="E12" s="156">
        <f>IF($B12=Assumptions!$C$11,'Capital Costs'!$J$32,0)</f>
        <v>0</v>
      </c>
      <c r="F12" s="126">
        <f>E12*(1+0.07)^-(B12-Assumptions!$C$6)</f>
        <v>0</v>
      </c>
      <c r="G12" s="13"/>
      <c r="H12" s="594"/>
      <c r="I12" s="597"/>
      <c r="J12" s="585"/>
      <c r="K12" s="585"/>
      <c r="N12" s="45" t="s">
        <v>697</v>
      </c>
      <c r="O12" s="45" t="s">
        <v>698</v>
      </c>
    </row>
    <row r="13" spans="2:15" ht="15.75" customHeight="1" x14ac:dyDescent="0.25">
      <c r="B13" s="105">
        <f t="shared" si="2"/>
        <v>2026</v>
      </c>
      <c r="C13" s="153">
        <f t="shared" si="1"/>
        <v>14194808.2610345</v>
      </c>
      <c r="D13" s="87">
        <f>C13*(1+0.07)^-($B13-Assumptions!$C$6)</f>
        <v>10120702.110538203</v>
      </c>
      <c r="E13" s="156">
        <f>IF($B13=Assumptions!$C$11,'Capital Costs'!$J$32,0)</f>
        <v>0</v>
      </c>
      <c r="F13" s="126">
        <f>E13*(1+0.07)^-(B13-Assumptions!$C$6)</f>
        <v>0</v>
      </c>
      <c r="G13" s="13"/>
      <c r="H13" s="9" t="s">
        <v>23</v>
      </c>
      <c r="I13" s="27">
        <v>100</v>
      </c>
      <c r="J13" s="102">
        <f>O16</f>
        <v>700000</v>
      </c>
      <c r="K13" s="102">
        <f>J13*$H$35</f>
        <v>654337.53695200954</v>
      </c>
      <c r="N13" s="45" t="s">
        <v>275</v>
      </c>
      <c r="O13" s="326">
        <v>20408971</v>
      </c>
    </row>
    <row r="14" spans="2:15" ht="15.75" customHeight="1" x14ac:dyDescent="0.25">
      <c r="B14" s="105">
        <f t="shared" si="2"/>
        <v>2027</v>
      </c>
      <c r="C14" s="153">
        <f t="shared" si="1"/>
        <v>0</v>
      </c>
      <c r="D14" s="87">
        <f>C14*(1+0.07)^-($B14-Assumptions!$C$6)</f>
        <v>0</v>
      </c>
      <c r="E14" s="156">
        <f>IF($B14=Assumptions!$C$11,'Capital Costs'!$J$32,0)</f>
        <v>0</v>
      </c>
      <c r="F14" s="126">
        <f>E14*(1+0.07)^-(B14-Assumptions!$C$6)</f>
        <v>0</v>
      </c>
      <c r="G14" s="13"/>
      <c r="H14" s="9" t="s">
        <v>24</v>
      </c>
      <c r="I14" s="27">
        <v>60</v>
      </c>
      <c r="J14" s="102">
        <v>0</v>
      </c>
      <c r="K14" s="102">
        <f t="shared" ref="K14:K18" si="3">J14*$H$35</f>
        <v>0</v>
      </c>
      <c r="N14" s="45" t="s">
        <v>276</v>
      </c>
      <c r="O14" s="326">
        <v>4081794</v>
      </c>
    </row>
    <row r="15" spans="2:15" ht="15.75" customHeight="1" x14ac:dyDescent="0.25">
      <c r="B15" s="105">
        <f t="shared" si="2"/>
        <v>2028</v>
      </c>
      <c r="C15" s="153">
        <f t="shared" si="1"/>
        <v>0</v>
      </c>
      <c r="D15" s="87">
        <f>C15*(1+0.07)^-($B15-Assumptions!$C$6)</f>
        <v>0</v>
      </c>
      <c r="E15" s="156">
        <f>IF($B15=Assumptions!$C$11,'Capital Costs'!$J$32,0)</f>
        <v>0</v>
      </c>
      <c r="F15" s="126">
        <f>E15*(1+0.07)^-(B15-Assumptions!$C$6)</f>
        <v>0</v>
      </c>
      <c r="G15" s="13"/>
      <c r="H15" s="9" t="s">
        <v>25</v>
      </c>
      <c r="I15" s="27">
        <v>50</v>
      </c>
      <c r="J15" s="102">
        <v>0</v>
      </c>
      <c r="K15" s="102">
        <f t="shared" si="3"/>
        <v>0</v>
      </c>
      <c r="N15" s="45" t="s">
        <v>277</v>
      </c>
      <c r="O15" s="326">
        <v>980000</v>
      </c>
    </row>
    <row r="16" spans="2:15" ht="15.75" customHeight="1" x14ac:dyDescent="0.25">
      <c r="B16" s="105">
        <f t="shared" ref="B16:B28" si="4">B15+1</f>
        <v>2029</v>
      </c>
      <c r="C16" s="153">
        <f t="shared" si="1"/>
        <v>0</v>
      </c>
      <c r="D16" s="87">
        <f>C16*(1+0.07)^-($B16-Assumptions!$C$6)</f>
        <v>0</v>
      </c>
      <c r="E16" s="156">
        <f>IF($B16=Assumptions!$C$11,'Capital Costs'!$J$32,0)</f>
        <v>0</v>
      </c>
      <c r="F16" s="126">
        <f>E16*(1+0.07)^-(B16-Assumptions!$C$6)</f>
        <v>0</v>
      </c>
      <c r="G16" s="13"/>
      <c r="H16" s="9" t="s">
        <v>26</v>
      </c>
      <c r="I16" s="27">
        <v>40</v>
      </c>
      <c r="J16" s="102">
        <v>0</v>
      </c>
      <c r="K16" s="102">
        <f t="shared" si="3"/>
        <v>0</v>
      </c>
      <c r="N16" s="45" t="s">
        <v>278</v>
      </c>
      <c r="O16" s="326">
        <v>700000</v>
      </c>
    </row>
    <row r="17" spans="2:15" ht="15.75" customHeight="1" x14ac:dyDescent="0.25">
      <c r="B17" s="105">
        <f t="shared" si="4"/>
        <v>2030</v>
      </c>
      <c r="C17" s="153">
        <f t="shared" si="1"/>
        <v>0</v>
      </c>
      <c r="D17" s="87">
        <f>C17*(1+0.07)^-($B17-Assumptions!$C$6)</f>
        <v>0</v>
      </c>
      <c r="E17" s="156">
        <f>IF($B17=Assumptions!$C$11,'Capital Costs'!$J$32,0)</f>
        <v>0</v>
      </c>
      <c r="F17" s="126">
        <f>E17*(1+0.07)^-(B17-Assumptions!$C$6)</f>
        <v>0</v>
      </c>
      <c r="G17" s="13"/>
      <c r="H17" s="9" t="s">
        <v>27</v>
      </c>
      <c r="I17" s="27">
        <v>25</v>
      </c>
      <c r="J17" s="102">
        <f>O13+O15</f>
        <v>21388971</v>
      </c>
      <c r="K17" s="102">
        <f t="shared" si="3"/>
        <v>19993723.717254229</v>
      </c>
      <c r="N17" s="45" t="s">
        <v>279</v>
      </c>
      <c r="O17" s="326">
        <v>2500000</v>
      </c>
    </row>
    <row r="18" spans="2:15" ht="15.75" customHeight="1" x14ac:dyDescent="0.25">
      <c r="B18" s="105">
        <f t="shared" si="4"/>
        <v>2031</v>
      </c>
      <c r="C18" s="153">
        <f t="shared" si="1"/>
        <v>0</v>
      </c>
      <c r="D18" s="87">
        <f>C18*(1+0.07)^-($B18-Assumptions!$C$6)</f>
        <v>0</v>
      </c>
      <c r="E18" s="156">
        <f>IF($B18=Assumptions!$C$11,'Capital Costs'!$J$32,0)</f>
        <v>0</v>
      </c>
      <c r="F18" s="126">
        <f>E18*(1+0.07)^-(B18-Assumptions!$C$6)</f>
        <v>0</v>
      </c>
      <c r="G18" s="13"/>
      <c r="H18" s="9" t="s">
        <v>28</v>
      </c>
      <c r="I18" s="27" t="s">
        <v>15</v>
      </c>
      <c r="J18" s="102">
        <f>O14+O18+O17</f>
        <v>8281794</v>
      </c>
      <c r="K18" s="102">
        <f t="shared" si="3"/>
        <v>7741555.2678627586</v>
      </c>
      <c r="N18" s="45" t="s">
        <v>280</v>
      </c>
      <c r="O18" s="326">
        <v>1700000</v>
      </c>
    </row>
    <row r="19" spans="2:15" ht="15.75" customHeight="1" x14ac:dyDescent="0.25">
      <c r="B19" s="105">
        <f t="shared" si="4"/>
        <v>2032</v>
      </c>
      <c r="C19" s="153">
        <f t="shared" si="1"/>
        <v>0</v>
      </c>
      <c r="D19" s="87">
        <f>C19*(1+0.07)^-($B19-Assumptions!$C$6)</f>
        <v>0</v>
      </c>
      <c r="E19" s="156">
        <f>IF($B19=Assumptions!$C$11,'Capital Costs'!$J$32,0)</f>
        <v>0</v>
      </c>
      <c r="F19" s="126">
        <f>E19*(1+0.07)^-(B19-Assumptions!$C$6)</f>
        <v>0</v>
      </c>
      <c r="G19" s="13"/>
      <c r="H19" s="591" t="s">
        <v>31</v>
      </c>
      <c r="I19" s="591"/>
      <c r="J19" s="102">
        <f>SUM(J13:J18)</f>
        <v>30370765</v>
      </c>
      <c r="K19" s="25">
        <f>SUM(K13:K18)</f>
        <v>28389616.522069</v>
      </c>
      <c r="N19" s="45" t="s">
        <v>281</v>
      </c>
      <c r="O19" s="326">
        <v>30370765</v>
      </c>
    </row>
    <row r="20" spans="2:15" ht="15.75" customHeight="1" x14ac:dyDescent="0.25">
      <c r="B20" s="105">
        <f t="shared" si="4"/>
        <v>2033</v>
      </c>
      <c r="C20" s="153">
        <f t="shared" si="1"/>
        <v>0</v>
      </c>
      <c r="D20" s="87">
        <f>C20*(1+0.07)^-($B20-Assumptions!$C$6)</f>
        <v>0</v>
      </c>
      <c r="E20" s="156">
        <f>IF($B20=Assumptions!$C$11,'Capital Costs'!$J$32,0)</f>
        <v>0</v>
      </c>
      <c r="F20" s="126">
        <f>E20*(1+0.07)^-(B20-Assumptions!$C$6)</f>
        <v>0</v>
      </c>
      <c r="G20" s="13"/>
    </row>
    <row r="21" spans="2:15" ht="15.75" customHeight="1" x14ac:dyDescent="0.25">
      <c r="B21" s="105">
        <f t="shared" si="4"/>
        <v>2034</v>
      </c>
      <c r="C21" s="153">
        <f t="shared" si="1"/>
        <v>0</v>
      </c>
      <c r="D21" s="87">
        <f>C21*(1+0.07)^-($B21-Assumptions!$C$6)</f>
        <v>0</v>
      </c>
      <c r="E21" s="156">
        <f>IF($B21=Assumptions!$C$11,'Capital Costs'!$J$32,0)</f>
        <v>0</v>
      </c>
      <c r="F21" s="126">
        <f>E21*(1+0.07)^-(B21-Assumptions!$C$6)</f>
        <v>0</v>
      </c>
      <c r="G21" s="13"/>
      <c r="H21" s="6" t="s">
        <v>73</v>
      </c>
    </row>
    <row r="22" spans="2:15" ht="15.75" customHeight="1" x14ac:dyDescent="0.25">
      <c r="B22" s="105">
        <f t="shared" si="4"/>
        <v>2035</v>
      </c>
      <c r="C22" s="153">
        <f t="shared" si="1"/>
        <v>0</v>
      </c>
      <c r="D22" s="87">
        <f>C22*(1+0.07)^-($B22-Assumptions!$C$6)</f>
        <v>0</v>
      </c>
      <c r="E22" s="156">
        <f>IF($B22=Assumptions!$C$11,'Capital Costs'!$J$32,0)</f>
        <v>0</v>
      </c>
      <c r="F22" s="126">
        <f>E22*(1+0.07)^-(B22-Assumptions!$C$6)</f>
        <v>0</v>
      </c>
      <c r="G22" s="13"/>
      <c r="H22" s="23"/>
      <c r="I22" s="8"/>
      <c r="J22" s="93" t="s">
        <v>87</v>
      </c>
      <c r="K22" s="6"/>
    </row>
    <row r="23" spans="2:15" ht="15.75" customHeight="1" x14ac:dyDescent="0.25">
      <c r="B23" s="105">
        <f t="shared" si="4"/>
        <v>2036</v>
      </c>
      <c r="C23" s="153">
        <f t="shared" si="1"/>
        <v>0</v>
      </c>
      <c r="D23" s="87">
        <f>C23*(1+0.07)^-($B23-Assumptions!$C$6)</f>
        <v>0</v>
      </c>
      <c r="E23" s="156">
        <f>IF($B23=Assumptions!$C$11,'Capital Costs'!$J$32,0)</f>
        <v>0</v>
      </c>
      <c r="F23" s="126">
        <f>E23*(1+0.07)^-(B23-Assumptions!$C$6)</f>
        <v>0</v>
      </c>
      <c r="G23" s="13"/>
      <c r="H23" s="592" t="s">
        <v>5</v>
      </c>
      <c r="I23" s="586" t="s">
        <v>16</v>
      </c>
      <c r="J23" s="586" t="s">
        <v>17</v>
      </c>
      <c r="K23" s="90"/>
    </row>
    <row r="24" spans="2:15" ht="15.75" customHeight="1" x14ac:dyDescent="0.25">
      <c r="B24" s="105">
        <f t="shared" si="4"/>
        <v>2037</v>
      </c>
      <c r="C24" s="153">
        <f t="shared" si="1"/>
        <v>0</v>
      </c>
      <c r="D24" s="87">
        <f>C24*(1+0.07)^-($B24-Assumptions!$C$6)</f>
        <v>0</v>
      </c>
      <c r="E24" s="156">
        <f>IF($B24=Assumptions!$C$11,'Capital Costs'!$J$32,0)</f>
        <v>0</v>
      </c>
      <c r="F24" s="126">
        <f>E24*(1+0.07)^-(B24-Assumptions!$C$6)</f>
        <v>0</v>
      </c>
      <c r="G24" s="13"/>
      <c r="H24" s="593"/>
      <c r="I24" s="587"/>
      <c r="J24" s="587"/>
      <c r="K24" s="90"/>
    </row>
    <row r="25" spans="2:15" ht="15.75" customHeight="1" x14ac:dyDescent="0.25">
      <c r="B25" s="105">
        <f t="shared" si="4"/>
        <v>2038</v>
      </c>
      <c r="C25" s="153">
        <f t="shared" si="1"/>
        <v>0</v>
      </c>
      <c r="D25" s="87">
        <f>C25*(1+0.07)^-($B25-Assumptions!$C$6)</f>
        <v>0</v>
      </c>
      <c r="E25" s="156">
        <f>IF($B25=Assumptions!$C$11,'Capital Costs'!$J$32,0)</f>
        <v>0</v>
      </c>
      <c r="F25" s="126">
        <f>E25*(1+0.07)^-(B25-Assumptions!$C$6)</f>
        <v>0</v>
      </c>
      <c r="G25" s="13"/>
      <c r="H25" s="594"/>
      <c r="I25" s="588"/>
      <c r="J25" s="588"/>
      <c r="K25" s="90"/>
    </row>
    <row r="26" spans="2:15" ht="15.75" customHeight="1" x14ac:dyDescent="0.25">
      <c r="B26" s="105">
        <f t="shared" si="4"/>
        <v>2039</v>
      </c>
      <c r="C26" s="153">
        <f t="shared" si="1"/>
        <v>0</v>
      </c>
      <c r="D26" s="87">
        <f>C26*(1+0.07)^-($B26-Assumptions!$C$6)</f>
        <v>0</v>
      </c>
      <c r="E26" s="156">
        <f>IF($B26=Assumptions!$C$11,'Capital Costs'!$J$32,0)</f>
        <v>0</v>
      </c>
      <c r="F26" s="126">
        <f>E26*(1+0.07)^-(B26-Assumptions!$C$6)</f>
        <v>0</v>
      </c>
      <c r="G26" s="13"/>
      <c r="H26" s="9" t="s">
        <v>23</v>
      </c>
      <c r="I26" s="92">
        <v>0.99668901533542598</v>
      </c>
      <c r="J26" s="75">
        <f t="shared" ref="J26:J31" si="5">I26*K13</f>
        <v>652171.03540170635</v>
      </c>
      <c r="K26" s="91"/>
    </row>
    <row r="27" spans="2:15" ht="15.75" customHeight="1" x14ac:dyDescent="0.25">
      <c r="B27" s="105">
        <f t="shared" si="4"/>
        <v>2040</v>
      </c>
      <c r="C27" s="153">
        <f t="shared" si="1"/>
        <v>0</v>
      </c>
      <c r="D27" s="87">
        <f>C27*(1+0.07)^-($B27-Assumptions!$C$6)</f>
        <v>0</v>
      </c>
      <c r="E27" s="156">
        <f>IF($B27=Assumptions!$C$11,'Capital Costs'!$J$32,0)</f>
        <v>0</v>
      </c>
      <c r="F27" s="126">
        <f>E27*(1+0.07)^-(B27-Assumptions!$C$6)</f>
        <v>0</v>
      </c>
      <c r="G27" s="13"/>
      <c r="H27" s="9" t="s">
        <v>24</v>
      </c>
      <c r="I27" s="92">
        <v>0.94960729545289124</v>
      </c>
      <c r="J27" s="75">
        <f t="shared" si="5"/>
        <v>0</v>
      </c>
      <c r="K27" s="91"/>
    </row>
    <row r="28" spans="2:15" ht="15.75" customHeight="1" x14ac:dyDescent="0.25">
      <c r="B28" s="105">
        <f t="shared" si="4"/>
        <v>2041</v>
      </c>
      <c r="C28" s="153">
        <f t="shared" si="1"/>
        <v>0</v>
      </c>
      <c r="D28" s="87">
        <f>C28*(1+0.07)^-($B28-Assumptions!$C$6)</f>
        <v>0</v>
      </c>
      <c r="E28" s="156">
        <f>IF($B28=Assumptions!$C$11,'Capital Costs'!$J$32,0)</f>
        <v>0</v>
      </c>
      <c r="F28" s="126">
        <f>E28*(1+0.07)^-(B28-Assumptions!$C$6)</f>
        <v>0</v>
      </c>
      <c r="G28" s="13"/>
      <c r="H28" s="9" t="s">
        <v>25</v>
      </c>
      <c r="I28" s="92">
        <v>0.89915725708762995</v>
      </c>
      <c r="J28" s="75">
        <f t="shared" si="5"/>
        <v>0</v>
      </c>
      <c r="K28" s="91"/>
    </row>
    <row r="29" spans="2:15" ht="15.75" customHeight="1" x14ac:dyDescent="0.25">
      <c r="B29" s="105">
        <f t="shared" si="2"/>
        <v>2042</v>
      </c>
      <c r="C29" s="153">
        <f t="shared" si="1"/>
        <v>0</v>
      </c>
      <c r="D29" s="87">
        <f>C29*(1+0.07)^-($B29-Assumptions!$C$6)</f>
        <v>0</v>
      </c>
      <c r="E29" s="156">
        <f>IF($B29=Assumptions!$C$11,'Capital Costs'!$J$32,0)</f>
        <v>0</v>
      </c>
      <c r="F29" s="126">
        <f>E29*(1+0.07)^-(B29-Assumptions!$C$6)</f>
        <v>0</v>
      </c>
      <c r="G29" s="13"/>
      <c r="H29" s="9" t="s">
        <v>26</v>
      </c>
      <c r="I29" s="92">
        <v>0.79464788577092815</v>
      </c>
      <c r="J29" s="75">
        <f t="shared" si="5"/>
        <v>0</v>
      </c>
      <c r="K29" s="91"/>
    </row>
    <row r="30" spans="2:15" ht="15.75" customHeight="1" x14ac:dyDescent="0.25">
      <c r="B30" s="105">
        <f t="shared" si="2"/>
        <v>2043</v>
      </c>
      <c r="C30" s="153">
        <f t="shared" si="1"/>
        <v>0</v>
      </c>
      <c r="D30" s="87">
        <f>C30*(1+0.07)^-($B30-Assumptions!$C$6)</f>
        <v>0</v>
      </c>
      <c r="E30" s="156">
        <f>IF($B30=Assumptions!$C$11,'Capital Costs'!$J$32,0)</f>
        <v>0</v>
      </c>
      <c r="F30" s="126">
        <f>E30*(1+0.07)^-(B30-Assumptions!$C$6)</f>
        <v>0</v>
      </c>
      <c r="G30" s="13"/>
      <c r="H30" s="9" t="s">
        <v>27</v>
      </c>
      <c r="I30" s="92">
        <v>0.35184006268551071</v>
      </c>
      <c r="J30" s="75">
        <f t="shared" si="5"/>
        <v>7034593.0059955101</v>
      </c>
      <c r="K30" s="91"/>
    </row>
    <row r="31" spans="2:15" ht="15.75" customHeight="1" x14ac:dyDescent="0.25">
      <c r="B31" s="105">
        <f t="shared" si="2"/>
        <v>2044</v>
      </c>
      <c r="C31" s="153">
        <f t="shared" si="1"/>
        <v>0</v>
      </c>
      <c r="D31" s="87">
        <f>C31*(1+0.07)^-($B31-Assumptions!$C$6)</f>
        <v>0</v>
      </c>
      <c r="E31" s="156">
        <f>IF($B31=Assumptions!$C$11,'Capital Costs'!$J$32,0)</f>
        <v>0</v>
      </c>
      <c r="F31" s="126">
        <f>E31*(1+0.07)^-(B31-Assumptions!$C$6)</f>
        <v>0</v>
      </c>
      <c r="G31" s="13"/>
      <c r="H31" s="9" t="s">
        <v>28</v>
      </c>
      <c r="I31" s="92">
        <v>0</v>
      </c>
      <c r="J31" s="75">
        <f t="shared" si="5"/>
        <v>0</v>
      </c>
      <c r="K31" s="91"/>
    </row>
    <row r="32" spans="2:15" ht="15.75" customHeight="1" x14ac:dyDescent="0.25">
      <c r="B32" s="105">
        <f t="shared" si="2"/>
        <v>2045</v>
      </c>
      <c r="C32" s="153">
        <f t="shared" si="1"/>
        <v>0</v>
      </c>
      <c r="D32" s="87">
        <f>C32*(1+0.07)^-($B32-Assumptions!$C$6)</f>
        <v>0</v>
      </c>
      <c r="E32" s="156">
        <f>IF($B32=Assumptions!$C$11,'Capital Costs'!$J$32,0)</f>
        <v>0</v>
      </c>
      <c r="F32" s="126">
        <f>E32*(1+0.07)^-(B32-Assumptions!$C$6)</f>
        <v>0</v>
      </c>
      <c r="G32" s="13"/>
      <c r="H32" s="589" t="s">
        <v>22</v>
      </c>
      <c r="I32" s="590"/>
      <c r="J32" s="26">
        <f>SUM(J26:J31)</f>
        <v>7686764.0413972167</v>
      </c>
      <c r="K32" s="89"/>
    </row>
    <row r="33" spans="1:18" ht="15.75" customHeight="1" x14ac:dyDescent="0.25">
      <c r="B33" s="105">
        <f t="shared" si="2"/>
        <v>2046</v>
      </c>
      <c r="C33" s="153">
        <f t="shared" si="1"/>
        <v>0</v>
      </c>
      <c r="D33" s="87">
        <f>C33*(1+0.07)^-($B33-Assumptions!$C$6)</f>
        <v>0</v>
      </c>
      <c r="E33" s="156">
        <f>IF($B33=Assumptions!$C$11,'Capital Costs'!$J$32,0)</f>
        <v>7686764.0413972167</v>
      </c>
      <c r="F33" s="126">
        <f>E33*(1+0.07)^-(B33-Assumptions!$C$6)</f>
        <v>1416279.9524349635</v>
      </c>
      <c r="G33" s="13"/>
    </row>
    <row r="34" spans="1:18" ht="15.75" customHeight="1" x14ac:dyDescent="0.25">
      <c r="B34" s="105">
        <f t="shared" si="2"/>
        <v>2047</v>
      </c>
      <c r="C34" s="153">
        <f t="shared" si="1"/>
        <v>0</v>
      </c>
      <c r="D34" s="87">
        <f>C34*(1+0.07)^-($B34-Assumptions!$C$6)</f>
        <v>0</v>
      </c>
      <c r="E34" s="156">
        <f>IF($B34=Assumptions!$C$11,'Capital Costs'!$J$32,0)</f>
        <v>0</v>
      </c>
      <c r="F34" s="126">
        <f>E34*(1+0.07)^-(B34-Assumptions!$C$6)</f>
        <v>0</v>
      </c>
      <c r="G34" s="13"/>
      <c r="H34" s="327" t="s">
        <v>669</v>
      </c>
      <c r="I34" s="328"/>
    </row>
    <row r="35" spans="1:18" ht="15.75" customHeight="1" thickBot="1" x14ac:dyDescent="0.3">
      <c r="B35" s="151">
        <f t="shared" si="2"/>
        <v>2048</v>
      </c>
      <c r="C35" s="154">
        <f t="shared" si="1"/>
        <v>0</v>
      </c>
      <c r="D35" s="88">
        <f>C35*(1+0.07)^-($B35-Assumptions!$C$6)</f>
        <v>0</v>
      </c>
      <c r="E35" s="157">
        <f>IF($B35=Assumptions!$C$11,'Capital Costs'!$J$32,0)</f>
        <v>0</v>
      </c>
      <c r="F35" s="131">
        <f>E35*(1+0.07)^-(B35-Assumptions!$C$6)</f>
        <v>0</v>
      </c>
      <c r="G35" s="13"/>
      <c r="H35" s="329">
        <f>118.895/127.192</f>
        <v>0.93476790993144221</v>
      </c>
      <c r="I35" s="330"/>
    </row>
    <row r="36" spans="1:18" ht="15.75" customHeight="1" x14ac:dyDescent="0.25">
      <c r="C36" s="95"/>
      <c r="D36" s="95">
        <f>SUM(D8:D35)</f>
        <v>20949853.368814081</v>
      </c>
      <c r="F36" s="95">
        <f>SUM(F8:F35)</f>
        <v>1416279.9524349635</v>
      </c>
      <c r="G36" s="95">
        <f>C12-E32</f>
        <v>14194808.2610345</v>
      </c>
    </row>
    <row r="37" spans="1:18" ht="15.75" customHeight="1" x14ac:dyDescent="0.25"/>
    <row r="38" spans="1:18" ht="15.75" customHeight="1" x14ac:dyDescent="0.25"/>
    <row r="39" spans="1:18" ht="15.75" customHeight="1" x14ac:dyDescent="0.25">
      <c r="A39" s="294"/>
      <c r="B39" s="295" t="s">
        <v>3</v>
      </c>
      <c r="C39" s="294"/>
      <c r="D39" s="294"/>
      <c r="E39" s="294"/>
      <c r="F39" s="294"/>
      <c r="G39" s="163"/>
      <c r="H39" s="163"/>
      <c r="I39" s="163"/>
      <c r="J39" s="163"/>
      <c r="K39" s="163"/>
      <c r="L39" s="163"/>
    </row>
    <row r="40" spans="1:18" ht="15.75" customHeight="1" x14ac:dyDescent="0.25">
      <c r="A40" s="298" t="s">
        <v>20</v>
      </c>
      <c r="B40" s="580" t="s">
        <v>695</v>
      </c>
      <c r="C40" s="580"/>
      <c r="D40" s="580"/>
      <c r="E40" s="580"/>
      <c r="F40" s="580"/>
      <c r="G40" s="163"/>
      <c r="H40" s="163"/>
      <c r="I40" s="163"/>
      <c r="J40" s="163"/>
      <c r="K40" s="163"/>
      <c r="L40" s="163"/>
      <c r="R40" s="95"/>
    </row>
    <row r="41" spans="1:18" ht="15.75" customHeight="1" x14ac:dyDescent="0.25">
      <c r="A41" s="294"/>
      <c r="B41" s="580"/>
      <c r="C41" s="580"/>
      <c r="D41" s="580"/>
      <c r="E41" s="580"/>
      <c r="F41" s="580"/>
      <c r="G41" s="163"/>
      <c r="H41" s="163"/>
      <c r="I41" s="163"/>
      <c r="J41" s="163"/>
      <c r="K41" s="163"/>
      <c r="L41" s="163"/>
      <c r="R41" s="96"/>
    </row>
    <row r="42" spans="1:18" ht="15.75" customHeight="1" x14ac:dyDescent="0.25">
      <c r="A42" s="294"/>
      <c r="B42" s="580"/>
      <c r="C42" s="580"/>
      <c r="D42" s="580"/>
      <c r="E42" s="580"/>
      <c r="F42" s="580"/>
      <c r="G42" s="163"/>
      <c r="H42" s="163"/>
      <c r="I42" s="163"/>
      <c r="J42" s="163"/>
      <c r="K42" s="163"/>
      <c r="L42" s="163"/>
    </row>
    <row r="43" spans="1:18" ht="15.75" customHeight="1" x14ac:dyDescent="0.25">
      <c r="A43" s="298"/>
      <c r="B43" s="296"/>
      <c r="C43" s="296"/>
      <c r="D43" s="296"/>
      <c r="E43" s="296"/>
      <c r="F43" s="296"/>
      <c r="G43" s="163"/>
      <c r="H43" s="163"/>
      <c r="I43" s="163"/>
      <c r="J43" s="163"/>
      <c r="K43" s="163"/>
      <c r="L43" s="163"/>
      <c r="N43" s="174"/>
    </row>
    <row r="44" spans="1:18" ht="15.75" customHeight="1" x14ac:dyDescent="0.25">
      <c r="A44" s="298" t="s">
        <v>19</v>
      </c>
      <c r="B44" s="580" t="s">
        <v>80</v>
      </c>
      <c r="C44" s="580"/>
      <c r="D44" s="580"/>
      <c r="E44" s="580"/>
      <c r="F44" s="580"/>
      <c r="G44" s="163"/>
      <c r="H44" s="163"/>
      <c r="I44" s="163"/>
      <c r="J44" s="163"/>
      <c r="K44" s="163"/>
      <c r="L44" s="163"/>
    </row>
    <row r="45" spans="1:18" ht="15" customHeight="1" x14ac:dyDescent="0.25">
      <c r="A45" s="299"/>
      <c r="B45" s="580"/>
      <c r="C45" s="580"/>
      <c r="D45" s="580"/>
      <c r="E45" s="580"/>
      <c r="F45" s="580"/>
      <c r="G45" s="163"/>
      <c r="H45" s="163"/>
      <c r="I45" s="163"/>
      <c r="J45" s="163"/>
      <c r="K45" s="163"/>
      <c r="L45" s="163"/>
    </row>
    <row r="46" spans="1:18" x14ac:dyDescent="0.25">
      <c r="A46" s="299"/>
      <c r="B46" s="580"/>
      <c r="C46" s="580"/>
      <c r="D46" s="580"/>
      <c r="E46" s="580"/>
      <c r="F46" s="580"/>
      <c r="G46" s="163"/>
      <c r="H46" s="163"/>
      <c r="I46" s="163"/>
      <c r="J46" s="163"/>
      <c r="K46" s="163"/>
      <c r="L46" s="163"/>
    </row>
    <row r="47" spans="1:18" x14ac:dyDescent="0.25">
      <c r="A47" s="298"/>
      <c r="B47" s="580"/>
      <c r="C47" s="580"/>
      <c r="D47" s="580"/>
      <c r="E47" s="580"/>
      <c r="F47" s="580"/>
      <c r="G47" s="163"/>
      <c r="H47" s="163"/>
      <c r="I47" s="163"/>
      <c r="J47" s="163"/>
      <c r="K47" s="163"/>
      <c r="L47" s="163"/>
    </row>
    <row r="48" spans="1:18" x14ac:dyDescent="0.25">
      <c r="A48" s="294"/>
      <c r="B48" s="580"/>
      <c r="C48" s="580"/>
      <c r="D48" s="580"/>
      <c r="E48" s="580"/>
      <c r="F48" s="580"/>
      <c r="G48" s="163"/>
      <c r="H48" s="163"/>
      <c r="I48" s="163"/>
      <c r="J48" s="163"/>
      <c r="K48" s="163"/>
      <c r="L48" s="163"/>
    </row>
    <row r="49" spans="1:12" x14ac:dyDescent="0.25">
      <c r="A49" s="294"/>
      <c r="B49" s="580"/>
      <c r="C49" s="580"/>
      <c r="D49" s="580"/>
      <c r="E49" s="580"/>
      <c r="F49" s="580"/>
      <c r="G49" s="163"/>
      <c r="H49" s="163"/>
      <c r="I49" s="163"/>
      <c r="J49" s="163"/>
      <c r="K49" s="163"/>
      <c r="L49" s="163"/>
    </row>
    <row r="50" spans="1:12" ht="15" customHeight="1" x14ac:dyDescent="0.25">
      <c r="A50" s="297"/>
      <c r="B50" s="580"/>
      <c r="C50" s="580"/>
      <c r="D50" s="580"/>
      <c r="E50" s="580"/>
      <c r="F50" s="580"/>
      <c r="G50" s="163"/>
      <c r="H50" s="163"/>
      <c r="I50" s="163"/>
      <c r="J50" s="163"/>
      <c r="K50" s="163"/>
      <c r="L50" s="163"/>
    </row>
    <row r="51" spans="1:12" x14ac:dyDescent="0.25">
      <c r="A51" s="299"/>
      <c r="B51" s="580"/>
      <c r="C51" s="580"/>
      <c r="D51" s="580"/>
      <c r="E51" s="580"/>
      <c r="F51" s="580"/>
      <c r="G51" s="163"/>
      <c r="H51" s="163"/>
      <c r="I51" s="163"/>
      <c r="J51" s="163"/>
      <c r="K51" s="163"/>
      <c r="L51" s="163"/>
    </row>
    <row r="52" spans="1:12" x14ac:dyDescent="0.25">
      <c r="A52" s="294"/>
      <c r="B52" s="580"/>
      <c r="C52" s="580"/>
      <c r="D52" s="580"/>
      <c r="E52" s="580"/>
      <c r="F52" s="580"/>
    </row>
    <row r="54" spans="1:12" ht="15" customHeight="1" x14ac:dyDescent="0.25"/>
    <row r="60" spans="1:12" ht="15" customHeight="1" x14ac:dyDescent="0.25"/>
  </sheetData>
  <mergeCells count="20">
    <mergeCell ref="J10:J12"/>
    <mergeCell ref="K10:K12"/>
    <mergeCell ref="J23:J25"/>
    <mergeCell ref="H32:I32"/>
    <mergeCell ref="H19:I19"/>
    <mergeCell ref="H10:H12"/>
    <mergeCell ref="H23:H25"/>
    <mergeCell ref="I10:I12"/>
    <mergeCell ref="I23:I25"/>
    <mergeCell ref="B44:F52"/>
    <mergeCell ref="B40:F42"/>
    <mergeCell ref="C5:D5"/>
    <mergeCell ref="C4:D4"/>
    <mergeCell ref="E4:F4"/>
    <mergeCell ref="E6:E7"/>
    <mergeCell ref="F6:F7"/>
    <mergeCell ref="E5:F5"/>
    <mergeCell ref="B6:B7"/>
    <mergeCell ref="C6:C7"/>
    <mergeCell ref="D6:D7"/>
  </mergeCells>
  <pageMargins left="0.25" right="0.25" top="0.75" bottom="0.75" header="0.3" footer="0.3"/>
  <pageSetup paperSize="119" scale="7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AE1A-37B6-4D29-BC3F-D9B2C8E9A1E4}">
  <sheetPr>
    <tabColor theme="8" tint="-0.499984740745262"/>
  </sheetPr>
  <dimension ref="A1:I21"/>
  <sheetViews>
    <sheetView view="pageBreakPreview" zoomScaleNormal="100" zoomScaleSheetLayoutView="100" workbookViewId="0">
      <selection activeCell="J15" sqref="J15"/>
    </sheetView>
  </sheetViews>
  <sheetFormatPr defaultRowHeight="15" x14ac:dyDescent="0.25"/>
  <cols>
    <col min="1" max="1" width="16" bestFit="1" customWidth="1"/>
    <col min="2" max="2" width="10.28515625" bestFit="1" customWidth="1"/>
    <col min="3" max="3" width="8.28515625" bestFit="1" customWidth="1"/>
    <col min="4" max="4" width="10.140625" bestFit="1" customWidth="1"/>
    <col min="5" max="5" width="11" bestFit="1" customWidth="1"/>
    <col min="6" max="6" width="5" bestFit="1" customWidth="1"/>
    <col min="7" max="7" width="12" bestFit="1" customWidth="1"/>
  </cols>
  <sheetData>
    <row r="1" spans="1:9" x14ac:dyDescent="0.25">
      <c r="A1" s="45" t="s">
        <v>304</v>
      </c>
      <c r="B1" s="45" t="s">
        <v>305</v>
      </c>
      <c r="C1" s="45" t="s">
        <v>306</v>
      </c>
      <c r="D1" s="45" t="s">
        <v>308</v>
      </c>
      <c r="E1" s="45" t="s">
        <v>309</v>
      </c>
      <c r="F1" s="45" t="s">
        <v>63</v>
      </c>
      <c r="H1" s="45" t="s">
        <v>683</v>
      </c>
      <c r="I1" s="45"/>
    </row>
    <row r="2" spans="1:9" x14ac:dyDescent="0.25">
      <c r="A2" s="45" t="s">
        <v>307</v>
      </c>
      <c r="B2" s="45">
        <v>2900</v>
      </c>
      <c r="C2" s="45">
        <v>210</v>
      </c>
      <c r="D2" s="45">
        <v>2016</v>
      </c>
      <c r="E2" s="45">
        <v>3000</v>
      </c>
      <c r="F2" s="45">
        <v>2006</v>
      </c>
      <c r="H2" s="255">
        <v>3.3000000000000002E-2</v>
      </c>
      <c r="I2" s="45"/>
    </row>
    <row r="3" spans="1:9" x14ac:dyDescent="0.25">
      <c r="A3" s="45" t="s">
        <v>310</v>
      </c>
      <c r="B3" s="45">
        <v>8300</v>
      </c>
      <c r="C3" s="45">
        <v>365</v>
      </c>
      <c r="D3" s="45">
        <v>2016</v>
      </c>
      <c r="E3" s="45">
        <v>9000</v>
      </c>
      <c r="F3" s="45">
        <v>2006</v>
      </c>
      <c r="H3" s="45" t="s">
        <v>684</v>
      </c>
      <c r="I3" s="45"/>
    </row>
    <row r="4" spans="1:9" x14ac:dyDescent="0.25">
      <c r="A4" s="45" t="s">
        <v>311</v>
      </c>
      <c r="B4" s="45">
        <v>8800</v>
      </c>
      <c r="C4" s="45">
        <v>195</v>
      </c>
      <c r="D4" s="45">
        <v>2016</v>
      </c>
      <c r="E4" s="45">
        <v>9200</v>
      </c>
      <c r="F4" s="45">
        <v>2006</v>
      </c>
      <c r="H4" s="331">
        <v>5.0000000000000001E-3</v>
      </c>
      <c r="I4" s="45"/>
    </row>
    <row r="5" spans="1:9" x14ac:dyDescent="0.25">
      <c r="A5" s="45" t="s">
        <v>312</v>
      </c>
      <c r="B5" s="45">
        <v>9500</v>
      </c>
      <c r="C5" s="45">
        <v>215</v>
      </c>
      <c r="D5" s="45">
        <v>2018</v>
      </c>
      <c r="E5" s="45">
        <v>12000</v>
      </c>
      <c r="F5" s="45">
        <v>2008</v>
      </c>
    </row>
    <row r="6" spans="1:9" x14ac:dyDescent="0.25">
      <c r="H6" s="238"/>
      <c r="I6" s="237"/>
    </row>
    <row r="8" spans="1:9" x14ac:dyDescent="0.25">
      <c r="A8" s="45" t="s">
        <v>304</v>
      </c>
      <c r="B8" s="45" t="s">
        <v>313</v>
      </c>
      <c r="C8" s="45" t="s">
        <v>314</v>
      </c>
      <c r="D8" s="45" t="s">
        <v>685</v>
      </c>
    </row>
    <row r="9" spans="1:9" x14ac:dyDescent="0.25">
      <c r="A9" s="45" t="s">
        <v>307</v>
      </c>
      <c r="B9" s="45">
        <f>B16*(1+$H$4)^(2045-2021)</f>
        <v>3351.5124891919145</v>
      </c>
      <c r="C9" s="45">
        <v>0.12</v>
      </c>
      <c r="D9" s="45">
        <f>C9/$C$13</f>
        <v>9.9173553719008267E-2</v>
      </c>
    </row>
    <row r="10" spans="1:9" x14ac:dyDescent="0.25">
      <c r="A10" s="45" t="s">
        <v>310</v>
      </c>
      <c r="B10" s="45">
        <f t="shared" ref="B10:B12" si="0">B17*(1+$H$4)^(2045-2021)</f>
        <v>9592.2598828596183</v>
      </c>
      <c r="C10" s="45">
        <v>0.37</v>
      </c>
      <c r="D10" s="45">
        <f>C10/$C$13</f>
        <v>0.30578512396694213</v>
      </c>
    </row>
    <row r="11" spans="1:9" x14ac:dyDescent="0.25">
      <c r="A11" s="45" t="s">
        <v>311</v>
      </c>
      <c r="B11" s="45">
        <f t="shared" si="0"/>
        <v>10170.106863754776</v>
      </c>
      <c r="C11" s="45">
        <v>0.28999999999999998</v>
      </c>
      <c r="D11" s="45">
        <f>C11/$C$13</f>
        <v>0.23966942148760328</v>
      </c>
    </row>
    <row r="12" spans="1:9" x14ac:dyDescent="0.25">
      <c r="A12" s="45" t="s">
        <v>312</v>
      </c>
      <c r="B12" s="45">
        <f t="shared" si="0"/>
        <v>10869.848839986482</v>
      </c>
      <c r="C12" s="45">
        <v>0.43</v>
      </c>
      <c r="D12" s="45">
        <f t="shared" ref="D12" si="1">C12/$C$13</f>
        <v>0.35537190082644626</v>
      </c>
    </row>
    <row r="13" spans="1:9" x14ac:dyDescent="0.25">
      <c r="A13" s="45" t="s">
        <v>315</v>
      </c>
      <c r="B13" s="324">
        <f>ROUND(SUMPRODUCT(B9:B12,D9:D12),-2)</f>
        <v>9600</v>
      </c>
      <c r="C13" s="45">
        <f>SUM(C9:C12)</f>
        <v>1.21</v>
      </c>
      <c r="D13" s="45">
        <f>SUM(D9:D12)</f>
        <v>1</v>
      </c>
    </row>
    <row r="15" spans="1:9" x14ac:dyDescent="0.25">
      <c r="A15" s="45" t="s">
        <v>304</v>
      </c>
      <c r="B15" s="45" t="s">
        <v>316</v>
      </c>
      <c r="C15" s="45" t="s">
        <v>314</v>
      </c>
      <c r="D15" s="45" t="s">
        <v>685</v>
      </c>
    </row>
    <row r="16" spans="1:9" x14ac:dyDescent="0.25">
      <c r="A16" s="45" t="s">
        <v>307</v>
      </c>
      <c r="B16" s="45">
        <f>B2*EXP((2021-D2)*$H$4)</f>
        <v>2973.4138495208435</v>
      </c>
      <c r="C16" s="45">
        <v>0.12</v>
      </c>
      <c r="D16" s="45">
        <f>C16/$C$13</f>
        <v>9.9173553719008267E-2</v>
      </c>
    </row>
    <row r="17" spans="1:4" x14ac:dyDescent="0.25">
      <c r="A17" s="45" t="s">
        <v>310</v>
      </c>
      <c r="B17" s="45">
        <f t="shared" ref="B17:B19" si="2">B3*EXP((2021-D3)*$H$4)</f>
        <v>8510.1155003527601</v>
      </c>
      <c r="C17" s="45">
        <v>0.37</v>
      </c>
      <c r="D17" s="45">
        <f>C17/$C$13</f>
        <v>0.30578512396694213</v>
      </c>
    </row>
    <row r="18" spans="1:4" x14ac:dyDescent="0.25">
      <c r="A18" s="45" t="s">
        <v>311</v>
      </c>
      <c r="B18" s="45">
        <f t="shared" si="2"/>
        <v>9022.7730606149744</v>
      </c>
      <c r="C18" s="45">
        <v>0.28999999999999998</v>
      </c>
      <c r="D18" s="45">
        <f t="shared" ref="D18:D19" si="3">C18/$C$13</f>
        <v>0.23966942148760328</v>
      </c>
    </row>
    <row r="19" spans="1:4" x14ac:dyDescent="0.25">
      <c r="A19" s="45" t="s">
        <v>312</v>
      </c>
      <c r="B19" s="45">
        <f t="shared" si="2"/>
        <v>9643.5741138493304</v>
      </c>
      <c r="C19" s="45">
        <v>0.43</v>
      </c>
      <c r="D19" s="45">
        <f t="shared" si="3"/>
        <v>0.35537190082644626</v>
      </c>
    </row>
    <row r="20" spans="1:4" x14ac:dyDescent="0.25">
      <c r="A20" s="45" t="s">
        <v>315</v>
      </c>
      <c r="B20" s="324">
        <f>ROUND(SUMPRODUCT(B16:B19,D16:D19),-2)</f>
        <v>8500</v>
      </c>
      <c r="C20" s="45">
        <f>SUM(C16:C19)</f>
        <v>1.21</v>
      </c>
      <c r="D20" s="45">
        <f>SUM(D16:D19)</f>
        <v>1</v>
      </c>
    </row>
    <row r="21" spans="1:4" x14ac:dyDescent="0.25">
      <c r="B21" s="356"/>
    </row>
  </sheetData>
  <pageMargins left="0.7" right="0.7" top="0.75" bottom="0.75" header="0.3" footer="0.3"/>
  <pageSetup paperSize="16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14F1E-E883-4948-8AA3-BDB2032BF65D}">
  <dimension ref="A1:DK188"/>
  <sheetViews>
    <sheetView topLeftCell="P1" workbookViewId="0">
      <selection activeCell="Z9" sqref="Z9"/>
    </sheetView>
  </sheetViews>
  <sheetFormatPr defaultRowHeight="15" x14ac:dyDescent="0.25"/>
  <cols>
    <col min="37" max="37" width="26.140625" bestFit="1" customWidth="1"/>
    <col min="113" max="113" width="22.5703125" bestFit="1" customWidth="1"/>
  </cols>
  <sheetData>
    <row r="1" spans="1:115" x14ac:dyDescent="0.25">
      <c r="A1" t="s">
        <v>651</v>
      </c>
      <c r="B1" t="s">
        <v>652</v>
      </c>
      <c r="C1" t="s">
        <v>653</v>
      </c>
      <c r="D1" t="s">
        <v>654</v>
      </c>
      <c r="E1" t="s">
        <v>128</v>
      </c>
      <c r="F1" t="s">
        <v>129</v>
      </c>
      <c r="G1" t="s">
        <v>130</v>
      </c>
      <c r="H1" t="s">
        <v>131</v>
      </c>
      <c r="I1" t="s">
        <v>132</v>
      </c>
      <c r="J1" t="s">
        <v>133</v>
      </c>
      <c r="K1" t="s">
        <v>134</v>
      </c>
      <c r="L1" t="s">
        <v>135</v>
      </c>
      <c r="M1" t="s">
        <v>136</v>
      </c>
      <c r="N1" t="s">
        <v>137</v>
      </c>
      <c r="O1" t="s">
        <v>138</v>
      </c>
      <c r="P1" t="s">
        <v>139</v>
      </c>
      <c r="Q1" t="s">
        <v>140</v>
      </c>
      <c r="R1" t="s">
        <v>141</v>
      </c>
      <c r="S1" t="s">
        <v>142</v>
      </c>
      <c r="T1" t="s">
        <v>143</v>
      </c>
      <c r="U1" t="s">
        <v>144</v>
      </c>
      <c r="V1" t="s">
        <v>145</v>
      </c>
      <c r="W1" t="s">
        <v>146</v>
      </c>
      <c r="X1" t="s">
        <v>147</v>
      </c>
      <c r="Y1" t="s">
        <v>148</v>
      </c>
      <c r="Z1" t="s">
        <v>149</v>
      </c>
      <c r="AA1" t="s">
        <v>150</v>
      </c>
      <c r="AB1" t="s">
        <v>151</v>
      </c>
      <c r="AC1" t="s">
        <v>152</v>
      </c>
      <c r="AD1" t="s">
        <v>153</v>
      </c>
      <c r="AE1" t="s">
        <v>154</v>
      </c>
      <c r="AF1" t="s">
        <v>155</v>
      </c>
      <c r="AG1" t="s">
        <v>156</v>
      </c>
      <c r="AH1" t="s">
        <v>157</v>
      </c>
      <c r="AI1" t="s">
        <v>158</v>
      </c>
      <c r="AJ1" t="s">
        <v>159</v>
      </c>
      <c r="AK1" t="s">
        <v>160</v>
      </c>
      <c r="AL1" t="s">
        <v>161</v>
      </c>
      <c r="AM1" t="s">
        <v>162</v>
      </c>
      <c r="AN1" t="s">
        <v>163</v>
      </c>
      <c r="AO1" t="s">
        <v>164</v>
      </c>
      <c r="AP1" t="s">
        <v>165</v>
      </c>
      <c r="AQ1" t="s">
        <v>166</v>
      </c>
      <c r="AR1" t="s">
        <v>167</v>
      </c>
      <c r="AS1" t="s">
        <v>168</v>
      </c>
      <c r="AT1" t="s">
        <v>169</v>
      </c>
      <c r="AU1" t="s">
        <v>170</v>
      </c>
      <c r="AV1" t="s">
        <v>171</v>
      </c>
      <c r="AW1" t="s">
        <v>172</v>
      </c>
      <c r="AX1" t="s">
        <v>173</v>
      </c>
      <c r="AY1" t="s">
        <v>174</v>
      </c>
      <c r="AZ1" t="s">
        <v>175</v>
      </c>
      <c r="BA1" t="s">
        <v>176</v>
      </c>
      <c r="BB1" t="s">
        <v>177</v>
      </c>
      <c r="BC1" t="s">
        <v>178</v>
      </c>
      <c r="BD1" t="s">
        <v>179</v>
      </c>
      <c r="BE1" t="s">
        <v>180</v>
      </c>
      <c r="BF1" t="s">
        <v>181</v>
      </c>
      <c r="BG1" t="s">
        <v>182</v>
      </c>
      <c r="BH1" t="s">
        <v>183</v>
      </c>
      <c r="BI1" t="s">
        <v>184</v>
      </c>
      <c r="BJ1" t="s">
        <v>185</v>
      </c>
      <c r="BK1" t="s">
        <v>186</v>
      </c>
      <c r="BL1" t="s">
        <v>187</v>
      </c>
      <c r="BM1" t="s">
        <v>188</v>
      </c>
      <c r="BN1" t="s">
        <v>189</v>
      </c>
      <c r="BO1" t="s">
        <v>190</v>
      </c>
      <c r="BP1" t="s">
        <v>191</v>
      </c>
      <c r="BQ1" t="s">
        <v>192</v>
      </c>
      <c r="BR1" t="s">
        <v>193</v>
      </c>
      <c r="BS1" t="s">
        <v>194</v>
      </c>
      <c r="BT1" t="s">
        <v>195</v>
      </c>
      <c r="BU1" t="s">
        <v>196</v>
      </c>
      <c r="BV1" t="s">
        <v>197</v>
      </c>
      <c r="BW1" t="s">
        <v>198</v>
      </c>
      <c r="BX1" t="s">
        <v>199</v>
      </c>
      <c r="BY1" t="s">
        <v>200</v>
      </c>
      <c r="BZ1" t="s">
        <v>201</v>
      </c>
      <c r="CA1" t="s">
        <v>202</v>
      </c>
      <c r="CB1" t="s">
        <v>203</v>
      </c>
      <c r="CC1" t="s">
        <v>204</v>
      </c>
      <c r="CD1" t="s">
        <v>205</v>
      </c>
      <c r="CE1" t="s">
        <v>206</v>
      </c>
      <c r="CF1" t="s">
        <v>207</v>
      </c>
      <c r="CG1" t="s">
        <v>208</v>
      </c>
      <c r="CH1" t="s">
        <v>209</v>
      </c>
      <c r="CI1" t="s">
        <v>210</v>
      </c>
      <c r="CJ1" t="s">
        <v>211</v>
      </c>
      <c r="CK1" t="s">
        <v>212</v>
      </c>
      <c r="CL1" t="s">
        <v>213</v>
      </c>
      <c r="CM1" t="s">
        <v>214</v>
      </c>
      <c r="CN1" t="s">
        <v>215</v>
      </c>
      <c r="CO1" t="s">
        <v>216</v>
      </c>
      <c r="CP1" t="s">
        <v>217</v>
      </c>
      <c r="CQ1" t="s">
        <v>218</v>
      </c>
      <c r="CR1" t="s">
        <v>219</v>
      </c>
      <c r="CS1" t="s">
        <v>220</v>
      </c>
      <c r="CT1" t="s">
        <v>221</v>
      </c>
      <c r="CU1" t="s">
        <v>222</v>
      </c>
      <c r="CV1" t="s">
        <v>223</v>
      </c>
      <c r="CW1" t="s">
        <v>224</v>
      </c>
      <c r="CX1" t="s">
        <v>225</v>
      </c>
      <c r="CY1" t="s">
        <v>226</v>
      </c>
      <c r="CZ1" t="s">
        <v>227</v>
      </c>
      <c r="DA1" t="s">
        <v>228</v>
      </c>
      <c r="DB1" t="s">
        <v>401</v>
      </c>
      <c r="DC1" t="s">
        <v>229</v>
      </c>
      <c r="DD1" t="s">
        <v>402</v>
      </c>
      <c r="DE1" t="s">
        <v>403</v>
      </c>
      <c r="DF1" t="s">
        <v>404</v>
      </c>
      <c r="DG1" t="s">
        <v>230</v>
      </c>
      <c r="DH1" t="s">
        <v>655</v>
      </c>
      <c r="DI1" t="s">
        <v>656</v>
      </c>
      <c r="DJ1" t="s">
        <v>1143</v>
      </c>
      <c r="DK1" t="s">
        <v>1142</v>
      </c>
    </row>
    <row r="2" spans="1:115" x14ac:dyDescent="0.25">
      <c r="A2">
        <v>1</v>
      </c>
      <c r="B2" t="s">
        <v>657</v>
      </c>
      <c r="C2">
        <v>1</v>
      </c>
      <c r="D2">
        <v>2</v>
      </c>
      <c r="E2">
        <v>839526</v>
      </c>
      <c r="F2" t="s">
        <v>405</v>
      </c>
      <c r="G2">
        <v>59</v>
      </c>
      <c r="H2">
        <v>73.884</v>
      </c>
      <c r="I2" t="s">
        <v>297</v>
      </c>
      <c r="J2" t="s">
        <v>299</v>
      </c>
      <c r="K2" t="s">
        <v>321</v>
      </c>
      <c r="L2" t="s">
        <v>406</v>
      </c>
      <c r="M2" t="s">
        <v>299</v>
      </c>
      <c r="N2" t="s">
        <v>321</v>
      </c>
      <c r="O2">
        <v>20301687</v>
      </c>
      <c r="P2">
        <v>202440232</v>
      </c>
      <c r="Q2" s="290">
        <v>45146</v>
      </c>
      <c r="R2">
        <v>31</v>
      </c>
      <c r="S2">
        <v>2020</v>
      </c>
      <c r="T2" t="s">
        <v>431</v>
      </c>
      <c r="U2">
        <v>16</v>
      </c>
      <c r="V2" t="s">
        <v>422</v>
      </c>
      <c r="W2" t="s">
        <v>320</v>
      </c>
      <c r="X2">
        <v>0</v>
      </c>
      <c r="Y2">
        <v>1</v>
      </c>
      <c r="Z2" t="s">
        <v>321</v>
      </c>
      <c r="AA2" t="s">
        <v>432</v>
      </c>
      <c r="AB2" t="s">
        <v>410</v>
      </c>
      <c r="AC2" t="s">
        <v>433</v>
      </c>
      <c r="AD2" t="s">
        <v>412</v>
      </c>
      <c r="AE2" t="s">
        <v>321</v>
      </c>
      <c r="AF2" t="s">
        <v>434</v>
      </c>
      <c r="AG2" t="s">
        <v>414</v>
      </c>
      <c r="AH2" t="s">
        <v>435</v>
      </c>
      <c r="AI2" t="s">
        <v>321</v>
      </c>
      <c r="AJ2" t="s">
        <v>415</v>
      </c>
      <c r="AK2" t="s">
        <v>436</v>
      </c>
      <c r="AL2" t="s">
        <v>417</v>
      </c>
      <c r="AM2" t="s">
        <v>437</v>
      </c>
      <c r="AN2" t="s">
        <v>438</v>
      </c>
      <c r="AO2" t="s">
        <v>439</v>
      </c>
      <c r="AP2">
        <v>73</v>
      </c>
      <c r="AQ2" t="s">
        <v>420</v>
      </c>
      <c r="AR2" t="s">
        <v>421</v>
      </c>
      <c r="AS2" t="s">
        <v>440</v>
      </c>
      <c r="AT2" t="s">
        <v>321</v>
      </c>
      <c r="AU2" t="s">
        <v>321</v>
      </c>
      <c r="AV2" t="s">
        <v>321</v>
      </c>
      <c r="AW2" t="s">
        <v>441</v>
      </c>
      <c r="AX2" t="s">
        <v>442</v>
      </c>
      <c r="AY2">
        <v>30</v>
      </c>
      <c r="AZ2" t="s">
        <v>423</v>
      </c>
      <c r="BA2" t="s">
        <v>424</v>
      </c>
      <c r="BB2" t="s">
        <v>321</v>
      </c>
      <c r="BC2" t="s">
        <v>321</v>
      </c>
      <c r="BD2" t="s">
        <v>321</v>
      </c>
      <c r="BE2" t="s">
        <v>321</v>
      </c>
      <c r="BF2" t="s">
        <v>321</v>
      </c>
      <c r="BG2" t="s">
        <v>321</v>
      </c>
      <c r="BH2" t="s">
        <v>321</v>
      </c>
      <c r="BI2" t="s">
        <v>321</v>
      </c>
      <c r="BJ2" t="s">
        <v>321</v>
      </c>
      <c r="BK2" t="s">
        <v>321</v>
      </c>
      <c r="BL2" t="s">
        <v>321</v>
      </c>
      <c r="BM2" t="s">
        <v>321</v>
      </c>
      <c r="BN2" t="s">
        <v>321</v>
      </c>
      <c r="BO2" t="s">
        <v>321</v>
      </c>
      <c r="BP2" t="s">
        <v>321</v>
      </c>
      <c r="BQ2" t="s">
        <v>321</v>
      </c>
      <c r="BR2" t="s">
        <v>321</v>
      </c>
      <c r="BS2" t="s">
        <v>321</v>
      </c>
      <c r="BT2" t="s">
        <v>321</v>
      </c>
      <c r="BU2" t="s">
        <v>321</v>
      </c>
      <c r="BV2" t="s">
        <v>321</v>
      </c>
      <c r="BW2" t="s">
        <v>321</v>
      </c>
      <c r="BX2" t="s">
        <v>321</v>
      </c>
      <c r="BY2" t="s">
        <v>321</v>
      </c>
      <c r="BZ2" t="s">
        <v>321</v>
      </c>
      <c r="CA2" t="s">
        <v>321</v>
      </c>
      <c r="CB2" t="s">
        <v>321</v>
      </c>
      <c r="CC2" t="s">
        <v>321</v>
      </c>
      <c r="CD2" t="s">
        <v>321</v>
      </c>
      <c r="CE2" t="s">
        <v>321</v>
      </c>
      <c r="CF2" t="s">
        <v>321</v>
      </c>
      <c r="CG2" t="s">
        <v>321</v>
      </c>
      <c r="CH2" t="s">
        <v>321</v>
      </c>
      <c r="CI2" t="s">
        <v>321</v>
      </c>
      <c r="CJ2" t="s">
        <v>321</v>
      </c>
      <c r="CK2" t="s">
        <v>321</v>
      </c>
      <c r="CL2" t="s">
        <v>321</v>
      </c>
      <c r="CM2" t="s">
        <v>321</v>
      </c>
      <c r="CN2" t="s">
        <v>321</v>
      </c>
      <c r="CO2" t="s">
        <v>321</v>
      </c>
      <c r="CP2" t="s">
        <v>321</v>
      </c>
      <c r="CQ2" t="s">
        <v>321</v>
      </c>
      <c r="CR2" t="s">
        <v>321</v>
      </c>
      <c r="CS2" t="s">
        <v>321</v>
      </c>
      <c r="CT2" t="s">
        <v>321</v>
      </c>
      <c r="CU2" t="s">
        <v>321</v>
      </c>
      <c r="CV2" t="s">
        <v>321</v>
      </c>
      <c r="CW2" t="s">
        <v>321</v>
      </c>
      <c r="CX2">
        <v>278116.81530000002</v>
      </c>
      <c r="CY2">
        <v>4925277.2819999997</v>
      </c>
      <c r="CZ2">
        <v>44.446762999999997</v>
      </c>
      <c r="DA2">
        <v>-95.788511</v>
      </c>
      <c r="DB2" s="291">
        <v>44074.694444444445</v>
      </c>
      <c r="DC2" t="s">
        <v>231</v>
      </c>
      <c r="DD2" t="s">
        <v>429</v>
      </c>
      <c r="DE2" t="s">
        <v>443</v>
      </c>
      <c r="DF2" t="s">
        <v>444</v>
      </c>
      <c r="DG2" t="s">
        <v>445</v>
      </c>
      <c r="DH2">
        <v>0</v>
      </c>
      <c r="DI2" t="s">
        <v>327</v>
      </c>
      <c r="DJ2">
        <v>100</v>
      </c>
      <c r="DK2">
        <v>9</v>
      </c>
    </row>
    <row r="3" spans="1:115" x14ac:dyDescent="0.25">
      <c r="A3">
        <v>2</v>
      </c>
      <c r="B3" t="s">
        <v>657</v>
      </c>
      <c r="C3">
        <v>1</v>
      </c>
      <c r="D3">
        <v>3</v>
      </c>
      <c r="E3">
        <v>10911933</v>
      </c>
      <c r="F3" t="s">
        <v>405</v>
      </c>
      <c r="G3">
        <v>59</v>
      </c>
      <c r="H3">
        <v>73.897000000000006</v>
      </c>
      <c r="I3" t="s">
        <v>297</v>
      </c>
      <c r="J3" t="s">
        <v>299</v>
      </c>
      <c r="K3" t="s">
        <v>321</v>
      </c>
      <c r="L3" t="s">
        <v>406</v>
      </c>
      <c r="M3" t="s">
        <v>299</v>
      </c>
      <c r="N3" t="s">
        <v>321</v>
      </c>
      <c r="O3" t="s">
        <v>1141</v>
      </c>
      <c r="P3">
        <v>133360163</v>
      </c>
      <c r="Q3" s="290">
        <v>45272</v>
      </c>
      <c r="R3">
        <v>2</v>
      </c>
      <c r="S3">
        <v>2013</v>
      </c>
      <c r="T3" t="s">
        <v>431</v>
      </c>
      <c r="U3">
        <v>12</v>
      </c>
      <c r="V3" t="s">
        <v>321</v>
      </c>
      <c r="W3" t="s">
        <v>320</v>
      </c>
      <c r="X3">
        <v>0</v>
      </c>
      <c r="Y3">
        <v>2</v>
      </c>
      <c r="Z3" t="s">
        <v>797</v>
      </c>
      <c r="AA3" t="s">
        <v>409</v>
      </c>
      <c r="AB3" t="s">
        <v>410</v>
      </c>
      <c r="AC3" t="s">
        <v>433</v>
      </c>
      <c r="AD3" t="s">
        <v>446</v>
      </c>
      <c r="AE3" t="s">
        <v>321</v>
      </c>
      <c r="AF3" t="s">
        <v>434</v>
      </c>
      <c r="AG3" t="s">
        <v>414</v>
      </c>
      <c r="AH3" t="s">
        <v>1049</v>
      </c>
      <c r="AI3" t="s">
        <v>809</v>
      </c>
      <c r="AJ3" t="s">
        <v>415</v>
      </c>
      <c r="AK3" t="s">
        <v>447</v>
      </c>
      <c r="AL3" t="s">
        <v>417</v>
      </c>
      <c r="AM3" t="s">
        <v>425</v>
      </c>
      <c r="AN3" t="s">
        <v>448</v>
      </c>
      <c r="AO3" t="s">
        <v>426</v>
      </c>
      <c r="AP3">
        <v>89</v>
      </c>
      <c r="AQ3" t="s">
        <v>427</v>
      </c>
      <c r="AR3" t="s">
        <v>421</v>
      </c>
      <c r="AS3" t="s">
        <v>806</v>
      </c>
      <c r="AT3" t="s">
        <v>321</v>
      </c>
      <c r="AU3" t="s">
        <v>321</v>
      </c>
      <c r="AV3" t="s">
        <v>321</v>
      </c>
      <c r="AW3" t="s">
        <v>805</v>
      </c>
      <c r="AX3" t="s">
        <v>449</v>
      </c>
      <c r="AY3">
        <v>25</v>
      </c>
      <c r="AZ3" t="s">
        <v>423</v>
      </c>
      <c r="BA3" t="s">
        <v>424</v>
      </c>
      <c r="BB3" t="s">
        <v>417</v>
      </c>
      <c r="BC3" t="s">
        <v>425</v>
      </c>
      <c r="BD3" t="s">
        <v>448</v>
      </c>
      <c r="BE3" t="s">
        <v>426</v>
      </c>
      <c r="BF3">
        <v>34</v>
      </c>
      <c r="BG3" t="s">
        <v>420</v>
      </c>
      <c r="BH3" t="s">
        <v>421</v>
      </c>
      <c r="BI3" t="s">
        <v>428</v>
      </c>
      <c r="BJ3" t="s">
        <v>321</v>
      </c>
      <c r="BK3" t="s">
        <v>321</v>
      </c>
      <c r="BL3" t="s">
        <v>321</v>
      </c>
      <c r="BM3" t="s">
        <v>805</v>
      </c>
      <c r="BN3" t="s">
        <v>449</v>
      </c>
      <c r="BO3">
        <v>25</v>
      </c>
      <c r="BP3" t="s">
        <v>423</v>
      </c>
      <c r="BQ3" t="s">
        <v>424</v>
      </c>
      <c r="BR3" t="s">
        <v>321</v>
      </c>
      <c r="BS3" t="s">
        <v>321</v>
      </c>
      <c r="BT3" t="s">
        <v>321</v>
      </c>
      <c r="BU3" t="s">
        <v>321</v>
      </c>
      <c r="BV3" t="s">
        <v>321</v>
      </c>
      <c r="BW3" t="s">
        <v>321</v>
      </c>
      <c r="BX3" t="s">
        <v>321</v>
      </c>
      <c r="BY3" t="s">
        <v>321</v>
      </c>
      <c r="BZ3" t="s">
        <v>321</v>
      </c>
      <c r="CA3" t="s">
        <v>321</v>
      </c>
      <c r="CB3" t="s">
        <v>321</v>
      </c>
      <c r="CC3" t="s">
        <v>321</v>
      </c>
      <c r="CD3" t="s">
        <v>321</v>
      </c>
      <c r="CE3" t="s">
        <v>321</v>
      </c>
      <c r="CF3" t="s">
        <v>321</v>
      </c>
      <c r="CG3" t="s">
        <v>321</v>
      </c>
      <c r="CH3" t="s">
        <v>321</v>
      </c>
      <c r="CI3" t="s">
        <v>321</v>
      </c>
      <c r="CJ3" t="s">
        <v>321</v>
      </c>
      <c r="CK3" t="s">
        <v>321</v>
      </c>
      <c r="CL3" t="s">
        <v>321</v>
      </c>
      <c r="CM3" t="s">
        <v>321</v>
      </c>
      <c r="CN3" t="s">
        <v>321</v>
      </c>
      <c r="CO3" t="s">
        <v>321</v>
      </c>
      <c r="CP3" t="s">
        <v>321</v>
      </c>
      <c r="CQ3" t="s">
        <v>321</v>
      </c>
      <c r="CR3" t="s">
        <v>321</v>
      </c>
      <c r="CS3" t="s">
        <v>321</v>
      </c>
      <c r="CT3" t="s">
        <v>321</v>
      </c>
      <c r="CU3" t="s">
        <v>321</v>
      </c>
      <c r="CV3" t="s">
        <v>321</v>
      </c>
      <c r="CW3" t="s">
        <v>321</v>
      </c>
      <c r="CX3">
        <v>278102.72009999998</v>
      </c>
      <c r="CY3">
        <v>4925292.159</v>
      </c>
      <c r="CZ3">
        <v>44.446891999999998</v>
      </c>
      <c r="DA3">
        <v>-95.788695000000004</v>
      </c>
      <c r="DB3" s="291">
        <v>41610.525694444441</v>
      </c>
      <c r="DC3" t="s">
        <v>231</v>
      </c>
      <c r="DD3" t="s">
        <v>429</v>
      </c>
      <c r="DE3" t="s">
        <v>430</v>
      </c>
      <c r="DF3" t="s">
        <v>430</v>
      </c>
      <c r="DG3" t="s">
        <v>1140</v>
      </c>
      <c r="DH3">
        <v>0</v>
      </c>
      <c r="DI3" t="s">
        <v>327</v>
      </c>
      <c r="DJ3">
        <v>100</v>
      </c>
      <c r="DK3">
        <v>9</v>
      </c>
    </row>
    <row r="4" spans="1:115" x14ac:dyDescent="0.25">
      <c r="A4">
        <v>3</v>
      </c>
      <c r="B4" t="s">
        <v>657</v>
      </c>
      <c r="C4">
        <v>1</v>
      </c>
      <c r="D4">
        <v>4</v>
      </c>
      <c r="E4">
        <v>756390</v>
      </c>
      <c r="F4" t="s">
        <v>405</v>
      </c>
      <c r="G4">
        <v>59</v>
      </c>
      <c r="H4">
        <v>73.900999999999996</v>
      </c>
      <c r="I4" t="s">
        <v>297</v>
      </c>
      <c r="J4" t="s">
        <v>299</v>
      </c>
      <c r="K4" t="s">
        <v>321</v>
      </c>
      <c r="L4" t="s">
        <v>406</v>
      </c>
      <c r="M4" t="s">
        <v>299</v>
      </c>
      <c r="N4" t="s">
        <v>321</v>
      </c>
      <c r="O4" s="292">
        <v>202000000000</v>
      </c>
      <c r="P4">
        <v>192950106</v>
      </c>
      <c r="Q4" s="290">
        <v>45209</v>
      </c>
      <c r="R4">
        <v>22</v>
      </c>
      <c r="S4">
        <v>2019</v>
      </c>
      <c r="T4" t="s">
        <v>407</v>
      </c>
      <c r="U4">
        <v>13</v>
      </c>
      <c r="V4" t="s">
        <v>450</v>
      </c>
      <c r="W4" t="s">
        <v>320</v>
      </c>
      <c r="X4">
        <v>0</v>
      </c>
      <c r="Y4">
        <v>2</v>
      </c>
      <c r="Z4" t="s">
        <v>451</v>
      </c>
      <c r="AA4" t="s">
        <v>409</v>
      </c>
      <c r="AB4" t="s">
        <v>452</v>
      </c>
      <c r="AC4" t="s">
        <v>433</v>
      </c>
      <c r="AD4" t="s">
        <v>412</v>
      </c>
      <c r="AE4" t="s">
        <v>321</v>
      </c>
      <c r="AF4" t="s">
        <v>434</v>
      </c>
      <c r="AG4" t="s">
        <v>414</v>
      </c>
      <c r="AH4" t="s">
        <v>435</v>
      </c>
      <c r="AI4" t="s">
        <v>321</v>
      </c>
      <c r="AJ4" t="s">
        <v>415</v>
      </c>
      <c r="AK4" t="s">
        <v>451</v>
      </c>
      <c r="AL4" t="s">
        <v>417</v>
      </c>
      <c r="AM4" t="s">
        <v>418</v>
      </c>
      <c r="AN4" t="s">
        <v>448</v>
      </c>
      <c r="AO4" t="s">
        <v>426</v>
      </c>
      <c r="AP4">
        <v>67</v>
      </c>
      <c r="AQ4" t="s">
        <v>427</v>
      </c>
      <c r="AR4" t="s">
        <v>421</v>
      </c>
      <c r="AS4" t="s">
        <v>428</v>
      </c>
      <c r="AT4" t="s">
        <v>321</v>
      </c>
      <c r="AU4" t="s">
        <v>321</v>
      </c>
      <c r="AV4" t="s">
        <v>321</v>
      </c>
      <c r="AW4" t="s">
        <v>441</v>
      </c>
      <c r="AX4" t="s">
        <v>449</v>
      </c>
      <c r="AY4">
        <v>30</v>
      </c>
      <c r="AZ4" t="s">
        <v>423</v>
      </c>
      <c r="BA4" t="s">
        <v>424</v>
      </c>
      <c r="BB4" t="s">
        <v>417</v>
      </c>
      <c r="BC4" t="s">
        <v>425</v>
      </c>
      <c r="BD4" t="s">
        <v>453</v>
      </c>
      <c r="BE4" t="s">
        <v>426</v>
      </c>
      <c r="BF4">
        <v>60</v>
      </c>
      <c r="BG4" t="s">
        <v>427</v>
      </c>
      <c r="BH4" t="s">
        <v>421</v>
      </c>
      <c r="BI4" t="s">
        <v>454</v>
      </c>
      <c r="BJ4" t="s">
        <v>321</v>
      </c>
      <c r="BK4" t="s">
        <v>321</v>
      </c>
      <c r="BL4" t="s">
        <v>321</v>
      </c>
      <c r="BM4" t="s">
        <v>441</v>
      </c>
      <c r="BN4" t="s">
        <v>449</v>
      </c>
      <c r="BO4">
        <v>30</v>
      </c>
      <c r="BP4" t="s">
        <v>423</v>
      </c>
      <c r="BQ4" t="s">
        <v>424</v>
      </c>
      <c r="BR4" t="s">
        <v>321</v>
      </c>
      <c r="BS4" t="s">
        <v>321</v>
      </c>
      <c r="BT4" t="s">
        <v>321</v>
      </c>
      <c r="BU4" t="s">
        <v>321</v>
      </c>
      <c r="BV4" t="s">
        <v>321</v>
      </c>
      <c r="BW4" t="s">
        <v>321</v>
      </c>
      <c r="BX4" t="s">
        <v>321</v>
      </c>
      <c r="BY4" t="s">
        <v>321</v>
      </c>
      <c r="BZ4" t="s">
        <v>321</v>
      </c>
      <c r="CA4" t="s">
        <v>321</v>
      </c>
      <c r="CB4" t="s">
        <v>321</v>
      </c>
      <c r="CC4" t="s">
        <v>321</v>
      </c>
      <c r="CD4" t="s">
        <v>321</v>
      </c>
      <c r="CE4" t="s">
        <v>321</v>
      </c>
      <c r="CF4" t="s">
        <v>321</v>
      </c>
      <c r="CG4" t="s">
        <v>321</v>
      </c>
      <c r="CH4" t="s">
        <v>321</v>
      </c>
      <c r="CI4" t="s">
        <v>321</v>
      </c>
      <c r="CJ4" t="s">
        <v>321</v>
      </c>
      <c r="CK4" t="s">
        <v>321</v>
      </c>
      <c r="CL4" t="s">
        <v>321</v>
      </c>
      <c r="CM4" t="s">
        <v>321</v>
      </c>
      <c r="CN4" t="s">
        <v>321</v>
      </c>
      <c r="CO4" t="s">
        <v>321</v>
      </c>
      <c r="CP4" t="s">
        <v>321</v>
      </c>
      <c r="CQ4" t="s">
        <v>321</v>
      </c>
      <c r="CR4" t="s">
        <v>321</v>
      </c>
      <c r="CS4" t="s">
        <v>321</v>
      </c>
      <c r="CT4" t="s">
        <v>321</v>
      </c>
      <c r="CU4" t="s">
        <v>321</v>
      </c>
      <c r="CV4" t="s">
        <v>321</v>
      </c>
      <c r="CW4" t="s">
        <v>321</v>
      </c>
      <c r="CX4">
        <v>278098.54960000003</v>
      </c>
      <c r="CY4">
        <v>4925296.5599999996</v>
      </c>
      <c r="CZ4">
        <v>44.446930000000002</v>
      </c>
      <c r="DA4">
        <v>-95.788748999999996</v>
      </c>
      <c r="DB4" s="291">
        <v>43760.569444444445</v>
      </c>
      <c r="DC4" t="s">
        <v>231</v>
      </c>
      <c r="DD4" t="s">
        <v>429</v>
      </c>
      <c r="DE4" t="s">
        <v>455</v>
      </c>
      <c r="DF4" t="s">
        <v>456</v>
      </c>
      <c r="DG4" t="s">
        <v>457</v>
      </c>
      <c r="DH4">
        <v>0</v>
      </c>
      <c r="DI4" t="s">
        <v>327</v>
      </c>
      <c r="DJ4">
        <v>100</v>
      </c>
      <c r="DK4">
        <v>9</v>
      </c>
    </row>
    <row r="5" spans="1:115" x14ac:dyDescent="0.25">
      <c r="A5">
        <v>4</v>
      </c>
      <c r="B5" t="s">
        <v>657</v>
      </c>
      <c r="C5">
        <v>1</v>
      </c>
      <c r="D5">
        <v>5</v>
      </c>
      <c r="E5">
        <v>358821</v>
      </c>
      <c r="F5" t="s">
        <v>405</v>
      </c>
      <c r="G5">
        <v>59</v>
      </c>
      <c r="H5">
        <v>73.899000000000001</v>
      </c>
      <c r="I5" t="s">
        <v>297</v>
      </c>
      <c r="J5" t="s">
        <v>299</v>
      </c>
      <c r="K5" t="s">
        <v>321</v>
      </c>
      <c r="L5" t="s">
        <v>406</v>
      </c>
      <c r="M5" t="s">
        <v>299</v>
      </c>
      <c r="N5" t="s">
        <v>321</v>
      </c>
      <c r="O5">
        <v>1600011351</v>
      </c>
      <c r="P5">
        <v>161750114</v>
      </c>
      <c r="Q5" s="290">
        <v>45083</v>
      </c>
      <c r="R5">
        <v>23</v>
      </c>
      <c r="S5">
        <v>2016</v>
      </c>
      <c r="T5" t="s">
        <v>458</v>
      </c>
      <c r="U5">
        <v>19</v>
      </c>
      <c r="V5" t="s">
        <v>459</v>
      </c>
      <c r="W5" t="s">
        <v>320</v>
      </c>
      <c r="X5">
        <v>0</v>
      </c>
      <c r="Y5">
        <v>2</v>
      </c>
      <c r="Z5" t="s">
        <v>408</v>
      </c>
      <c r="AA5" t="s">
        <v>409</v>
      </c>
      <c r="AB5" t="s">
        <v>460</v>
      </c>
      <c r="AC5" t="s">
        <v>433</v>
      </c>
      <c r="AD5" t="s">
        <v>412</v>
      </c>
      <c r="AE5" t="s">
        <v>321</v>
      </c>
      <c r="AF5" t="s">
        <v>434</v>
      </c>
      <c r="AG5" t="s">
        <v>414</v>
      </c>
      <c r="AH5" t="s">
        <v>435</v>
      </c>
      <c r="AI5" t="s">
        <v>321</v>
      </c>
      <c r="AJ5" t="s">
        <v>415</v>
      </c>
      <c r="AK5" t="s">
        <v>416</v>
      </c>
      <c r="AL5" t="s">
        <v>417</v>
      </c>
      <c r="AM5" t="s">
        <v>418</v>
      </c>
      <c r="AN5" t="s">
        <v>461</v>
      </c>
      <c r="AO5" t="s">
        <v>883</v>
      </c>
      <c r="AP5">
        <v>16</v>
      </c>
      <c r="AQ5" t="s">
        <v>427</v>
      </c>
      <c r="AR5" t="s">
        <v>421</v>
      </c>
      <c r="AS5" t="s">
        <v>462</v>
      </c>
      <c r="AT5" t="s">
        <v>440</v>
      </c>
      <c r="AU5" t="s">
        <v>321</v>
      </c>
      <c r="AV5" t="s">
        <v>321</v>
      </c>
      <c r="AW5" t="s">
        <v>463</v>
      </c>
      <c r="AX5" t="s">
        <v>449</v>
      </c>
      <c r="AY5">
        <v>30</v>
      </c>
      <c r="AZ5" t="s">
        <v>423</v>
      </c>
      <c r="BA5" t="s">
        <v>424</v>
      </c>
      <c r="BB5" t="s">
        <v>417</v>
      </c>
      <c r="BC5" t="s">
        <v>425</v>
      </c>
      <c r="BD5" t="s">
        <v>461</v>
      </c>
      <c r="BE5" t="s">
        <v>419</v>
      </c>
      <c r="BF5">
        <v>78</v>
      </c>
      <c r="BG5" t="s">
        <v>427</v>
      </c>
      <c r="BH5" t="s">
        <v>421</v>
      </c>
      <c r="BI5" t="s">
        <v>428</v>
      </c>
      <c r="BJ5" t="s">
        <v>321</v>
      </c>
      <c r="BK5" t="s">
        <v>321</v>
      </c>
      <c r="BL5" t="s">
        <v>321</v>
      </c>
      <c r="BM5" t="s">
        <v>463</v>
      </c>
      <c r="BN5" t="s">
        <v>449</v>
      </c>
      <c r="BO5">
        <v>30</v>
      </c>
      <c r="BP5" t="s">
        <v>423</v>
      </c>
      <c r="BQ5" t="s">
        <v>424</v>
      </c>
      <c r="BR5" t="s">
        <v>321</v>
      </c>
      <c r="BS5" t="s">
        <v>321</v>
      </c>
      <c r="BT5" t="s">
        <v>321</v>
      </c>
      <c r="BU5" t="s">
        <v>321</v>
      </c>
      <c r="BV5" t="s">
        <v>321</v>
      </c>
      <c r="BW5" t="s">
        <v>321</v>
      </c>
      <c r="BX5" t="s">
        <v>321</v>
      </c>
      <c r="BY5" t="s">
        <v>321</v>
      </c>
      <c r="BZ5" t="s">
        <v>321</v>
      </c>
      <c r="CA5" t="s">
        <v>321</v>
      </c>
      <c r="CB5" t="s">
        <v>321</v>
      </c>
      <c r="CC5" t="s">
        <v>321</v>
      </c>
      <c r="CD5" t="s">
        <v>321</v>
      </c>
      <c r="CE5" t="s">
        <v>321</v>
      </c>
      <c r="CF5" t="s">
        <v>321</v>
      </c>
      <c r="CG5" t="s">
        <v>321</v>
      </c>
      <c r="CH5" t="s">
        <v>321</v>
      </c>
      <c r="CI5" t="s">
        <v>321</v>
      </c>
      <c r="CJ5" t="s">
        <v>321</v>
      </c>
      <c r="CK5" t="s">
        <v>321</v>
      </c>
      <c r="CL5" t="s">
        <v>321</v>
      </c>
      <c r="CM5" t="s">
        <v>321</v>
      </c>
      <c r="CN5" t="s">
        <v>321</v>
      </c>
      <c r="CO5" t="s">
        <v>321</v>
      </c>
      <c r="CP5" t="s">
        <v>321</v>
      </c>
      <c r="CQ5" t="s">
        <v>321</v>
      </c>
      <c r="CR5" t="s">
        <v>321</v>
      </c>
      <c r="CS5" t="s">
        <v>321</v>
      </c>
      <c r="CT5" t="s">
        <v>321</v>
      </c>
      <c r="CU5" t="s">
        <v>321</v>
      </c>
      <c r="CV5" t="s">
        <v>321</v>
      </c>
      <c r="CW5" t="s">
        <v>321</v>
      </c>
      <c r="CX5">
        <v>278101.05</v>
      </c>
      <c r="CY5">
        <v>4925293.9210000001</v>
      </c>
      <c r="CZ5">
        <v>44.446908000000001</v>
      </c>
      <c r="DA5">
        <v>-95.788715999999994</v>
      </c>
      <c r="DB5" s="291">
        <v>42544.791666666664</v>
      </c>
      <c r="DC5" t="s">
        <v>231</v>
      </c>
      <c r="DD5" t="s">
        <v>429</v>
      </c>
      <c r="DE5" t="s">
        <v>455</v>
      </c>
      <c r="DF5" t="s">
        <v>456</v>
      </c>
      <c r="DG5" t="s">
        <v>1139</v>
      </c>
      <c r="DH5">
        <v>0</v>
      </c>
      <c r="DI5" t="s">
        <v>327</v>
      </c>
      <c r="DJ5">
        <v>100</v>
      </c>
      <c r="DK5">
        <v>9</v>
      </c>
    </row>
    <row r="6" spans="1:115" x14ac:dyDescent="0.25">
      <c r="A6">
        <v>5</v>
      </c>
      <c r="B6" t="s">
        <v>657</v>
      </c>
      <c r="C6">
        <v>1</v>
      </c>
      <c r="D6">
        <v>6</v>
      </c>
      <c r="E6">
        <v>769173</v>
      </c>
      <c r="F6" t="s">
        <v>464</v>
      </c>
      <c r="G6">
        <v>19</v>
      </c>
      <c r="H6">
        <v>34.405000000000001</v>
      </c>
      <c r="I6" t="s">
        <v>297</v>
      </c>
      <c r="J6" t="s">
        <v>299</v>
      </c>
      <c r="K6" t="s">
        <v>321</v>
      </c>
      <c r="L6" t="s">
        <v>406</v>
      </c>
      <c r="M6" t="s">
        <v>299</v>
      </c>
      <c r="N6" t="s">
        <v>321</v>
      </c>
      <c r="O6" t="s">
        <v>465</v>
      </c>
      <c r="P6">
        <v>193430051</v>
      </c>
      <c r="Q6" s="290">
        <v>45272</v>
      </c>
      <c r="R6">
        <v>9</v>
      </c>
      <c r="S6">
        <v>2019</v>
      </c>
      <c r="T6" t="s">
        <v>431</v>
      </c>
      <c r="U6">
        <v>8</v>
      </c>
      <c r="V6" t="s">
        <v>466</v>
      </c>
      <c r="W6" t="s">
        <v>320</v>
      </c>
      <c r="X6">
        <v>0</v>
      </c>
      <c r="Y6">
        <v>2</v>
      </c>
      <c r="Z6" t="s">
        <v>451</v>
      </c>
      <c r="AA6" t="s">
        <v>409</v>
      </c>
      <c r="AB6" t="s">
        <v>463</v>
      </c>
      <c r="AC6" t="s">
        <v>433</v>
      </c>
      <c r="AD6" t="s">
        <v>467</v>
      </c>
      <c r="AE6" t="s">
        <v>468</v>
      </c>
      <c r="AF6" t="s">
        <v>413</v>
      </c>
      <c r="AG6" t="s">
        <v>414</v>
      </c>
      <c r="AH6" t="s">
        <v>469</v>
      </c>
      <c r="AI6" t="s">
        <v>470</v>
      </c>
      <c r="AJ6" t="s">
        <v>471</v>
      </c>
      <c r="AK6" t="s">
        <v>451</v>
      </c>
      <c r="AL6" t="s">
        <v>417</v>
      </c>
      <c r="AM6" t="s">
        <v>418</v>
      </c>
      <c r="AN6" t="s">
        <v>453</v>
      </c>
      <c r="AO6" t="s">
        <v>426</v>
      </c>
      <c r="AP6">
        <v>64</v>
      </c>
      <c r="AQ6" t="s">
        <v>427</v>
      </c>
      <c r="AR6" t="s">
        <v>421</v>
      </c>
      <c r="AS6" t="s">
        <v>428</v>
      </c>
      <c r="AT6" t="s">
        <v>321</v>
      </c>
      <c r="AU6" t="s">
        <v>321</v>
      </c>
      <c r="AV6" t="s">
        <v>321</v>
      </c>
      <c r="AW6" t="s">
        <v>441</v>
      </c>
      <c r="AX6" t="s">
        <v>449</v>
      </c>
      <c r="AY6">
        <v>30</v>
      </c>
      <c r="AZ6" t="s">
        <v>423</v>
      </c>
      <c r="BA6" t="s">
        <v>424</v>
      </c>
      <c r="BB6" t="s">
        <v>417</v>
      </c>
      <c r="BC6" t="s">
        <v>418</v>
      </c>
      <c r="BD6" t="s">
        <v>472</v>
      </c>
      <c r="BE6" t="s">
        <v>426</v>
      </c>
      <c r="BF6">
        <v>25</v>
      </c>
      <c r="BG6" t="s">
        <v>427</v>
      </c>
      <c r="BH6" t="s">
        <v>421</v>
      </c>
      <c r="BI6" t="s">
        <v>473</v>
      </c>
      <c r="BJ6" t="s">
        <v>321</v>
      </c>
      <c r="BK6" t="s">
        <v>321</v>
      </c>
      <c r="BL6" t="s">
        <v>321</v>
      </c>
      <c r="BM6" t="s">
        <v>441</v>
      </c>
      <c r="BN6" t="s">
        <v>449</v>
      </c>
      <c r="BO6">
        <v>30</v>
      </c>
      <c r="BP6" t="s">
        <v>423</v>
      </c>
      <c r="BQ6" t="s">
        <v>424</v>
      </c>
      <c r="BR6" t="s">
        <v>321</v>
      </c>
      <c r="BS6" t="s">
        <v>321</v>
      </c>
      <c r="BT6" t="s">
        <v>321</v>
      </c>
      <c r="BU6" t="s">
        <v>321</v>
      </c>
      <c r="BV6" t="s">
        <v>321</v>
      </c>
      <c r="BW6" t="s">
        <v>321</v>
      </c>
      <c r="BX6" t="s">
        <v>321</v>
      </c>
      <c r="BY6" t="s">
        <v>321</v>
      </c>
      <c r="BZ6" t="s">
        <v>321</v>
      </c>
      <c r="CA6" t="s">
        <v>321</v>
      </c>
      <c r="CB6" t="s">
        <v>321</v>
      </c>
      <c r="CC6" t="s">
        <v>321</v>
      </c>
      <c r="CD6" t="s">
        <v>321</v>
      </c>
      <c r="CE6" t="s">
        <v>321</v>
      </c>
      <c r="CF6" t="s">
        <v>321</v>
      </c>
      <c r="CG6" t="s">
        <v>321</v>
      </c>
      <c r="CH6" t="s">
        <v>321</v>
      </c>
      <c r="CI6" t="s">
        <v>321</v>
      </c>
      <c r="CJ6" t="s">
        <v>321</v>
      </c>
      <c r="CK6" t="s">
        <v>321</v>
      </c>
      <c r="CL6" t="s">
        <v>321</v>
      </c>
      <c r="CM6" t="s">
        <v>321</v>
      </c>
      <c r="CN6" t="s">
        <v>321</v>
      </c>
      <c r="CO6" t="s">
        <v>321</v>
      </c>
      <c r="CP6" t="s">
        <v>321</v>
      </c>
      <c r="CQ6" t="s">
        <v>321</v>
      </c>
      <c r="CR6" t="s">
        <v>321</v>
      </c>
      <c r="CS6" t="s">
        <v>321</v>
      </c>
      <c r="CT6" t="s">
        <v>321</v>
      </c>
      <c r="CU6" t="s">
        <v>321</v>
      </c>
      <c r="CV6" t="s">
        <v>321</v>
      </c>
      <c r="CW6" t="s">
        <v>321</v>
      </c>
      <c r="CX6">
        <v>277662.06060000003</v>
      </c>
      <c r="CY6">
        <v>4924890.5449999999</v>
      </c>
      <c r="CZ6">
        <v>44.443145999999999</v>
      </c>
      <c r="DA6">
        <v>-95.794054000000003</v>
      </c>
      <c r="DB6" s="291">
        <v>43808.340277777781</v>
      </c>
      <c r="DC6" t="s">
        <v>231</v>
      </c>
      <c r="DD6" t="s">
        <v>429</v>
      </c>
      <c r="DE6" t="s">
        <v>455</v>
      </c>
      <c r="DF6" t="s">
        <v>456</v>
      </c>
      <c r="DG6" t="s">
        <v>474</v>
      </c>
      <c r="DH6">
        <v>0</v>
      </c>
      <c r="DI6" t="s">
        <v>658</v>
      </c>
      <c r="DJ6">
        <v>100</v>
      </c>
      <c r="DK6">
        <v>4</v>
      </c>
    </row>
    <row r="7" spans="1:115" x14ac:dyDescent="0.25">
      <c r="A7">
        <v>6</v>
      </c>
      <c r="B7" t="s">
        <v>657</v>
      </c>
      <c r="C7">
        <v>1</v>
      </c>
      <c r="D7">
        <v>7</v>
      </c>
      <c r="E7">
        <v>969156</v>
      </c>
      <c r="F7" t="s">
        <v>405</v>
      </c>
      <c r="G7">
        <v>59</v>
      </c>
      <c r="H7">
        <v>73.900000000000006</v>
      </c>
      <c r="I7" t="s">
        <v>297</v>
      </c>
      <c r="J7" t="s">
        <v>299</v>
      </c>
      <c r="K7" t="s">
        <v>321</v>
      </c>
      <c r="L7" t="s">
        <v>406</v>
      </c>
      <c r="M7" t="s">
        <v>299</v>
      </c>
      <c r="N7" t="s">
        <v>321</v>
      </c>
      <c r="O7" t="s">
        <v>475</v>
      </c>
      <c r="P7">
        <v>212980103</v>
      </c>
      <c r="Q7" s="290">
        <v>45209</v>
      </c>
      <c r="R7">
        <v>25</v>
      </c>
      <c r="S7">
        <v>2021</v>
      </c>
      <c r="T7" t="s">
        <v>431</v>
      </c>
      <c r="U7">
        <v>14</v>
      </c>
      <c r="V7" t="s">
        <v>422</v>
      </c>
      <c r="W7" t="s">
        <v>319</v>
      </c>
      <c r="X7">
        <v>0</v>
      </c>
      <c r="Y7">
        <v>3</v>
      </c>
      <c r="Z7" t="s">
        <v>476</v>
      </c>
      <c r="AA7" t="s">
        <v>409</v>
      </c>
      <c r="AB7" t="s">
        <v>452</v>
      </c>
      <c r="AC7" t="s">
        <v>433</v>
      </c>
      <c r="AD7" t="s">
        <v>412</v>
      </c>
      <c r="AE7" t="s">
        <v>321</v>
      </c>
      <c r="AF7" t="s">
        <v>434</v>
      </c>
      <c r="AG7" t="s">
        <v>414</v>
      </c>
      <c r="AH7" t="s">
        <v>435</v>
      </c>
      <c r="AI7" t="s">
        <v>477</v>
      </c>
      <c r="AJ7" t="s">
        <v>415</v>
      </c>
      <c r="AK7" t="s">
        <v>447</v>
      </c>
      <c r="AL7" t="s">
        <v>417</v>
      </c>
      <c r="AM7" t="s">
        <v>478</v>
      </c>
      <c r="AN7" t="s">
        <v>453</v>
      </c>
      <c r="AO7" t="s">
        <v>426</v>
      </c>
      <c r="AP7">
        <v>18</v>
      </c>
      <c r="AQ7" t="s">
        <v>427</v>
      </c>
      <c r="AR7" t="s">
        <v>421</v>
      </c>
      <c r="AS7" t="s">
        <v>479</v>
      </c>
      <c r="AT7" t="s">
        <v>321</v>
      </c>
      <c r="AU7" t="s">
        <v>321</v>
      </c>
      <c r="AV7" t="s">
        <v>321</v>
      </c>
      <c r="AW7" t="s">
        <v>441</v>
      </c>
      <c r="AX7" t="s">
        <v>449</v>
      </c>
      <c r="AY7">
        <v>30</v>
      </c>
      <c r="AZ7" t="s">
        <v>423</v>
      </c>
      <c r="BA7" t="s">
        <v>424</v>
      </c>
      <c r="BB7" t="s">
        <v>417</v>
      </c>
      <c r="BC7" t="s">
        <v>425</v>
      </c>
      <c r="BD7" t="s">
        <v>453</v>
      </c>
      <c r="BE7" t="s">
        <v>480</v>
      </c>
      <c r="BF7">
        <v>38</v>
      </c>
      <c r="BG7" t="s">
        <v>427</v>
      </c>
      <c r="BH7" t="s">
        <v>421</v>
      </c>
      <c r="BI7" t="s">
        <v>428</v>
      </c>
      <c r="BJ7" t="s">
        <v>321</v>
      </c>
      <c r="BK7" t="s">
        <v>321</v>
      </c>
      <c r="BL7" t="s">
        <v>321</v>
      </c>
      <c r="BM7" t="s">
        <v>441</v>
      </c>
      <c r="BN7" t="s">
        <v>449</v>
      </c>
      <c r="BO7">
        <v>30</v>
      </c>
      <c r="BP7" t="s">
        <v>423</v>
      </c>
      <c r="BQ7" t="s">
        <v>424</v>
      </c>
      <c r="BR7" t="s">
        <v>417</v>
      </c>
      <c r="BS7" t="s">
        <v>425</v>
      </c>
      <c r="BT7" t="s">
        <v>453</v>
      </c>
      <c r="BU7" t="s">
        <v>480</v>
      </c>
      <c r="BV7">
        <v>21</v>
      </c>
      <c r="BW7" t="s">
        <v>420</v>
      </c>
      <c r="BX7" t="s">
        <v>421</v>
      </c>
      <c r="BY7" t="s">
        <v>428</v>
      </c>
      <c r="BZ7" t="s">
        <v>321</v>
      </c>
      <c r="CA7" t="s">
        <v>321</v>
      </c>
      <c r="CB7" t="s">
        <v>321</v>
      </c>
      <c r="CC7" t="s">
        <v>441</v>
      </c>
      <c r="CD7" t="s">
        <v>449</v>
      </c>
      <c r="CE7">
        <v>30</v>
      </c>
      <c r="CF7" t="s">
        <v>423</v>
      </c>
      <c r="CG7" t="s">
        <v>424</v>
      </c>
      <c r="CH7" t="s">
        <v>321</v>
      </c>
      <c r="CI7" t="s">
        <v>321</v>
      </c>
      <c r="CJ7" t="s">
        <v>321</v>
      </c>
      <c r="CK7" t="s">
        <v>321</v>
      </c>
      <c r="CL7" t="s">
        <v>321</v>
      </c>
      <c r="CM7" t="s">
        <v>321</v>
      </c>
      <c r="CN7" t="s">
        <v>321</v>
      </c>
      <c r="CO7" t="s">
        <v>321</v>
      </c>
      <c r="CP7" t="s">
        <v>321</v>
      </c>
      <c r="CQ7" t="s">
        <v>321</v>
      </c>
      <c r="CR7" t="s">
        <v>321</v>
      </c>
      <c r="CS7" t="s">
        <v>321</v>
      </c>
      <c r="CT7" t="s">
        <v>321</v>
      </c>
      <c r="CU7" t="s">
        <v>321</v>
      </c>
      <c r="CV7" t="s">
        <v>321</v>
      </c>
      <c r="CW7" t="s">
        <v>321</v>
      </c>
      <c r="CX7">
        <v>278099.72519999999</v>
      </c>
      <c r="CY7">
        <v>4925295.32</v>
      </c>
      <c r="CZ7">
        <v>44.446919999999999</v>
      </c>
      <c r="DA7">
        <v>-95.788734000000005</v>
      </c>
      <c r="DB7" s="291">
        <v>44494.611111111109</v>
      </c>
      <c r="DC7" t="s">
        <v>231</v>
      </c>
      <c r="DD7" t="s">
        <v>429</v>
      </c>
      <c r="DE7" t="s">
        <v>455</v>
      </c>
      <c r="DF7" t="s">
        <v>456</v>
      </c>
      <c r="DG7" t="s">
        <v>481</v>
      </c>
      <c r="DH7">
        <v>0</v>
      </c>
      <c r="DI7" t="s">
        <v>327</v>
      </c>
      <c r="DJ7">
        <v>100</v>
      </c>
      <c r="DK7">
        <v>9</v>
      </c>
    </row>
    <row r="8" spans="1:115" x14ac:dyDescent="0.25">
      <c r="A8">
        <v>7</v>
      </c>
      <c r="B8" t="s">
        <v>657</v>
      </c>
      <c r="C8">
        <v>2</v>
      </c>
      <c r="D8">
        <v>8</v>
      </c>
      <c r="E8">
        <v>700649</v>
      </c>
      <c r="F8" t="s">
        <v>464</v>
      </c>
      <c r="G8">
        <v>19</v>
      </c>
      <c r="H8">
        <v>34.616</v>
      </c>
      <c r="I8" t="s">
        <v>297</v>
      </c>
      <c r="J8" t="s">
        <v>299</v>
      </c>
      <c r="K8" t="s">
        <v>321</v>
      </c>
      <c r="L8" t="s">
        <v>406</v>
      </c>
      <c r="M8" t="s">
        <v>299</v>
      </c>
      <c r="N8" t="s">
        <v>321</v>
      </c>
      <c r="O8" t="s">
        <v>482</v>
      </c>
      <c r="P8">
        <v>190870139</v>
      </c>
      <c r="Q8" s="290">
        <v>44988</v>
      </c>
      <c r="R8">
        <v>28</v>
      </c>
      <c r="S8">
        <v>2019</v>
      </c>
      <c r="T8" t="s">
        <v>458</v>
      </c>
      <c r="U8">
        <v>19</v>
      </c>
      <c r="V8" t="s">
        <v>450</v>
      </c>
      <c r="W8" t="s">
        <v>319</v>
      </c>
      <c r="X8">
        <v>0</v>
      </c>
      <c r="Y8">
        <v>2</v>
      </c>
      <c r="Z8" t="s">
        <v>476</v>
      </c>
      <c r="AA8" t="s">
        <v>409</v>
      </c>
      <c r="AB8" t="s">
        <v>452</v>
      </c>
      <c r="AC8" t="s">
        <v>433</v>
      </c>
      <c r="AD8" t="s">
        <v>412</v>
      </c>
      <c r="AE8" t="s">
        <v>321</v>
      </c>
      <c r="AF8" t="s">
        <v>434</v>
      </c>
      <c r="AG8" t="s">
        <v>414</v>
      </c>
      <c r="AH8" t="s">
        <v>477</v>
      </c>
      <c r="AI8" t="s">
        <v>483</v>
      </c>
      <c r="AJ8" t="s">
        <v>471</v>
      </c>
      <c r="AK8" t="s">
        <v>447</v>
      </c>
      <c r="AL8" t="s">
        <v>417</v>
      </c>
      <c r="AM8" t="s">
        <v>418</v>
      </c>
      <c r="AN8" t="s">
        <v>453</v>
      </c>
      <c r="AO8" t="s">
        <v>480</v>
      </c>
      <c r="AP8">
        <v>62</v>
      </c>
      <c r="AQ8" t="s">
        <v>420</v>
      </c>
      <c r="AR8" t="s">
        <v>421</v>
      </c>
      <c r="AS8" t="s">
        <v>428</v>
      </c>
      <c r="AT8" t="s">
        <v>321</v>
      </c>
      <c r="AU8" t="s">
        <v>321</v>
      </c>
      <c r="AV8" t="s">
        <v>321</v>
      </c>
      <c r="AW8" t="s">
        <v>441</v>
      </c>
      <c r="AX8" t="s">
        <v>449</v>
      </c>
      <c r="AY8">
        <v>30</v>
      </c>
      <c r="AZ8" t="s">
        <v>423</v>
      </c>
      <c r="BA8" t="s">
        <v>424</v>
      </c>
      <c r="BB8" t="s">
        <v>417</v>
      </c>
      <c r="BC8" t="s">
        <v>425</v>
      </c>
      <c r="BD8" t="s">
        <v>453</v>
      </c>
      <c r="BE8" t="s">
        <v>426</v>
      </c>
      <c r="BF8">
        <v>21</v>
      </c>
      <c r="BG8" t="s">
        <v>420</v>
      </c>
      <c r="BH8" t="s">
        <v>421</v>
      </c>
      <c r="BI8" t="s">
        <v>479</v>
      </c>
      <c r="BJ8" t="s">
        <v>321</v>
      </c>
      <c r="BK8" t="s">
        <v>321</v>
      </c>
      <c r="BL8" t="s">
        <v>321</v>
      </c>
      <c r="BM8" t="s">
        <v>441</v>
      </c>
      <c r="BN8" t="s">
        <v>449</v>
      </c>
      <c r="BO8">
        <v>30</v>
      </c>
      <c r="BP8" t="s">
        <v>423</v>
      </c>
      <c r="BQ8" t="s">
        <v>424</v>
      </c>
      <c r="BR8" t="s">
        <v>321</v>
      </c>
      <c r="BS8" t="s">
        <v>321</v>
      </c>
      <c r="BT8" t="s">
        <v>321</v>
      </c>
      <c r="BU8" t="s">
        <v>321</v>
      </c>
      <c r="BV8" t="s">
        <v>321</v>
      </c>
      <c r="BW8" t="s">
        <v>321</v>
      </c>
      <c r="BX8" t="s">
        <v>321</v>
      </c>
      <c r="BY8" t="s">
        <v>321</v>
      </c>
      <c r="BZ8" t="s">
        <v>321</v>
      </c>
      <c r="CA8" t="s">
        <v>321</v>
      </c>
      <c r="CB8" t="s">
        <v>321</v>
      </c>
      <c r="CC8" t="s">
        <v>321</v>
      </c>
      <c r="CD8" t="s">
        <v>321</v>
      </c>
      <c r="CE8" t="s">
        <v>321</v>
      </c>
      <c r="CF8" t="s">
        <v>321</v>
      </c>
      <c r="CG8" t="s">
        <v>321</v>
      </c>
      <c r="CH8" t="s">
        <v>321</v>
      </c>
      <c r="CI8" t="s">
        <v>321</v>
      </c>
      <c r="CJ8" t="s">
        <v>321</v>
      </c>
      <c r="CK8" t="s">
        <v>321</v>
      </c>
      <c r="CL8" t="s">
        <v>321</v>
      </c>
      <c r="CM8" t="s">
        <v>321</v>
      </c>
      <c r="CN8" t="s">
        <v>321</v>
      </c>
      <c r="CO8" t="s">
        <v>321</v>
      </c>
      <c r="CP8" t="s">
        <v>321</v>
      </c>
      <c r="CQ8" t="s">
        <v>321</v>
      </c>
      <c r="CR8" t="s">
        <v>321</v>
      </c>
      <c r="CS8" t="s">
        <v>321</v>
      </c>
      <c r="CT8" t="s">
        <v>321</v>
      </c>
      <c r="CU8" t="s">
        <v>321</v>
      </c>
      <c r="CV8" t="s">
        <v>321</v>
      </c>
      <c r="CW8" t="s">
        <v>321</v>
      </c>
      <c r="CX8">
        <v>277910.88339999999</v>
      </c>
      <c r="CY8">
        <v>4925119.5410000002</v>
      </c>
      <c r="CZ8">
        <v>44.445281000000001</v>
      </c>
      <c r="DA8">
        <v>-95.791028999999995</v>
      </c>
      <c r="DB8" s="291">
        <v>43552.792361111111</v>
      </c>
      <c r="DC8" t="s">
        <v>231</v>
      </c>
      <c r="DD8" t="s">
        <v>429</v>
      </c>
      <c r="DE8" t="s">
        <v>455</v>
      </c>
      <c r="DF8" t="s">
        <v>456</v>
      </c>
      <c r="DG8" t="s">
        <v>484</v>
      </c>
      <c r="DH8">
        <v>0</v>
      </c>
      <c r="DI8" t="s">
        <v>333</v>
      </c>
      <c r="DJ8">
        <v>100</v>
      </c>
      <c r="DK8">
        <v>6</v>
      </c>
    </row>
    <row r="9" spans="1:115" x14ac:dyDescent="0.25">
      <c r="A9">
        <v>8</v>
      </c>
      <c r="B9" t="s">
        <v>657</v>
      </c>
      <c r="C9">
        <v>1</v>
      </c>
      <c r="D9">
        <v>9</v>
      </c>
      <c r="E9">
        <v>425001</v>
      </c>
      <c r="F9" t="s">
        <v>405</v>
      </c>
      <c r="G9">
        <v>59</v>
      </c>
      <c r="H9">
        <v>73.900000000000006</v>
      </c>
      <c r="I9" t="s">
        <v>297</v>
      </c>
      <c r="J9" t="s">
        <v>299</v>
      </c>
      <c r="K9" t="s">
        <v>321</v>
      </c>
      <c r="L9" t="s">
        <v>406</v>
      </c>
      <c r="M9" t="s">
        <v>299</v>
      </c>
      <c r="N9" t="s">
        <v>321</v>
      </c>
      <c r="O9" t="s">
        <v>1138</v>
      </c>
      <c r="P9">
        <v>170550030</v>
      </c>
      <c r="Q9" s="290">
        <v>44959</v>
      </c>
      <c r="R9">
        <v>24</v>
      </c>
      <c r="S9">
        <v>2017</v>
      </c>
      <c r="T9" t="s">
        <v>485</v>
      </c>
      <c r="U9">
        <v>10</v>
      </c>
      <c r="V9" t="s">
        <v>321</v>
      </c>
      <c r="W9" t="s">
        <v>320</v>
      </c>
      <c r="X9">
        <v>0</v>
      </c>
      <c r="Y9">
        <v>2</v>
      </c>
      <c r="Z9" t="s">
        <v>408</v>
      </c>
      <c r="AA9" t="s">
        <v>409</v>
      </c>
      <c r="AB9" t="s">
        <v>452</v>
      </c>
      <c r="AC9" t="s">
        <v>433</v>
      </c>
      <c r="AD9" t="s">
        <v>412</v>
      </c>
      <c r="AE9" t="s">
        <v>321</v>
      </c>
      <c r="AF9" t="s">
        <v>434</v>
      </c>
      <c r="AG9" t="s">
        <v>414</v>
      </c>
      <c r="AH9" t="s">
        <v>435</v>
      </c>
      <c r="AI9" t="s">
        <v>477</v>
      </c>
      <c r="AJ9" t="s">
        <v>415</v>
      </c>
      <c r="AK9" t="s">
        <v>416</v>
      </c>
      <c r="AL9" t="s">
        <v>417</v>
      </c>
      <c r="AM9" t="s">
        <v>425</v>
      </c>
      <c r="AN9" t="s">
        <v>453</v>
      </c>
      <c r="AO9" t="s">
        <v>883</v>
      </c>
      <c r="AP9">
        <v>49</v>
      </c>
      <c r="AQ9" t="s">
        <v>427</v>
      </c>
      <c r="AR9" t="s">
        <v>421</v>
      </c>
      <c r="AS9" t="s">
        <v>846</v>
      </c>
      <c r="AT9" t="s">
        <v>321</v>
      </c>
      <c r="AU9" t="s">
        <v>321</v>
      </c>
      <c r="AV9" t="s">
        <v>321</v>
      </c>
      <c r="AW9" t="s">
        <v>441</v>
      </c>
      <c r="AX9" t="s">
        <v>449</v>
      </c>
      <c r="AY9">
        <v>30</v>
      </c>
      <c r="AZ9" t="s">
        <v>423</v>
      </c>
      <c r="BA9" t="s">
        <v>424</v>
      </c>
      <c r="BB9" t="s">
        <v>417</v>
      </c>
      <c r="BC9" t="s">
        <v>425</v>
      </c>
      <c r="BD9" t="s">
        <v>453</v>
      </c>
      <c r="BE9" t="s">
        <v>426</v>
      </c>
      <c r="BF9">
        <v>47</v>
      </c>
      <c r="BG9" t="s">
        <v>420</v>
      </c>
      <c r="BH9" t="s">
        <v>421</v>
      </c>
      <c r="BI9" t="s">
        <v>428</v>
      </c>
      <c r="BJ9" t="s">
        <v>321</v>
      </c>
      <c r="BK9" t="s">
        <v>321</v>
      </c>
      <c r="BL9" t="s">
        <v>321</v>
      </c>
      <c r="BM9" t="s">
        <v>441</v>
      </c>
      <c r="BN9" t="s">
        <v>449</v>
      </c>
      <c r="BO9">
        <v>30</v>
      </c>
      <c r="BP9" t="s">
        <v>423</v>
      </c>
      <c r="BQ9" t="s">
        <v>424</v>
      </c>
      <c r="BR9" t="s">
        <v>321</v>
      </c>
      <c r="BS9" t="s">
        <v>321</v>
      </c>
      <c r="BT9" t="s">
        <v>321</v>
      </c>
      <c r="BU9" t="s">
        <v>321</v>
      </c>
      <c r="BV9" t="s">
        <v>321</v>
      </c>
      <c r="BW9" t="s">
        <v>321</v>
      </c>
      <c r="BX9" t="s">
        <v>321</v>
      </c>
      <c r="BY9" t="s">
        <v>321</v>
      </c>
      <c r="BZ9" t="s">
        <v>321</v>
      </c>
      <c r="CA9" t="s">
        <v>321</v>
      </c>
      <c r="CB9" t="s">
        <v>321</v>
      </c>
      <c r="CC9" t="s">
        <v>321</v>
      </c>
      <c r="CD9" t="s">
        <v>321</v>
      </c>
      <c r="CE9" t="s">
        <v>321</v>
      </c>
      <c r="CF9" t="s">
        <v>321</v>
      </c>
      <c r="CG9" t="s">
        <v>321</v>
      </c>
      <c r="CH9" t="s">
        <v>321</v>
      </c>
      <c r="CI9" t="s">
        <v>321</v>
      </c>
      <c r="CJ9" t="s">
        <v>321</v>
      </c>
      <c r="CK9" t="s">
        <v>321</v>
      </c>
      <c r="CL9" t="s">
        <v>321</v>
      </c>
      <c r="CM9" t="s">
        <v>321</v>
      </c>
      <c r="CN9" t="s">
        <v>321</v>
      </c>
      <c r="CO9" t="s">
        <v>321</v>
      </c>
      <c r="CP9" t="s">
        <v>321</v>
      </c>
      <c r="CQ9" t="s">
        <v>321</v>
      </c>
      <c r="CR9" t="s">
        <v>321</v>
      </c>
      <c r="CS9" t="s">
        <v>321</v>
      </c>
      <c r="CT9" t="s">
        <v>321</v>
      </c>
      <c r="CU9" t="s">
        <v>321</v>
      </c>
      <c r="CV9" t="s">
        <v>321</v>
      </c>
      <c r="CW9" t="s">
        <v>321</v>
      </c>
      <c r="CX9">
        <v>278099.23489999998</v>
      </c>
      <c r="CY9">
        <v>4925295.8370000003</v>
      </c>
      <c r="CZ9">
        <v>44.446924000000003</v>
      </c>
      <c r="DA9">
        <v>-95.788740000000004</v>
      </c>
      <c r="DB9" s="291">
        <v>42790.441666666666</v>
      </c>
      <c r="DC9" t="s">
        <v>231</v>
      </c>
      <c r="DD9" t="s">
        <v>429</v>
      </c>
      <c r="DE9" t="s">
        <v>455</v>
      </c>
      <c r="DF9" t="s">
        <v>456</v>
      </c>
      <c r="DG9" t="s">
        <v>1137</v>
      </c>
      <c r="DH9">
        <v>0</v>
      </c>
      <c r="DI9" t="s">
        <v>327</v>
      </c>
      <c r="DJ9">
        <v>100</v>
      </c>
      <c r="DK9">
        <v>9</v>
      </c>
    </row>
    <row r="10" spans="1:115" x14ac:dyDescent="0.25">
      <c r="A10">
        <v>9</v>
      </c>
      <c r="B10" t="s">
        <v>657</v>
      </c>
      <c r="C10">
        <v>1</v>
      </c>
      <c r="D10">
        <v>10</v>
      </c>
      <c r="E10">
        <v>428950</v>
      </c>
      <c r="F10" t="s">
        <v>405</v>
      </c>
      <c r="G10">
        <v>59</v>
      </c>
      <c r="H10">
        <v>73.900999999999996</v>
      </c>
      <c r="I10" t="s">
        <v>297</v>
      </c>
      <c r="J10" t="s">
        <v>299</v>
      </c>
      <c r="K10" t="s">
        <v>321</v>
      </c>
      <c r="L10" t="s">
        <v>406</v>
      </c>
      <c r="M10" t="s">
        <v>299</v>
      </c>
      <c r="N10" t="s">
        <v>321</v>
      </c>
      <c r="O10" s="292">
        <v>202000000000</v>
      </c>
      <c r="P10">
        <v>170720169</v>
      </c>
      <c r="Q10" s="290">
        <v>44988</v>
      </c>
      <c r="R10">
        <v>13</v>
      </c>
      <c r="S10">
        <v>2017</v>
      </c>
      <c r="T10" t="s">
        <v>431</v>
      </c>
      <c r="U10">
        <v>10</v>
      </c>
      <c r="V10" t="s">
        <v>459</v>
      </c>
      <c r="W10" t="s">
        <v>319</v>
      </c>
      <c r="X10">
        <v>0</v>
      </c>
      <c r="Y10">
        <v>2</v>
      </c>
      <c r="Z10" t="s">
        <v>451</v>
      </c>
      <c r="AA10" t="s">
        <v>409</v>
      </c>
      <c r="AB10" t="s">
        <v>452</v>
      </c>
      <c r="AC10" t="s">
        <v>433</v>
      </c>
      <c r="AD10" t="s">
        <v>412</v>
      </c>
      <c r="AE10" t="s">
        <v>321</v>
      </c>
      <c r="AF10" t="s">
        <v>467</v>
      </c>
      <c r="AG10" t="s">
        <v>414</v>
      </c>
      <c r="AH10" t="s">
        <v>435</v>
      </c>
      <c r="AI10" t="s">
        <v>477</v>
      </c>
      <c r="AJ10" t="s">
        <v>415</v>
      </c>
      <c r="AK10" t="s">
        <v>486</v>
      </c>
      <c r="AL10" t="s">
        <v>417</v>
      </c>
      <c r="AM10" t="s">
        <v>425</v>
      </c>
      <c r="AN10" t="s">
        <v>461</v>
      </c>
      <c r="AO10" t="s">
        <v>487</v>
      </c>
      <c r="AP10">
        <v>20</v>
      </c>
      <c r="AQ10" t="s">
        <v>427</v>
      </c>
      <c r="AR10" t="s">
        <v>421</v>
      </c>
      <c r="AS10" t="s">
        <v>428</v>
      </c>
      <c r="AT10" t="s">
        <v>321</v>
      </c>
      <c r="AU10" t="s">
        <v>321</v>
      </c>
      <c r="AV10" t="s">
        <v>321</v>
      </c>
      <c r="AW10" t="s">
        <v>441</v>
      </c>
      <c r="AX10" t="s">
        <v>449</v>
      </c>
      <c r="AY10">
        <v>30</v>
      </c>
      <c r="AZ10" t="s">
        <v>423</v>
      </c>
      <c r="BA10" t="s">
        <v>424</v>
      </c>
      <c r="BB10" t="s">
        <v>417</v>
      </c>
      <c r="BC10" t="s">
        <v>425</v>
      </c>
      <c r="BD10" t="s">
        <v>448</v>
      </c>
      <c r="BE10" t="s">
        <v>426</v>
      </c>
      <c r="BF10">
        <v>18</v>
      </c>
      <c r="BG10" t="s">
        <v>427</v>
      </c>
      <c r="BH10" t="s">
        <v>421</v>
      </c>
      <c r="BI10" t="s">
        <v>428</v>
      </c>
      <c r="BJ10" t="s">
        <v>321</v>
      </c>
      <c r="BK10" t="s">
        <v>321</v>
      </c>
      <c r="BL10" t="s">
        <v>321</v>
      </c>
      <c r="BM10" t="s">
        <v>441</v>
      </c>
      <c r="BN10" t="s">
        <v>449</v>
      </c>
      <c r="BO10">
        <v>30</v>
      </c>
      <c r="BP10" t="s">
        <v>423</v>
      </c>
      <c r="BQ10" t="s">
        <v>424</v>
      </c>
      <c r="BR10" t="s">
        <v>321</v>
      </c>
      <c r="BS10" t="s">
        <v>321</v>
      </c>
      <c r="BT10" t="s">
        <v>321</v>
      </c>
      <c r="BU10" t="s">
        <v>321</v>
      </c>
      <c r="BV10" t="s">
        <v>321</v>
      </c>
      <c r="BW10" t="s">
        <v>321</v>
      </c>
      <c r="BX10" t="s">
        <v>321</v>
      </c>
      <c r="BY10" t="s">
        <v>321</v>
      </c>
      <c r="BZ10" t="s">
        <v>321</v>
      </c>
      <c r="CA10" t="s">
        <v>321</v>
      </c>
      <c r="CB10" t="s">
        <v>321</v>
      </c>
      <c r="CC10" t="s">
        <v>321</v>
      </c>
      <c r="CD10" t="s">
        <v>321</v>
      </c>
      <c r="CE10" t="s">
        <v>321</v>
      </c>
      <c r="CF10" t="s">
        <v>321</v>
      </c>
      <c r="CG10" t="s">
        <v>321</v>
      </c>
      <c r="CH10" t="s">
        <v>321</v>
      </c>
      <c r="CI10" t="s">
        <v>321</v>
      </c>
      <c r="CJ10" t="s">
        <v>321</v>
      </c>
      <c r="CK10" t="s">
        <v>321</v>
      </c>
      <c r="CL10" t="s">
        <v>321</v>
      </c>
      <c r="CM10" t="s">
        <v>321</v>
      </c>
      <c r="CN10" t="s">
        <v>321</v>
      </c>
      <c r="CO10" t="s">
        <v>321</v>
      </c>
      <c r="CP10" t="s">
        <v>321</v>
      </c>
      <c r="CQ10" t="s">
        <v>321</v>
      </c>
      <c r="CR10" t="s">
        <v>321</v>
      </c>
      <c r="CS10" t="s">
        <v>321</v>
      </c>
      <c r="CT10" t="s">
        <v>321</v>
      </c>
      <c r="CU10" t="s">
        <v>321</v>
      </c>
      <c r="CV10" t="s">
        <v>321</v>
      </c>
      <c r="CW10" t="s">
        <v>321</v>
      </c>
      <c r="CX10">
        <v>278098.41009999998</v>
      </c>
      <c r="CY10">
        <v>4925296.7079999996</v>
      </c>
      <c r="CZ10">
        <v>44.446931999999997</v>
      </c>
      <c r="DA10">
        <v>-95.788751000000005</v>
      </c>
      <c r="DB10" s="291">
        <v>42807.450694444444</v>
      </c>
      <c r="DC10" t="s">
        <v>231</v>
      </c>
      <c r="DD10" t="s">
        <v>429</v>
      </c>
      <c r="DE10" t="s">
        <v>455</v>
      </c>
      <c r="DF10" t="s">
        <v>456</v>
      </c>
      <c r="DG10" t="s">
        <v>1136</v>
      </c>
      <c r="DH10">
        <v>0</v>
      </c>
      <c r="DI10" t="s">
        <v>327</v>
      </c>
      <c r="DJ10">
        <v>100</v>
      </c>
      <c r="DK10">
        <v>9</v>
      </c>
    </row>
    <row r="11" spans="1:115" x14ac:dyDescent="0.25">
      <c r="A11">
        <v>10</v>
      </c>
      <c r="B11" t="s">
        <v>657</v>
      </c>
      <c r="C11">
        <v>2</v>
      </c>
      <c r="D11">
        <v>11</v>
      </c>
      <c r="E11">
        <v>775437</v>
      </c>
      <c r="F11" t="s">
        <v>464</v>
      </c>
      <c r="G11">
        <v>19</v>
      </c>
      <c r="H11">
        <v>34.619</v>
      </c>
      <c r="I11" t="s">
        <v>297</v>
      </c>
      <c r="J11" t="s">
        <v>299</v>
      </c>
      <c r="K11" t="s">
        <v>321</v>
      </c>
      <c r="L11" t="s">
        <v>406</v>
      </c>
      <c r="M11" t="s">
        <v>299</v>
      </c>
      <c r="N11" t="s">
        <v>321</v>
      </c>
      <c r="O11" t="s">
        <v>488</v>
      </c>
      <c r="P11">
        <v>193630144</v>
      </c>
      <c r="Q11" s="290">
        <v>45272</v>
      </c>
      <c r="R11">
        <v>29</v>
      </c>
      <c r="S11">
        <v>2019</v>
      </c>
      <c r="T11" t="s">
        <v>489</v>
      </c>
      <c r="U11">
        <v>18</v>
      </c>
      <c r="V11" t="s">
        <v>466</v>
      </c>
      <c r="W11" t="s">
        <v>320</v>
      </c>
      <c r="X11">
        <v>0</v>
      </c>
      <c r="Y11">
        <v>1</v>
      </c>
      <c r="Z11" t="s">
        <v>321</v>
      </c>
      <c r="AA11" t="s">
        <v>490</v>
      </c>
      <c r="AB11" t="s">
        <v>452</v>
      </c>
      <c r="AC11" t="s">
        <v>411</v>
      </c>
      <c r="AD11" t="s">
        <v>467</v>
      </c>
      <c r="AE11" t="s">
        <v>321</v>
      </c>
      <c r="AF11" t="s">
        <v>467</v>
      </c>
      <c r="AG11" t="s">
        <v>414</v>
      </c>
      <c r="AH11" t="s">
        <v>477</v>
      </c>
      <c r="AI11" t="s">
        <v>483</v>
      </c>
      <c r="AJ11" t="s">
        <v>471</v>
      </c>
      <c r="AK11" t="s">
        <v>436</v>
      </c>
      <c r="AL11" t="s">
        <v>417</v>
      </c>
      <c r="AM11" t="s">
        <v>425</v>
      </c>
      <c r="AN11" t="s">
        <v>448</v>
      </c>
      <c r="AO11" t="s">
        <v>487</v>
      </c>
      <c r="AP11">
        <v>17</v>
      </c>
      <c r="AQ11" t="s">
        <v>420</v>
      </c>
      <c r="AR11" t="s">
        <v>421</v>
      </c>
      <c r="AS11" t="s">
        <v>428</v>
      </c>
      <c r="AT11" t="s">
        <v>321</v>
      </c>
      <c r="AU11" t="s">
        <v>321</v>
      </c>
      <c r="AV11" t="s">
        <v>321</v>
      </c>
      <c r="AW11" t="s">
        <v>441</v>
      </c>
      <c r="AX11" t="s">
        <v>449</v>
      </c>
      <c r="AY11">
        <v>30</v>
      </c>
      <c r="AZ11" t="s">
        <v>423</v>
      </c>
      <c r="BA11" t="s">
        <v>424</v>
      </c>
      <c r="BB11" t="s">
        <v>321</v>
      </c>
      <c r="BC11" t="s">
        <v>321</v>
      </c>
      <c r="BD11" t="s">
        <v>321</v>
      </c>
      <c r="BE11" t="s">
        <v>321</v>
      </c>
      <c r="BF11" t="s">
        <v>321</v>
      </c>
      <c r="BG11" t="s">
        <v>321</v>
      </c>
      <c r="BH11" t="s">
        <v>321</v>
      </c>
      <c r="BI11" t="s">
        <v>321</v>
      </c>
      <c r="BJ11" t="s">
        <v>321</v>
      </c>
      <c r="BK11" t="s">
        <v>321</v>
      </c>
      <c r="BL11" t="s">
        <v>321</v>
      </c>
      <c r="BM11" t="s">
        <v>321</v>
      </c>
      <c r="BN11" t="s">
        <v>321</v>
      </c>
      <c r="BO11" t="s">
        <v>321</v>
      </c>
      <c r="BP11" t="s">
        <v>321</v>
      </c>
      <c r="BQ11" t="s">
        <v>321</v>
      </c>
      <c r="BR11" t="s">
        <v>321</v>
      </c>
      <c r="BS11" t="s">
        <v>321</v>
      </c>
      <c r="BT11" t="s">
        <v>321</v>
      </c>
      <c r="BU11" t="s">
        <v>321</v>
      </c>
      <c r="BV11" t="s">
        <v>321</v>
      </c>
      <c r="BW11" t="s">
        <v>321</v>
      </c>
      <c r="BX11" t="s">
        <v>321</v>
      </c>
      <c r="BY11" t="s">
        <v>321</v>
      </c>
      <c r="BZ11" t="s">
        <v>321</v>
      </c>
      <c r="CA11" t="s">
        <v>321</v>
      </c>
      <c r="CB11" t="s">
        <v>321</v>
      </c>
      <c r="CC11" t="s">
        <v>321</v>
      </c>
      <c r="CD11" t="s">
        <v>321</v>
      </c>
      <c r="CE11" t="s">
        <v>321</v>
      </c>
      <c r="CF11" t="s">
        <v>321</v>
      </c>
      <c r="CG11" t="s">
        <v>321</v>
      </c>
      <c r="CH11" t="s">
        <v>321</v>
      </c>
      <c r="CI11" t="s">
        <v>321</v>
      </c>
      <c r="CJ11" t="s">
        <v>321</v>
      </c>
      <c r="CK11" t="s">
        <v>321</v>
      </c>
      <c r="CL11" t="s">
        <v>321</v>
      </c>
      <c r="CM11" t="s">
        <v>321</v>
      </c>
      <c r="CN11" t="s">
        <v>321</v>
      </c>
      <c r="CO11" t="s">
        <v>321</v>
      </c>
      <c r="CP11" t="s">
        <v>321</v>
      </c>
      <c r="CQ11" t="s">
        <v>321</v>
      </c>
      <c r="CR11" t="s">
        <v>321</v>
      </c>
      <c r="CS11" t="s">
        <v>321</v>
      </c>
      <c r="CT11" t="s">
        <v>321</v>
      </c>
      <c r="CU11" t="s">
        <v>321</v>
      </c>
      <c r="CV11" t="s">
        <v>321</v>
      </c>
      <c r="CW11" t="s">
        <v>321</v>
      </c>
      <c r="CX11">
        <v>277913.5699</v>
      </c>
      <c r="CY11">
        <v>4925122.0920000002</v>
      </c>
      <c r="CZ11">
        <v>44.445304999999998</v>
      </c>
      <c r="DA11">
        <v>-95.790996000000007</v>
      </c>
      <c r="DB11" s="291">
        <v>43828.763888888891</v>
      </c>
      <c r="DC11" t="s">
        <v>231</v>
      </c>
      <c r="DD11" t="s">
        <v>429</v>
      </c>
      <c r="DE11" t="s">
        <v>455</v>
      </c>
      <c r="DF11" t="s">
        <v>456</v>
      </c>
      <c r="DG11" t="s">
        <v>491</v>
      </c>
      <c r="DH11">
        <v>0</v>
      </c>
      <c r="DI11" t="s">
        <v>333</v>
      </c>
      <c r="DJ11">
        <v>100</v>
      </c>
      <c r="DK11">
        <v>6</v>
      </c>
    </row>
    <row r="12" spans="1:115" x14ac:dyDescent="0.25">
      <c r="A12">
        <v>11</v>
      </c>
      <c r="B12" t="s">
        <v>657</v>
      </c>
      <c r="C12">
        <v>1</v>
      </c>
      <c r="D12">
        <v>12</v>
      </c>
      <c r="E12">
        <v>10977489</v>
      </c>
      <c r="F12" t="s">
        <v>405</v>
      </c>
      <c r="G12">
        <v>59</v>
      </c>
      <c r="H12">
        <v>73.902000000000001</v>
      </c>
      <c r="I12" t="s">
        <v>297</v>
      </c>
      <c r="J12" t="s">
        <v>299</v>
      </c>
      <c r="K12" t="s">
        <v>321</v>
      </c>
      <c r="L12" t="s">
        <v>406</v>
      </c>
      <c r="M12" t="s">
        <v>299</v>
      </c>
      <c r="N12" t="s">
        <v>321</v>
      </c>
      <c r="O12" t="s">
        <v>1135</v>
      </c>
      <c r="P12">
        <v>141990150</v>
      </c>
      <c r="Q12" s="290">
        <v>45114</v>
      </c>
      <c r="R12">
        <v>18</v>
      </c>
      <c r="S12">
        <v>2014</v>
      </c>
      <c r="T12" t="s">
        <v>485</v>
      </c>
      <c r="U12">
        <v>14</v>
      </c>
      <c r="V12" t="s">
        <v>321</v>
      </c>
      <c r="W12" t="s">
        <v>320</v>
      </c>
      <c r="X12">
        <v>0</v>
      </c>
      <c r="Y12">
        <v>2</v>
      </c>
      <c r="Z12" t="s">
        <v>408</v>
      </c>
      <c r="AA12" t="s">
        <v>409</v>
      </c>
      <c r="AB12" t="s">
        <v>410</v>
      </c>
      <c r="AC12" t="s">
        <v>433</v>
      </c>
      <c r="AD12" t="s">
        <v>446</v>
      </c>
      <c r="AE12" t="s">
        <v>321</v>
      </c>
      <c r="AF12" t="s">
        <v>434</v>
      </c>
      <c r="AG12" t="s">
        <v>414</v>
      </c>
      <c r="AH12" t="s">
        <v>1134</v>
      </c>
      <c r="AI12" t="s">
        <v>1133</v>
      </c>
      <c r="AJ12" t="s">
        <v>415</v>
      </c>
      <c r="AK12" t="s">
        <v>416</v>
      </c>
      <c r="AL12" t="s">
        <v>417</v>
      </c>
      <c r="AM12" t="s">
        <v>418</v>
      </c>
      <c r="AN12" t="s">
        <v>922</v>
      </c>
      <c r="AO12" t="s">
        <v>883</v>
      </c>
      <c r="AP12">
        <v>16</v>
      </c>
      <c r="AQ12" t="s">
        <v>427</v>
      </c>
      <c r="AR12" t="s">
        <v>421</v>
      </c>
      <c r="AS12" t="s">
        <v>462</v>
      </c>
      <c r="AT12" t="s">
        <v>321</v>
      </c>
      <c r="AU12" t="s">
        <v>321</v>
      </c>
      <c r="AV12" t="s">
        <v>321</v>
      </c>
      <c r="AW12" t="s">
        <v>816</v>
      </c>
      <c r="AX12" t="s">
        <v>422</v>
      </c>
      <c r="AY12">
        <v>20</v>
      </c>
      <c r="AZ12" t="s">
        <v>423</v>
      </c>
      <c r="BA12" t="s">
        <v>424</v>
      </c>
      <c r="BB12" t="s">
        <v>417</v>
      </c>
      <c r="BC12" t="s">
        <v>425</v>
      </c>
      <c r="BD12" t="s">
        <v>922</v>
      </c>
      <c r="BE12" t="s">
        <v>426</v>
      </c>
      <c r="BF12">
        <v>25</v>
      </c>
      <c r="BG12" t="s">
        <v>420</v>
      </c>
      <c r="BH12" t="s">
        <v>421</v>
      </c>
      <c r="BI12" t="s">
        <v>428</v>
      </c>
      <c r="BJ12" t="s">
        <v>321</v>
      </c>
      <c r="BK12" t="s">
        <v>321</v>
      </c>
      <c r="BL12" t="s">
        <v>321</v>
      </c>
      <c r="BM12" t="s">
        <v>816</v>
      </c>
      <c r="BN12" t="s">
        <v>422</v>
      </c>
      <c r="BO12">
        <v>20</v>
      </c>
      <c r="BP12" t="s">
        <v>423</v>
      </c>
      <c r="BQ12" t="s">
        <v>424</v>
      </c>
      <c r="BR12" t="s">
        <v>321</v>
      </c>
      <c r="BS12" t="s">
        <v>321</v>
      </c>
      <c r="BT12" t="s">
        <v>321</v>
      </c>
      <c r="BU12" t="s">
        <v>321</v>
      </c>
      <c r="BV12" t="s">
        <v>321</v>
      </c>
      <c r="BW12" t="s">
        <v>321</v>
      </c>
      <c r="BX12" t="s">
        <v>321</v>
      </c>
      <c r="BY12" t="s">
        <v>321</v>
      </c>
      <c r="BZ12" t="s">
        <v>321</v>
      </c>
      <c r="CA12" t="s">
        <v>321</v>
      </c>
      <c r="CB12" t="s">
        <v>321</v>
      </c>
      <c r="CC12" t="s">
        <v>321</v>
      </c>
      <c r="CD12" t="s">
        <v>321</v>
      </c>
      <c r="CE12" t="s">
        <v>321</v>
      </c>
      <c r="CF12" t="s">
        <v>321</v>
      </c>
      <c r="CG12" t="s">
        <v>321</v>
      </c>
      <c r="CH12" t="s">
        <v>321</v>
      </c>
      <c r="CI12" t="s">
        <v>321</v>
      </c>
      <c r="CJ12" t="s">
        <v>321</v>
      </c>
      <c r="CK12" t="s">
        <v>321</v>
      </c>
      <c r="CL12" t="s">
        <v>321</v>
      </c>
      <c r="CM12" t="s">
        <v>321</v>
      </c>
      <c r="CN12" t="s">
        <v>321</v>
      </c>
      <c r="CO12" t="s">
        <v>321</v>
      </c>
      <c r="CP12" t="s">
        <v>321</v>
      </c>
      <c r="CQ12" t="s">
        <v>321</v>
      </c>
      <c r="CR12" t="s">
        <v>321</v>
      </c>
      <c r="CS12" t="s">
        <v>321</v>
      </c>
      <c r="CT12" t="s">
        <v>321</v>
      </c>
      <c r="CU12" t="s">
        <v>321</v>
      </c>
      <c r="CV12" t="s">
        <v>321</v>
      </c>
      <c r="CW12" t="s">
        <v>321</v>
      </c>
      <c r="CX12">
        <v>278097.18569999997</v>
      </c>
      <c r="CY12">
        <v>4925298</v>
      </c>
      <c r="CZ12">
        <v>44.446942999999997</v>
      </c>
      <c r="DA12">
        <v>-95.788767000000007</v>
      </c>
      <c r="DB12" s="291">
        <v>41838.618750000001</v>
      </c>
      <c r="DC12" t="s">
        <v>231</v>
      </c>
      <c r="DD12" t="s">
        <v>429</v>
      </c>
      <c r="DE12" t="s">
        <v>430</v>
      </c>
      <c r="DF12" t="s">
        <v>430</v>
      </c>
      <c r="DG12" t="s">
        <v>1132</v>
      </c>
      <c r="DH12">
        <v>0</v>
      </c>
      <c r="DI12" t="s">
        <v>327</v>
      </c>
      <c r="DJ12">
        <v>100</v>
      </c>
      <c r="DK12">
        <v>9</v>
      </c>
    </row>
    <row r="13" spans="1:115" x14ac:dyDescent="0.25">
      <c r="A13">
        <v>12</v>
      </c>
      <c r="B13" t="s">
        <v>657</v>
      </c>
      <c r="C13">
        <v>1</v>
      </c>
      <c r="D13">
        <v>13</v>
      </c>
      <c r="E13">
        <v>10996489</v>
      </c>
      <c r="F13" t="s">
        <v>405</v>
      </c>
      <c r="G13">
        <v>59</v>
      </c>
      <c r="H13">
        <v>73.902000000000001</v>
      </c>
      <c r="I13" t="s">
        <v>297</v>
      </c>
      <c r="J13" t="s">
        <v>299</v>
      </c>
      <c r="K13" t="s">
        <v>321</v>
      </c>
      <c r="L13" t="s">
        <v>406</v>
      </c>
      <c r="M13" t="s">
        <v>299</v>
      </c>
      <c r="N13" t="s">
        <v>321</v>
      </c>
      <c r="O13">
        <v>14020276</v>
      </c>
      <c r="P13">
        <v>143230124</v>
      </c>
      <c r="Q13" s="290">
        <v>45241</v>
      </c>
      <c r="R13">
        <v>18</v>
      </c>
      <c r="S13">
        <v>2014</v>
      </c>
      <c r="T13" t="s">
        <v>407</v>
      </c>
      <c r="U13">
        <v>11</v>
      </c>
      <c r="V13" t="s">
        <v>321</v>
      </c>
      <c r="W13" t="s">
        <v>320</v>
      </c>
      <c r="X13">
        <v>0</v>
      </c>
      <c r="Y13">
        <v>1</v>
      </c>
      <c r="Z13" t="s">
        <v>463</v>
      </c>
      <c r="AA13" t="s">
        <v>492</v>
      </c>
      <c r="AB13" t="s">
        <v>452</v>
      </c>
      <c r="AC13" t="s">
        <v>433</v>
      </c>
      <c r="AD13" t="s">
        <v>412</v>
      </c>
      <c r="AE13" t="s">
        <v>321</v>
      </c>
      <c r="AF13" t="s">
        <v>467</v>
      </c>
      <c r="AG13" t="s">
        <v>414</v>
      </c>
      <c r="AH13" t="s">
        <v>841</v>
      </c>
      <c r="AI13" t="s">
        <v>1131</v>
      </c>
      <c r="AJ13" t="s">
        <v>415</v>
      </c>
      <c r="AK13" t="s">
        <v>436</v>
      </c>
      <c r="AL13" t="s">
        <v>417</v>
      </c>
      <c r="AM13" t="s">
        <v>1044</v>
      </c>
      <c r="AN13" t="s">
        <v>864</v>
      </c>
      <c r="AO13" t="s">
        <v>419</v>
      </c>
      <c r="AP13">
        <v>54</v>
      </c>
      <c r="AQ13" t="s">
        <v>420</v>
      </c>
      <c r="AR13" t="s">
        <v>421</v>
      </c>
      <c r="AS13" t="s">
        <v>321</v>
      </c>
      <c r="AT13" t="s">
        <v>321</v>
      </c>
      <c r="AU13" t="s">
        <v>321</v>
      </c>
      <c r="AV13" t="s">
        <v>321</v>
      </c>
      <c r="AW13" t="s">
        <v>805</v>
      </c>
      <c r="AX13" t="s">
        <v>449</v>
      </c>
      <c r="AY13">
        <v>30</v>
      </c>
      <c r="AZ13" t="s">
        <v>423</v>
      </c>
      <c r="BA13" t="s">
        <v>424</v>
      </c>
      <c r="BB13" t="s">
        <v>321</v>
      </c>
      <c r="BC13" t="s">
        <v>321</v>
      </c>
      <c r="BD13" t="s">
        <v>321</v>
      </c>
      <c r="BE13" t="s">
        <v>321</v>
      </c>
      <c r="BF13" t="s">
        <v>321</v>
      </c>
      <c r="BG13" t="s">
        <v>321</v>
      </c>
      <c r="BH13" t="s">
        <v>321</v>
      </c>
      <c r="BI13" t="s">
        <v>321</v>
      </c>
      <c r="BJ13" t="s">
        <v>321</v>
      </c>
      <c r="BK13" t="s">
        <v>321</v>
      </c>
      <c r="BL13" t="s">
        <v>321</v>
      </c>
      <c r="BM13" t="s">
        <v>321</v>
      </c>
      <c r="BN13" t="s">
        <v>321</v>
      </c>
      <c r="BO13" t="s">
        <v>321</v>
      </c>
      <c r="BP13" t="s">
        <v>321</v>
      </c>
      <c r="BQ13" t="s">
        <v>321</v>
      </c>
      <c r="BR13" t="s">
        <v>321</v>
      </c>
      <c r="BS13" t="s">
        <v>321</v>
      </c>
      <c r="BT13" t="s">
        <v>321</v>
      </c>
      <c r="BU13" t="s">
        <v>321</v>
      </c>
      <c r="BV13" t="s">
        <v>321</v>
      </c>
      <c r="BW13" t="s">
        <v>321</v>
      </c>
      <c r="BX13" t="s">
        <v>321</v>
      </c>
      <c r="BY13" t="s">
        <v>321</v>
      </c>
      <c r="BZ13" t="s">
        <v>321</v>
      </c>
      <c r="CA13" t="s">
        <v>321</v>
      </c>
      <c r="CB13" t="s">
        <v>321</v>
      </c>
      <c r="CC13" t="s">
        <v>321</v>
      </c>
      <c r="CD13" t="s">
        <v>321</v>
      </c>
      <c r="CE13" t="s">
        <v>321</v>
      </c>
      <c r="CF13" t="s">
        <v>321</v>
      </c>
      <c r="CG13" t="s">
        <v>321</v>
      </c>
      <c r="CH13" t="s">
        <v>321</v>
      </c>
      <c r="CI13" t="s">
        <v>321</v>
      </c>
      <c r="CJ13" t="s">
        <v>321</v>
      </c>
      <c r="CK13" t="s">
        <v>321</v>
      </c>
      <c r="CL13" t="s">
        <v>321</v>
      </c>
      <c r="CM13" t="s">
        <v>321</v>
      </c>
      <c r="CN13" t="s">
        <v>321</v>
      </c>
      <c r="CO13" t="s">
        <v>321</v>
      </c>
      <c r="CP13" t="s">
        <v>321</v>
      </c>
      <c r="CQ13" t="s">
        <v>321</v>
      </c>
      <c r="CR13" t="s">
        <v>321</v>
      </c>
      <c r="CS13" t="s">
        <v>321</v>
      </c>
      <c r="CT13" t="s">
        <v>321</v>
      </c>
      <c r="CU13" t="s">
        <v>321</v>
      </c>
      <c r="CV13" t="s">
        <v>321</v>
      </c>
      <c r="CW13" t="s">
        <v>321</v>
      </c>
      <c r="CX13">
        <v>278097.18569999997</v>
      </c>
      <c r="CY13">
        <v>4925298</v>
      </c>
      <c r="CZ13">
        <v>44.446942999999997</v>
      </c>
      <c r="DA13">
        <v>-95.788767000000007</v>
      </c>
      <c r="DB13" s="291">
        <v>41961.486111111109</v>
      </c>
      <c r="DC13" t="s">
        <v>231</v>
      </c>
      <c r="DD13" t="s">
        <v>429</v>
      </c>
      <c r="DE13" t="s">
        <v>430</v>
      </c>
      <c r="DF13" t="s">
        <v>430</v>
      </c>
      <c r="DG13" t="s">
        <v>1130</v>
      </c>
      <c r="DH13">
        <v>0</v>
      </c>
      <c r="DI13" t="s">
        <v>327</v>
      </c>
      <c r="DJ13">
        <v>100</v>
      </c>
      <c r="DK13">
        <v>9</v>
      </c>
    </row>
    <row r="14" spans="1:115" x14ac:dyDescent="0.25">
      <c r="A14">
        <v>13</v>
      </c>
      <c r="B14" t="s">
        <v>657</v>
      </c>
      <c r="C14">
        <v>1</v>
      </c>
      <c r="D14">
        <v>14</v>
      </c>
      <c r="E14">
        <v>797207</v>
      </c>
      <c r="F14" t="s">
        <v>405</v>
      </c>
      <c r="G14">
        <v>59</v>
      </c>
      <c r="H14">
        <v>73.902000000000001</v>
      </c>
      <c r="I14" t="s">
        <v>297</v>
      </c>
      <c r="J14" t="s">
        <v>299</v>
      </c>
      <c r="K14" t="s">
        <v>321</v>
      </c>
      <c r="L14" t="s">
        <v>406</v>
      </c>
      <c r="M14" t="s">
        <v>299</v>
      </c>
      <c r="N14" t="s">
        <v>321</v>
      </c>
      <c r="O14" t="s">
        <v>493</v>
      </c>
      <c r="P14">
        <v>200430048</v>
      </c>
      <c r="Q14" s="290">
        <v>44959</v>
      </c>
      <c r="R14">
        <v>12</v>
      </c>
      <c r="S14">
        <v>2020</v>
      </c>
      <c r="T14" t="s">
        <v>494</v>
      </c>
      <c r="U14">
        <v>12</v>
      </c>
      <c r="V14" t="s">
        <v>495</v>
      </c>
      <c r="W14" t="s">
        <v>320</v>
      </c>
      <c r="X14">
        <v>0</v>
      </c>
      <c r="Y14">
        <v>2</v>
      </c>
      <c r="Z14" t="s">
        <v>451</v>
      </c>
      <c r="AA14" t="s">
        <v>409</v>
      </c>
      <c r="AB14" t="s">
        <v>452</v>
      </c>
      <c r="AC14" t="s">
        <v>433</v>
      </c>
      <c r="AD14" t="s">
        <v>467</v>
      </c>
      <c r="AE14" t="s">
        <v>321</v>
      </c>
      <c r="AF14" t="s">
        <v>467</v>
      </c>
      <c r="AG14" t="s">
        <v>414</v>
      </c>
      <c r="AH14" t="s">
        <v>435</v>
      </c>
      <c r="AI14" t="s">
        <v>477</v>
      </c>
      <c r="AJ14" t="s">
        <v>415</v>
      </c>
      <c r="AK14" t="s">
        <v>451</v>
      </c>
      <c r="AL14" t="s">
        <v>417</v>
      </c>
      <c r="AM14" t="s">
        <v>425</v>
      </c>
      <c r="AN14" t="s">
        <v>472</v>
      </c>
      <c r="AO14" t="s">
        <v>426</v>
      </c>
      <c r="AP14">
        <v>73</v>
      </c>
      <c r="AQ14" t="s">
        <v>420</v>
      </c>
      <c r="AR14" t="s">
        <v>421</v>
      </c>
      <c r="AS14" t="s">
        <v>496</v>
      </c>
      <c r="AT14" t="s">
        <v>321</v>
      </c>
      <c r="AU14" t="s">
        <v>321</v>
      </c>
      <c r="AV14" t="s">
        <v>321</v>
      </c>
      <c r="AW14" t="s">
        <v>441</v>
      </c>
      <c r="AX14" t="s">
        <v>449</v>
      </c>
      <c r="AY14">
        <v>30</v>
      </c>
      <c r="AZ14" t="s">
        <v>423</v>
      </c>
      <c r="BA14" t="s">
        <v>424</v>
      </c>
      <c r="BB14" t="s">
        <v>417</v>
      </c>
      <c r="BC14" t="s">
        <v>478</v>
      </c>
      <c r="BD14" t="s">
        <v>448</v>
      </c>
      <c r="BE14" t="s">
        <v>426</v>
      </c>
      <c r="BF14">
        <v>62</v>
      </c>
      <c r="BG14" t="s">
        <v>420</v>
      </c>
      <c r="BH14" t="s">
        <v>421</v>
      </c>
      <c r="BI14" t="s">
        <v>428</v>
      </c>
      <c r="BJ14" t="s">
        <v>321</v>
      </c>
      <c r="BK14" t="s">
        <v>321</v>
      </c>
      <c r="BL14" t="s">
        <v>321</v>
      </c>
      <c r="BM14" t="s">
        <v>441</v>
      </c>
      <c r="BN14" t="s">
        <v>449</v>
      </c>
      <c r="BO14">
        <v>30</v>
      </c>
      <c r="BP14" t="s">
        <v>423</v>
      </c>
      <c r="BQ14" t="s">
        <v>424</v>
      </c>
      <c r="BR14" t="s">
        <v>321</v>
      </c>
      <c r="BS14" t="s">
        <v>321</v>
      </c>
      <c r="BT14" t="s">
        <v>321</v>
      </c>
      <c r="BU14" t="s">
        <v>321</v>
      </c>
      <c r="BV14" t="s">
        <v>321</v>
      </c>
      <c r="BW14" t="s">
        <v>321</v>
      </c>
      <c r="BX14" t="s">
        <v>321</v>
      </c>
      <c r="BY14" t="s">
        <v>321</v>
      </c>
      <c r="BZ14" t="s">
        <v>321</v>
      </c>
      <c r="CA14" t="s">
        <v>321</v>
      </c>
      <c r="CB14" t="s">
        <v>321</v>
      </c>
      <c r="CC14" t="s">
        <v>321</v>
      </c>
      <c r="CD14" t="s">
        <v>321</v>
      </c>
      <c r="CE14" t="s">
        <v>321</v>
      </c>
      <c r="CF14" t="s">
        <v>321</v>
      </c>
      <c r="CG14" t="s">
        <v>321</v>
      </c>
      <c r="CH14" t="s">
        <v>321</v>
      </c>
      <c r="CI14" t="s">
        <v>321</v>
      </c>
      <c r="CJ14" t="s">
        <v>321</v>
      </c>
      <c r="CK14" t="s">
        <v>321</v>
      </c>
      <c r="CL14" t="s">
        <v>321</v>
      </c>
      <c r="CM14" t="s">
        <v>321</v>
      </c>
      <c r="CN14" t="s">
        <v>321</v>
      </c>
      <c r="CO14" t="s">
        <v>321</v>
      </c>
      <c r="CP14" t="s">
        <v>321</v>
      </c>
      <c r="CQ14" t="s">
        <v>321</v>
      </c>
      <c r="CR14" t="s">
        <v>321</v>
      </c>
      <c r="CS14" t="s">
        <v>321</v>
      </c>
      <c r="CT14" t="s">
        <v>321</v>
      </c>
      <c r="CU14" t="s">
        <v>321</v>
      </c>
      <c r="CV14" t="s">
        <v>321</v>
      </c>
      <c r="CW14" t="s">
        <v>321</v>
      </c>
      <c r="CX14">
        <v>278097.18650000001</v>
      </c>
      <c r="CY14">
        <v>4925297.9989999998</v>
      </c>
      <c r="CZ14">
        <v>44.446942999999997</v>
      </c>
      <c r="DA14">
        <v>-95.788767000000007</v>
      </c>
      <c r="DB14" s="291">
        <v>43873.506944444445</v>
      </c>
      <c r="DC14" t="s">
        <v>231</v>
      </c>
      <c r="DD14" t="s">
        <v>429</v>
      </c>
      <c r="DE14" t="s">
        <v>455</v>
      </c>
      <c r="DF14" t="s">
        <v>456</v>
      </c>
      <c r="DG14" t="s">
        <v>497</v>
      </c>
      <c r="DH14">
        <v>0</v>
      </c>
      <c r="DI14" t="s">
        <v>327</v>
      </c>
      <c r="DJ14">
        <v>100</v>
      </c>
      <c r="DK14">
        <v>9</v>
      </c>
    </row>
    <row r="15" spans="1:115" x14ac:dyDescent="0.25">
      <c r="A15">
        <v>14</v>
      </c>
      <c r="B15" t="s">
        <v>657</v>
      </c>
      <c r="C15">
        <v>1</v>
      </c>
      <c r="D15">
        <v>15</v>
      </c>
      <c r="E15">
        <v>866486</v>
      </c>
      <c r="F15" t="s">
        <v>405</v>
      </c>
      <c r="G15">
        <v>59</v>
      </c>
      <c r="H15">
        <v>73.902000000000001</v>
      </c>
      <c r="I15" t="s">
        <v>297</v>
      </c>
      <c r="J15" t="s">
        <v>299</v>
      </c>
      <c r="K15" t="s">
        <v>321</v>
      </c>
      <c r="L15" t="s">
        <v>406</v>
      </c>
      <c r="M15" t="s">
        <v>299</v>
      </c>
      <c r="N15" t="s">
        <v>321</v>
      </c>
      <c r="O15" t="s">
        <v>498</v>
      </c>
      <c r="P15">
        <v>203390027</v>
      </c>
      <c r="Q15" s="290">
        <v>45272</v>
      </c>
      <c r="R15">
        <v>4</v>
      </c>
      <c r="S15">
        <v>2020</v>
      </c>
      <c r="T15" t="s">
        <v>485</v>
      </c>
      <c r="U15">
        <v>10</v>
      </c>
      <c r="V15" t="s">
        <v>466</v>
      </c>
      <c r="W15" t="s">
        <v>320</v>
      </c>
      <c r="X15">
        <v>0</v>
      </c>
      <c r="Y15">
        <v>2</v>
      </c>
      <c r="Z15" t="s">
        <v>463</v>
      </c>
      <c r="AA15" t="s">
        <v>409</v>
      </c>
      <c r="AB15" t="s">
        <v>452</v>
      </c>
      <c r="AC15" t="s">
        <v>433</v>
      </c>
      <c r="AD15" t="s">
        <v>412</v>
      </c>
      <c r="AE15" t="s">
        <v>321</v>
      </c>
      <c r="AF15" t="s">
        <v>434</v>
      </c>
      <c r="AG15" t="s">
        <v>414</v>
      </c>
      <c r="AH15" t="s">
        <v>435</v>
      </c>
      <c r="AI15" t="s">
        <v>477</v>
      </c>
      <c r="AJ15" t="s">
        <v>415</v>
      </c>
      <c r="AK15" t="s">
        <v>463</v>
      </c>
      <c r="AL15" t="s">
        <v>417</v>
      </c>
      <c r="AM15" t="s">
        <v>425</v>
      </c>
      <c r="AN15" t="s">
        <v>448</v>
      </c>
      <c r="AO15" t="s">
        <v>426</v>
      </c>
      <c r="AP15">
        <v>63</v>
      </c>
      <c r="AQ15" t="s">
        <v>427</v>
      </c>
      <c r="AR15" t="s">
        <v>421</v>
      </c>
      <c r="AS15" t="s">
        <v>454</v>
      </c>
      <c r="AT15" t="s">
        <v>321</v>
      </c>
      <c r="AU15" t="s">
        <v>321</v>
      </c>
      <c r="AV15" t="s">
        <v>321</v>
      </c>
      <c r="AW15" t="s">
        <v>463</v>
      </c>
      <c r="AX15" t="s">
        <v>449</v>
      </c>
      <c r="AY15">
        <v>30</v>
      </c>
      <c r="AZ15" t="s">
        <v>423</v>
      </c>
      <c r="BA15" t="s">
        <v>424</v>
      </c>
      <c r="BB15" t="s">
        <v>417</v>
      </c>
      <c r="BC15" t="s">
        <v>425</v>
      </c>
      <c r="BD15" t="s">
        <v>453</v>
      </c>
      <c r="BE15" t="s">
        <v>426</v>
      </c>
      <c r="BF15">
        <v>67</v>
      </c>
      <c r="BG15" t="s">
        <v>427</v>
      </c>
      <c r="BH15" t="s">
        <v>421</v>
      </c>
      <c r="BI15" t="s">
        <v>428</v>
      </c>
      <c r="BJ15" t="s">
        <v>321</v>
      </c>
      <c r="BK15" t="s">
        <v>321</v>
      </c>
      <c r="BL15" t="s">
        <v>321</v>
      </c>
      <c r="BM15" t="s">
        <v>463</v>
      </c>
      <c r="BN15" t="s">
        <v>449</v>
      </c>
      <c r="BO15">
        <v>30</v>
      </c>
      <c r="BP15" t="s">
        <v>423</v>
      </c>
      <c r="BQ15" t="s">
        <v>424</v>
      </c>
      <c r="BR15" t="s">
        <v>321</v>
      </c>
      <c r="BS15" t="s">
        <v>321</v>
      </c>
      <c r="BT15" t="s">
        <v>321</v>
      </c>
      <c r="BU15" t="s">
        <v>321</v>
      </c>
      <c r="BV15" t="s">
        <v>321</v>
      </c>
      <c r="BW15" t="s">
        <v>321</v>
      </c>
      <c r="BX15" t="s">
        <v>321</v>
      </c>
      <c r="BY15" t="s">
        <v>321</v>
      </c>
      <c r="BZ15" t="s">
        <v>321</v>
      </c>
      <c r="CA15" t="s">
        <v>321</v>
      </c>
      <c r="CB15" t="s">
        <v>321</v>
      </c>
      <c r="CC15" t="s">
        <v>321</v>
      </c>
      <c r="CD15" t="s">
        <v>321</v>
      </c>
      <c r="CE15" t="s">
        <v>321</v>
      </c>
      <c r="CF15" t="s">
        <v>321</v>
      </c>
      <c r="CG15" t="s">
        <v>321</v>
      </c>
      <c r="CH15" t="s">
        <v>321</v>
      </c>
      <c r="CI15" t="s">
        <v>321</v>
      </c>
      <c r="CJ15" t="s">
        <v>321</v>
      </c>
      <c r="CK15" t="s">
        <v>321</v>
      </c>
      <c r="CL15" t="s">
        <v>321</v>
      </c>
      <c r="CM15" t="s">
        <v>321</v>
      </c>
      <c r="CN15" t="s">
        <v>321</v>
      </c>
      <c r="CO15" t="s">
        <v>321</v>
      </c>
      <c r="CP15" t="s">
        <v>321</v>
      </c>
      <c r="CQ15" t="s">
        <v>321</v>
      </c>
      <c r="CR15" t="s">
        <v>321</v>
      </c>
      <c r="CS15" t="s">
        <v>321</v>
      </c>
      <c r="CT15" t="s">
        <v>321</v>
      </c>
      <c r="CU15" t="s">
        <v>321</v>
      </c>
      <c r="CV15" t="s">
        <v>321</v>
      </c>
      <c r="CW15" t="s">
        <v>321</v>
      </c>
      <c r="CX15">
        <v>278097.18650000001</v>
      </c>
      <c r="CY15">
        <v>4925297.9989999998</v>
      </c>
      <c r="CZ15">
        <v>44.446942999999997</v>
      </c>
      <c r="DA15">
        <v>-95.788767000000007</v>
      </c>
      <c r="DB15" s="291">
        <v>44169.434027777781</v>
      </c>
      <c r="DC15" t="s">
        <v>231</v>
      </c>
      <c r="DD15" t="s">
        <v>429</v>
      </c>
      <c r="DE15" t="s">
        <v>455</v>
      </c>
      <c r="DF15" t="s">
        <v>456</v>
      </c>
      <c r="DG15" t="s">
        <v>499</v>
      </c>
      <c r="DH15">
        <v>0</v>
      </c>
      <c r="DI15" t="s">
        <v>327</v>
      </c>
      <c r="DJ15">
        <v>100</v>
      </c>
      <c r="DK15">
        <v>9</v>
      </c>
    </row>
    <row r="16" spans="1:115" x14ac:dyDescent="0.25">
      <c r="A16">
        <v>15</v>
      </c>
      <c r="B16" t="s">
        <v>657</v>
      </c>
      <c r="C16">
        <v>1</v>
      </c>
      <c r="D16">
        <v>16</v>
      </c>
      <c r="E16">
        <v>843691</v>
      </c>
      <c r="F16" t="s">
        <v>464</v>
      </c>
      <c r="G16">
        <v>19</v>
      </c>
      <c r="H16">
        <v>34.000999999999998</v>
      </c>
      <c r="I16" t="s">
        <v>297</v>
      </c>
      <c r="J16" t="s">
        <v>299</v>
      </c>
      <c r="K16" t="s">
        <v>321</v>
      </c>
      <c r="L16" t="s">
        <v>406</v>
      </c>
      <c r="M16" t="s">
        <v>299</v>
      </c>
      <c r="N16" t="s">
        <v>321</v>
      </c>
      <c r="O16" s="292">
        <v>202000000000</v>
      </c>
      <c r="P16">
        <v>202740067</v>
      </c>
      <c r="Q16" s="290">
        <v>45178</v>
      </c>
      <c r="R16">
        <v>30</v>
      </c>
      <c r="S16">
        <v>2020</v>
      </c>
      <c r="T16" t="s">
        <v>494</v>
      </c>
      <c r="U16">
        <v>13</v>
      </c>
      <c r="V16" t="s">
        <v>450</v>
      </c>
      <c r="W16" t="s">
        <v>320</v>
      </c>
      <c r="X16">
        <v>0</v>
      </c>
      <c r="Y16">
        <v>2</v>
      </c>
      <c r="Z16" t="s">
        <v>451</v>
      </c>
      <c r="AA16" t="s">
        <v>409</v>
      </c>
      <c r="AB16" t="s">
        <v>500</v>
      </c>
      <c r="AC16" t="s">
        <v>433</v>
      </c>
      <c r="AD16" t="s">
        <v>412</v>
      </c>
      <c r="AE16" t="s">
        <v>321</v>
      </c>
      <c r="AF16" t="s">
        <v>434</v>
      </c>
      <c r="AG16" t="s">
        <v>414</v>
      </c>
      <c r="AH16" t="s">
        <v>469</v>
      </c>
      <c r="AI16" t="s">
        <v>501</v>
      </c>
      <c r="AJ16" t="s">
        <v>471</v>
      </c>
      <c r="AK16" t="s">
        <v>451</v>
      </c>
      <c r="AL16" t="s">
        <v>417</v>
      </c>
      <c r="AM16" t="s">
        <v>262</v>
      </c>
      <c r="AN16" t="s">
        <v>448</v>
      </c>
      <c r="AO16" t="s">
        <v>426</v>
      </c>
      <c r="AP16">
        <v>58</v>
      </c>
      <c r="AQ16" t="s">
        <v>420</v>
      </c>
      <c r="AR16" t="s">
        <v>421</v>
      </c>
      <c r="AS16" t="s">
        <v>428</v>
      </c>
      <c r="AT16" t="s">
        <v>321</v>
      </c>
      <c r="AU16" t="s">
        <v>321</v>
      </c>
      <c r="AV16" t="s">
        <v>321</v>
      </c>
      <c r="AW16" t="s">
        <v>441</v>
      </c>
      <c r="AX16" t="s">
        <v>442</v>
      </c>
      <c r="AY16">
        <v>30</v>
      </c>
      <c r="AZ16" t="s">
        <v>423</v>
      </c>
      <c r="BA16" t="s">
        <v>424</v>
      </c>
      <c r="BB16" t="s">
        <v>417</v>
      </c>
      <c r="BC16" t="s">
        <v>418</v>
      </c>
      <c r="BD16" t="s">
        <v>448</v>
      </c>
      <c r="BE16" t="s">
        <v>502</v>
      </c>
      <c r="BF16">
        <v>71</v>
      </c>
      <c r="BG16" t="s">
        <v>420</v>
      </c>
      <c r="BH16" t="s">
        <v>421</v>
      </c>
      <c r="BI16" t="s">
        <v>454</v>
      </c>
      <c r="BJ16" t="s">
        <v>321</v>
      </c>
      <c r="BK16" t="s">
        <v>321</v>
      </c>
      <c r="BL16" t="s">
        <v>321</v>
      </c>
      <c r="BM16" t="s">
        <v>441</v>
      </c>
      <c r="BN16" t="s">
        <v>442</v>
      </c>
      <c r="BO16">
        <v>30</v>
      </c>
      <c r="BP16" t="s">
        <v>423</v>
      </c>
      <c r="BQ16" t="s">
        <v>424</v>
      </c>
      <c r="BR16" t="s">
        <v>321</v>
      </c>
      <c r="BS16" t="s">
        <v>321</v>
      </c>
      <c r="BT16" t="s">
        <v>321</v>
      </c>
      <c r="BU16" t="s">
        <v>321</v>
      </c>
      <c r="BV16" t="s">
        <v>321</v>
      </c>
      <c r="BW16" t="s">
        <v>321</v>
      </c>
      <c r="BX16" t="s">
        <v>321</v>
      </c>
      <c r="BY16" t="s">
        <v>321</v>
      </c>
      <c r="BZ16" t="s">
        <v>321</v>
      </c>
      <c r="CA16" t="s">
        <v>321</v>
      </c>
      <c r="CB16" t="s">
        <v>321</v>
      </c>
      <c r="CC16" t="s">
        <v>321</v>
      </c>
      <c r="CD16" t="s">
        <v>321</v>
      </c>
      <c r="CE16" t="s">
        <v>321</v>
      </c>
      <c r="CF16" t="s">
        <v>321</v>
      </c>
      <c r="CG16" t="s">
        <v>321</v>
      </c>
      <c r="CH16" t="s">
        <v>321</v>
      </c>
      <c r="CI16" t="s">
        <v>321</v>
      </c>
      <c r="CJ16" t="s">
        <v>321</v>
      </c>
      <c r="CK16" t="s">
        <v>321</v>
      </c>
      <c r="CL16" t="s">
        <v>321</v>
      </c>
      <c r="CM16" t="s">
        <v>321</v>
      </c>
      <c r="CN16" t="s">
        <v>321</v>
      </c>
      <c r="CO16" t="s">
        <v>321</v>
      </c>
      <c r="CP16" t="s">
        <v>321</v>
      </c>
      <c r="CQ16" t="s">
        <v>321</v>
      </c>
      <c r="CR16" t="s">
        <v>321</v>
      </c>
      <c r="CS16" t="s">
        <v>321</v>
      </c>
      <c r="CT16" t="s">
        <v>321</v>
      </c>
      <c r="CU16" t="s">
        <v>321</v>
      </c>
      <c r="CV16" t="s">
        <v>321</v>
      </c>
      <c r="CW16" t="s">
        <v>321</v>
      </c>
      <c r="CX16">
        <v>277011.99650000001</v>
      </c>
      <c r="CY16">
        <v>4924906.8729999997</v>
      </c>
      <c r="CZ16">
        <v>44.443092</v>
      </c>
      <c r="DA16">
        <v>-95.802220000000005</v>
      </c>
      <c r="DB16" s="291">
        <v>44104.573611111111</v>
      </c>
      <c r="DC16" t="s">
        <v>231</v>
      </c>
      <c r="DD16" t="s">
        <v>429</v>
      </c>
      <c r="DE16" t="s">
        <v>455</v>
      </c>
      <c r="DF16" t="s">
        <v>456</v>
      </c>
      <c r="DG16" t="s">
        <v>503</v>
      </c>
      <c r="DH16">
        <v>0</v>
      </c>
      <c r="DI16" t="s">
        <v>328</v>
      </c>
      <c r="DJ16">
        <v>100</v>
      </c>
      <c r="DK16">
        <v>1</v>
      </c>
    </row>
    <row r="17" spans="1:115" x14ac:dyDescent="0.25">
      <c r="A17">
        <v>16</v>
      </c>
      <c r="B17" t="s">
        <v>657</v>
      </c>
      <c r="C17">
        <v>1</v>
      </c>
      <c r="D17">
        <v>17</v>
      </c>
      <c r="E17">
        <v>980177</v>
      </c>
      <c r="F17" t="s">
        <v>464</v>
      </c>
      <c r="G17">
        <v>19</v>
      </c>
      <c r="H17">
        <v>34.012999999999998</v>
      </c>
      <c r="I17" t="s">
        <v>297</v>
      </c>
      <c r="J17" t="s">
        <v>299</v>
      </c>
      <c r="K17" t="s">
        <v>321</v>
      </c>
      <c r="L17" t="s">
        <v>406</v>
      </c>
      <c r="M17" t="s">
        <v>299</v>
      </c>
      <c r="N17" t="s">
        <v>321</v>
      </c>
      <c r="O17" s="292">
        <v>202000000000</v>
      </c>
      <c r="P17">
        <v>213460110</v>
      </c>
      <c r="Q17" s="290">
        <v>45272</v>
      </c>
      <c r="R17">
        <v>12</v>
      </c>
      <c r="S17">
        <v>2021</v>
      </c>
      <c r="T17" t="s">
        <v>489</v>
      </c>
      <c r="U17">
        <v>0</v>
      </c>
      <c r="V17" t="s">
        <v>422</v>
      </c>
      <c r="W17" t="s">
        <v>320</v>
      </c>
      <c r="X17">
        <v>0</v>
      </c>
      <c r="Y17">
        <v>1</v>
      </c>
      <c r="Z17" t="s">
        <v>321</v>
      </c>
      <c r="AA17" t="s">
        <v>492</v>
      </c>
      <c r="AB17" t="s">
        <v>500</v>
      </c>
      <c r="AC17" t="s">
        <v>430</v>
      </c>
      <c r="AD17" t="s">
        <v>430</v>
      </c>
      <c r="AE17" t="s">
        <v>321</v>
      </c>
      <c r="AF17" t="s">
        <v>430</v>
      </c>
      <c r="AG17" t="s">
        <v>414</v>
      </c>
      <c r="AH17" t="s">
        <v>469</v>
      </c>
      <c r="AI17" t="s">
        <v>501</v>
      </c>
      <c r="AJ17" t="s">
        <v>471</v>
      </c>
      <c r="AK17" t="s">
        <v>436</v>
      </c>
      <c r="AL17" t="s">
        <v>504</v>
      </c>
      <c r="AM17" t="s">
        <v>321</v>
      </c>
      <c r="AN17" t="s">
        <v>448</v>
      </c>
      <c r="AO17" t="s">
        <v>430</v>
      </c>
      <c r="AP17" t="s">
        <v>321</v>
      </c>
      <c r="AQ17" t="s">
        <v>321</v>
      </c>
      <c r="AR17" t="s">
        <v>321</v>
      </c>
      <c r="AS17" t="s">
        <v>321</v>
      </c>
      <c r="AT17" t="s">
        <v>321</v>
      </c>
      <c r="AU17" t="s">
        <v>321</v>
      </c>
      <c r="AV17" t="s">
        <v>321</v>
      </c>
      <c r="AW17" t="s">
        <v>441</v>
      </c>
      <c r="AX17" t="s">
        <v>442</v>
      </c>
      <c r="AY17">
        <v>30</v>
      </c>
      <c r="AZ17" t="s">
        <v>423</v>
      </c>
      <c r="BA17" t="s">
        <v>424</v>
      </c>
      <c r="BB17" t="s">
        <v>321</v>
      </c>
      <c r="BC17" t="s">
        <v>321</v>
      </c>
      <c r="BD17" t="s">
        <v>321</v>
      </c>
      <c r="BE17" t="s">
        <v>321</v>
      </c>
      <c r="BF17" t="s">
        <v>321</v>
      </c>
      <c r="BG17" t="s">
        <v>321</v>
      </c>
      <c r="BH17" t="s">
        <v>321</v>
      </c>
      <c r="BI17" t="s">
        <v>321</v>
      </c>
      <c r="BJ17" t="s">
        <v>321</v>
      </c>
      <c r="BK17" t="s">
        <v>321</v>
      </c>
      <c r="BL17" t="s">
        <v>321</v>
      </c>
      <c r="BM17" t="s">
        <v>321</v>
      </c>
      <c r="BN17" t="s">
        <v>321</v>
      </c>
      <c r="BO17" t="s">
        <v>321</v>
      </c>
      <c r="BP17" t="s">
        <v>321</v>
      </c>
      <c r="BQ17" t="s">
        <v>321</v>
      </c>
      <c r="BR17" t="s">
        <v>321</v>
      </c>
      <c r="BS17" t="s">
        <v>321</v>
      </c>
      <c r="BT17" t="s">
        <v>321</v>
      </c>
      <c r="BU17" t="s">
        <v>321</v>
      </c>
      <c r="BV17" t="s">
        <v>321</v>
      </c>
      <c r="BW17" t="s">
        <v>321</v>
      </c>
      <c r="BX17" t="s">
        <v>321</v>
      </c>
      <c r="BY17" t="s">
        <v>321</v>
      </c>
      <c r="BZ17" t="s">
        <v>321</v>
      </c>
      <c r="CA17" t="s">
        <v>321</v>
      </c>
      <c r="CB17" t="s">
        <v>321</v>
      </c>
      <c r="CC17" t="s">
        <v>321</v>
      </c>
      <c r="CD17" t="s">
        <v>321</v>
      </c>
      <c r="CE17" t="s">
        <v>321</v>
      </c>
      <c r="CF17" t="s">
        <v>321</v>
      </c>
      <c r="CG17" t="s">
        <v>321</v>
      </c>
      <c r="CH17" t="s">
        <v>321</v>
      </c>
      <c r="CI17" t="s">
        <v>321</v>
      </c>
      <c r="CJ17" t="s">
        <v>321</v>
      </c>
      <c r="CK17" t="s">
        <v>321</v>
      </c>
      <c r="CL17" t="s">
        <v>321</v>
      </c>
      <c r="CM17" t="s">
        <v>321</v>
      </c>
      <c r="CN17" t="s">
        <v>321</v>
      </c>
      <c r="CO17" t="s">
        <v>321</v>
      </c>
      <c r="CP17" t="s">
        <v>321</v>
      </c>
      <c r="CQ17" t="s">
        <v>321</v>
      </c>
      <c r="CR17" t="s">
        <v>321</v>
      </c>
      <c r="CS17" t="s">
        <v>321</v>
      </c>
      <c r="CT17" t="s">
        <v>321</v>
      </c>
      <c r="CU17" t="s">
        <v>321</v>
      </c>
      <c r="CV17" t="s">
        <v>321</v>
      </c>
      <c r="CW17" t="s">
        <v>321</v>
      </c>
      <c r="CX17">
        <v>277030.9963</v>
      </c>
      <c r="CY17">
        <v>4924905.8569999998</v>
      </c>
      <c r="CZ17">
        <v>44.443089000000001</v>
      </c>
      <c r="DA17">
        <v>-95.801980999999998</v>
      </c>
      <c r="DB17" s="293">
        <v>44542</v>
      </c>
      <c r="DC17" t="s">
        <v>231</v>
      </c>
      <c r="DD17" t="s">
        <v>429</v>
      </c>
      <c r="DE17" t="s">
        <v>455</v>
      </c>
      <c r="DF17" t="s">
        <v>456</v>
      </c>
      <c r="DG17" t="s">
        <v>505</v>
      </c>
      <c r="DH17">
        <v>0</v>
      </c>
      <c r="DI17" t="s">
        <v>328</v>
      </c>
      <c r="DJ17">
        <v>100</v>
      </c>
      <c r="DK17">
        <v>1</v>
      </c>
    </row>
    <row r="18" spans="1:115" x14ac:dyDescent="0.25">
      <c r="A18">
        <v>17</v>
      </c>
      <c r="B18" t="s">
        <v>657</v>
      </c>
      <c r="C18">
        <v>1</v>
      </c>
      <c r="D18">
        <v>19</v>
      </c>
      <c r="E18">
        <v>781761</v>
      </c>
      <c r="F18" t="s">
        <v>464</v>
      </c>
      <c r="G18">
        <v>19</v>
      </c>
      <c r="H18">
        <v>34.286999999999999</v>
      </c>
      <c r="I18" t="s">
        <v>297</v>
      </c>
      <c r="J18" t="s">
        <v>299</v>
      </c>
      <c r="K18" t="s">
        <v>321</v>
      </c>
      <c r="L18" t="s">
        <v>406</v>
      </c>
      <c r="M18" t="s">
        <v>299</v>
      </c>
      <c r="N18" t="s">
        <v>321</v>
      </c>
      <c r="O18" t="s">
        <v>509</v>
      </c>
      <c r="P18">
        <v>200210019</v>
      </c>
      <c r="Q18" s="290">
        <v>44927</v>
      </c>
      <c r="R18">
        <v>21</v>
      </c>
      <c r="S18">
        <v>2020</v>
      </c>
      <c r="T18" t="s">
        <v>407</v>
      </c>
      <c r="U18">
        <v>8</v>
      </c>
      <c r="V18" t="s">
        <v>450</v>
      </c>
      <c r="W18" t="s">
        <v>320</v>
      </c>
      <c r="X18">
        <v>0</v>
      </c>
      <c r="Y18">
        <v>2</v>
      </c>
      <c r="Z18" t="s">
        <v>451</v>
      </c>
      <c r="AA18" t="s">
        <v>409</v>
      </c>
      <c r="AB18" t="s">
        <v>460</v>
      </c>
      <c r="AC18" t="s">
        <v>510</v>
      </c>
      <c r="AD18" t="s">
        <v>412</v>
      </c>
      <c r="AE18" t="s">
        <v>321</v>
      </c>
      <c r="AF18" t="s">
        <v>467</v>
      </c>
      <c r="AG18" t="s">
        <v>414</v>
      </c>
      <c r="AH18" t="s">
        <v>469</v>
      </c>
      <c r="AI18" t="s">
        <v>511</v>
      </c>
      <c r="AJ18" t="s">
        <v>471</v>
      </c>
      <c r="AK18" t="s">
        <v>451</v>
      </c>
      <c r="AL18" t="s">
        <v>417</v>
      </c>
      <c r="AM18" t="s">
        <v>425</v>
      </c>
      <c r="AN18" t="s">
        <v>453</v>
      </c>
      <c r="AO18" t="s">
        <v>426</v>
      </c>
      <c r="AP18">
        <v>83</v>
      </c>
      <c r="AQ18" t="s">
        <v>427</v>
      </c>
      <c r="AR18" t="s">
        <v>421</v>
      </c>
      <c r="AS18" t="s">
        <v>454</v>
      </c>
      <c r="AT18" t="s">
        <v>321</v>
      </c>
      <c r="AU18" t="s">
        <v>321</v>
      </c>
      <c r="AV18" t="s">
        <v>321</v>
      </c>
      <c r="AW18" t="s">
        <v>441</v>
      </c>
      <c r="AX18" t="s">
        <v>512</v>
      </c>
      <c r="AY18">
        <v>30</v>
      </c>
      <c r="AZ18" t="s">
        <v>423</v>
      </c>
      <c r="BA18" t="s">
        <v>424</v>
      </c>
      <c r="BB18" t="s">
        <v>417</v>
      </c>
      <c r="BC18" t="s">
        <v>425</v>
      </c>
      <c r="BD18" t="s">
        <v>461</v>
      </c>
      <c r="BE18" t="s">
        <v>426</v>
      </c>
      <c r="BF18">
        <v>52</v>
      </c>
      <c r="BG18" t="s">
        <v>420</v>
      </c>
      <c r="BH18" t="s">
        <v>421</v>
      </c>
      <c r="BI18" t="s">
        <v>428</v>
      </c>
      <c r="BJ18" t="s">
        <v>321</v>
      </c>
      <c r="BK18" t="s">
        <v>321</v>
      </c>
      <c r="BL18" t="s">
        <v>321</v>
      </c>
      <c r="BM18" t="s">
        <v>441</v>
      </c>
      <c r="BN18" t="s">
        <v>442</v>
      </c>
      <c r="BO18">
        <v>30</v>
      </c>
      <c r="BP18" t="s">
        <v>423</v>
      </c>
      <c r="BQ18" t="s">
        <v>424</v>
      </c>
      <c r="BR18" t="s">
        <v>321</v>
      </c>
      <c r="BS18" t="s">
        <v>321</v>
      </c>
      <c r="BT18" t="s">
        <v>321</v>
      </c>
      <c r="BU18" t="s">
        <v>321</v>
      </c>
      <c r="BV18" t="s">
        <v>321</v>
      </c>
      <c r="BW18" t="s">
        <v>321</v>
      </c>
      <c r="BX18" t="s">
        <v>321</v>
      </c>
      <c r="BY18" t="s">
        <v>321</v>
      </c>
      <c r="BZ18" t="s">
        <v>321</v>
      </c>
      <c r="CA18" t="s">
        <v>321</v>
      </c>
      <c r="CB18" t="s">
        <v>321</v>
      </c>
      <c r="CC18" t="s">
        <v>321</v>
      </c>
      <c r="CD18" t="s">
        <v>321</v>
      </c>
      <c r="CE18" t="s">
        <v>321</v>
      </c>
      <c r="CF18" t="s">
        <v>321</v>
      </c>
      <c r="CG18" t="s">
        <v>321</v>
      </c>
      <c r="CH18" t="s">
        <v>321</v>
      </c>
      <c r="CI18" t="s">
        <v>321</v>
      </c>
      <c r="CJ18" t="s">
        <v>321</v>
      </c>
      <c r="CK18" t="s">
        <v>321</v>
      </c>
      <c r="CL18" t="s">
        <v>321</v>
      </c>
      <c r="CM18" t="s">
        <v>321</v>
      </c>
      <c r="CN18" t="s">
        <v>321</v>
      </c>
      <c r="CO18" t="s">
        <v>321</v>
      </c>
      <c r="CP18" t="s">
        <v>321</v>
      </c>
      <c r="CQ18" t="s">
        <v>321</v>
      </c>
      <c r="CR18" t="s">
        <v>321</v>
      </c>
      <c r="CS18" t="s">
        <v>321</v>
      </c>
      <c r="CT18" t="s">
        <v>321</v>
      </c>
      <c r="CU18" t="s">
        <v>321</v>
      </c>
      <c r="CV18" t="s">
        <v>321</v>
      </c>
      <c r="CW18" t="s">
        <v>321</v>
      </c>
      <c r="CX18">
        <v>277472.28749999998</v>
      </c>
      <c r="CY18">
        <v>4924891.3219999997</v>
      </c>
      <c r="CZ18">
        <v>44.443094000000002</v>
      </c>
      <c r="DA18">
        <v>-95.796436</v>
      </c>
      <c r="DB18" s="291">
        <v>43851.333333333336</v>
      </c>
      <c r="DC18" t="s">
        <v>231</v>
      </c>
      <c r="DD18" t="s">
        <v>429</v>
      </c>
      <c r="DE18" t="s">
        <v>455</v>
      </c>
      <c r="DF18" t="s">
        <v>456</v>
      </c>
      <c r="DG18" t="s">
        <v>513</v>
      </c>
      <c r="DH18">
        <v>0</v>
      </c>
      <c r="DI18" t="s">
        <v>332</v>
      </c>
      <c r="DJ18">
        <v>100</v>
      </c>
      <c r="DK18">
        <v>3</v>
      </c>
    </row>
    <row r="19" spans="1:115" x14ac:dyDescent="0.25">
      <c r="A19">
        <v>18</v>
      </c>
      <c r="B19" t="s">
        <v>657</v>
      </c>
      <c r="C19">
        <v>1</v>
      </c>
      <c r="D19">
        <v>20</v>
      </c>
      <c r="E19">
        <v>444179</v>
      </c>
      <c r="F19" t="s">
        <v>464</v>
      </c>
      <c r="G19">
        <v>19</v>
      </c>
      <c r="H19">
        <v>34.29</v>
      </c>
      <c r="I19" t="s">
        <v>297</v>
      </c>
      <c r="J19" t="s">
        <v>299</v>
      </c>
      <c r="K19" t="s">
        <v>321</v>
      </c>
      <c r="L19" t="s">
        <v>406</v>
      </c>
      <c r="M19" t="s">
        <v>299</v>
      </c>
      <c r="N19" t="s">
        <v>321</v>
      </c>
      <c r="O19" t="s">
        <v>1129</v>
      </c>
      <c r="P19">
        <v>170990052</v>
      </c>
      <c r="Q19" s="290">
        <v>45020</v>
      </c>
      <c r="R19">
        <v>9</v>
      </c>
      <c r="S19">
        <v>2017</v>
      </c>
      <c r="T19" t="s">
        <v>489</v>
      </c>
      <c r="U19">
        <v>12</v>
      </c>
      <c r="V19" t="s">
        <v>422</v>
      </c>
      <c r="W19" t="s">
        <v>320</v>
      </c>
      <c r="X19">
        <v>0</v>
      </c>
      <c r="Y19">
        <v>2</v>
      </c>
      <c r="Z19" t="s">
        <v>451</v>
      </c>
      <c r="AA19" t="s">
        <v>409</v>
      </c>
      <c r="AB19" t="s">
        <v>460</v>
      </c>
      <c r="AC19" t="s">
        <v>433</v>
      </c>
      <c r="AD19" t="s">
        <v>446</v>
      </c>
      <c r="AE19" t="s">
        <v>321</v>
      </c>
      <c r="AF19" t="s">
        <v>434</v>
      </c>
      <c r="AG19" t="s">
        <v>414</v>
      </c>
      <c r="AH19" t="s">
        <v>469</v>
      </c>
      <c r="AI19" t="s">
        <v>321</v>
      </c>
      <c r="AJ19" t="s">
        <v>471</v>
      </c>
      <c r="AK19" t="s">
        <v>451</v>
      </c>
      <c r="AL19" t="s">
        <v>417</v>
      </c>
      <c r="AM19" t="s">
        <v>514</v>
      </c>
      <c r="AN19" t="s">
        <v>448</v>
      </c>
      <c r="AO19" t="s">
        <v>426</v>
      </c>
      <c r="AP19">
        <v>73</v>
      </c>
      <c r="AQ19" t="s">
        <v>420</v>
      </c>
      <c r="AR19" t="s">
        <v>421</v>
      </c>
      <c r="AS19" t="s">
        <v>428</v>
      </c>
      <c r="AT19" t="s">
        <v>321</v>
      </c>
      <c r="AU19" t="s">
        <v>321</v>
      </c>
      <c r="AV19" t="s">
        <v>321</v>
      </c>
      <c r="AW19" t="s">
        <v>441</v>
      </c>
      <c r="AX19" t="s">
        <v>442</v>
      </c>
      <c r="AY19">
        <v>30</v>
      </c>
      <c r="AZ19" t="s">
        <v>423</v>
      </c>
      <c r="BA19" t="s">
        <v>424</v>
      </c>
      <c r="BB19" t="s">
        <v>417</v>
      </c>
      <c r="BC19" t="s">
        <v>425</v>
      </c>
      <c r="BD19" t="s">
        <v>472</v>
      </c>
      <c r="BE19" t="s">
        <v>426</v>
      </c>
      <c r="BF19">
        <v>20</v>
      </c>
      <c r="BG19" t="s">
        <v>420</v>
      </c>
      <c r="BH19" t="s">
        <v>421</v>
      </c>
      <c r="BI19" t="s">
        <v>454</v>
      </c>
      <c r="BJ19" t="s">
        <v>321</v>
      </c>
      <c r="BK19" t="s">
        <v>321</v>
      </c>
      <c r="BL19" t="s">
        <v>321</v>
      </c>
      <c r="BM19" t="s">
        <v>441</v>
      </c>
      <c r="BN19" t="s">
        <v>512</v>
      </c>
      <c r="BO19">
        <v>30</v>
      </c>
      <c r="BP19" t="s">
        <v>423</v>
      </c>
      <c r="BQ19" t="s">
        <v>424</v>
      </c>
      <c r="BR19" t="s">
        <v>321</v>
      </c>
      <c r="BS19" t="s">
        <v>321</v>
      </c>
      <c r="BT19" t="s">
        <v>321</v>
      </c>
      <c r="BU19" t="s">
        <v>321</v>
      </c>
      <c r="BV19" t="s">
        <v>321</v>
      </c>
      <c r="BW19" t="s">
        <v>321</v>
      </c>
      <c r="BX19" t="s">
        <v>321</v>
      </c>
      <c r="BY19" t="s">
        <v>321</v>
      </c>
      <c r="BZ19" t="s">
        <v>321</v>
      </c>
      <c r="CA19" t="s">
        <v>321</v>
      </c>
      <c r="CB19" t="s">
        <v>321</v>
      </c>
      <c r="CC19" t="s">
        <v>321</v>
      </c>
      <c r="CD19" t="s">
        <v>321</v>
      </c>
      <c r="CE19" t="s">
        <v>321</v>
      </c>
      <c r="CF19" t="s">
        <v>321</v>
      </c>
      <c r="CG19" t="s">
        <v>321</v>
      </c>
      <c r="CH19" t="s">
        <v>321</v>
      </c>
      <c r="CI19" t="s">
        <v>321</v>
      </c>
      <c r="CJ19" t="s">
        <v>321</v>
      </c>
      <c r="CK19" t="s">
        <v>321</v>
      </c>
      <c r="CL19" t="s">
        <v>321</v>
      </c>
      <c r="CM19" t="s">
        <v>321</v>
      </c>
      <c r="CN19" t="s">
        <v>321</v>
      </c>
      <c r="CO19" t="s">
        <v>321</v>
      </c>
      <c r="CP19" t="s">
        <v>321</v>
      </c>
      <c r="CQ19" t="s">
        <v>321</v>
      </c>
      <c r="CR19" t="s">
        <v>321</v>
      </c>
      <c r="CS19" t="s">
        <v>321</v>
      </c>
      <c r="CT19" t="s">
        <v>321</v>
      </c>
      <c r="CU19" t="s">
        <v>321</v>
      </c>
      <c r="CV19" t="s">
        <v>321</v>
      </c>
      <c r="CW19" t="s">
        <v>321</v>
      </c>
      <c r="CX19">
        <v>277477.82400000002</v>
      </c>
      <c r="CY19">
        <v>4924891.1459999997</v>
      </c>
      <c r="CZ19">
        <v>44.443094000000002</v>
      </c>
      <c r="DA19">
        <v>-95.796367000000004</v>
      </c>
      <c r="DB19" s="291">
        <v>42834.524305555555</v>
      </c>
      <c r="DC19" t="s">
        <v>231</v>
      </c>
      <c r="DD19" t="s">
        <v>429</v>
      </c>
      <c r="DE19" t="s">
        <v>455</v>
      </c>
      <c r="DF19" t="s">
        <v>456</v>
      </c>
      <c r="DG19" t="s">
        <v>1128</v>
      </c>
      <c r="DH19">
        <v>0</v>
      </c>
      <c r="DI19" t="s">
        <v>332</v>
      </c>
      <c r="DJ19">
        <v>100</v>
      </c>
      <c r="DK19">
        <v>3</v>
      </c>
    </row>
    <row r="20" spans="1:115" x14ac:dyDescent="0.25">
      <c r="A20">
        <v>19</v>
      </c>
      <c r="B20" t="s">
        <v>657</v>
      </c>
      <c r="C20">
        <v>1</v>
      </c>
      <c r="D20">
        <v>21</v>
      </c>
      <c r="E20">
        <v>456977</v>
      </c>
      <c r="F20" t="s">
        <v>464</v>
      </c>
      <c r="G20">
        <v>19</v>
      </c>
      <c r="H20">
        <v>34.290999999999997</v>
      </c>
      <c r="I20" t="s">
        <v>297</v>
      </c>
      <c r="J20" t="s">
        <v>299</v>
      </c>
      <c r="K20" t="s">
        <v>321</v>
      </c>
      <c r="L20" t="s">
        <v>406</v>
      </c>
      <c r="M20" t="s">
        <v>299</v>
      </c>
      <c r="N20" t="s">
        <v>321</v>
      </c>
      <c r="O20">
        <v>17009728</v>
      </c>
      <c r="P20">
        <v>171540147</v>
      </c>
      <c r="Q20" s="290">
        <v>45083</v>
      </c>
      <c r="R20">
        <v>3</v>
      </c>
      <c r="S20">
        <v>2017</v>
      </c>
      <c r="T20" t="s">
        <v>506</v>
      </c>
      <c r="U20">
        <v>15</v>
      </c>
      <c r="V20" t="s">
        <v>495</v>
      </c>
      <c r="W20" t="s">
        <v>318</v>
      </c>
      <c r="X20">
        <v>0</v>
      </c>
      <c r="Y20">
        <v>2</v>
      </c>
      <c r="Z20" t="s">
        <v>463</v>
      </c>
      <c r="AA20" t="s">
        <v>409</v>
      </c>
      <c r="AB20" t="s">
        <v>460</v>
      </c>
      <c r="AC20" t="s">
        <v>433</v>
      </c>
      <c r="AD20" t="s">
        <v>412</v>
      </c>
      <c r="AE20" t="s">
        <v>321</v>
      </c>
      <c r="AF20" t="s">
        <v>434</v>
      </c>
      <c r="AG20" t="s">
        <v>414</v>
      </c>
      <c r="AH20" t="s">
        <v>469</v>
      </c>
      <c r="AI20" t="s">
        <v>321</v>
      </c>
      <c r="AJ20" t="s">
        <v>471</v>
      </c>
      <c r="AK20" t="s">
        <v>463</v>
      </c>
      <c r="AL20" t="s">
        <v>417</v>
      </c>
      <c r="AM20" t="s">
        <v>418</v>
      </c>
      <c r="AN20" t="s">
        <v>472</v>
      </c>
      <c r="AO20" t="s">
        <v>426</v>
      </c>
      <c r="AP20">
        <v>69</v>
      </c>
      <c r="AQ20" t="s">
        <v>427</v>
      </c>
      <c r="AR20" t="s">
        <v>421</v>
      </c>
      <c r="AS20" t="s">
        <v>454</v>
      </c>
      <c r="AT20" t="s">
        <v>321</v>
      </c>
      <c r="AU20" t="s">
        <v>321</v>
      </c>
      <c r="AV20" t="s">
        <v>321</v>
      </c>
      <c r="AW20" t="s">
        <v>441</v>
      </c>
      <c r="AX20" t="s">
        <v>512</v>
      </c>
      <c r="AY20">
        <v>30</v>
      </c>
      <c r="AZ20" t="s">
        <v>423</v>
      </c>
      <c r="BA20" t="s">
        <v>424</v>
      </c>
      <c r="BB20" t="s">
        <v>417</v>
      </c>
      <c r="BC20" t="s">
        <v>463</v>
      </c>
      <c r="BD20" t="s">
        <v>461</v>
      </c>
      <c r="BE20" t="s">
        <v>426</v>
      </c>
      <c r="BF20">
        <v>38</v>
      </c>
      <c r="BG20" t="s">
        <v>420</v>
      </c>
      <c r="BH20" t="s">
        <v>421</v>
      </c>
      <c r="BI20" t="s">
        <v>479</v>
      </c>
      <c r="BJ20" t="s">
        <v>321</v>
      </c>
      <c r="BK20" t="s">
        <v>321</v>
      </c>
      <c r="BL20" t="s">
        <v>321</v>
      </c>
      <c r="BM20" t="s">
        <v>441</v>
      </c>
      <c r="BN20" t="s">
        <v>442</v>
      </c>
      <c r="BO20">
        <v>30</v>
      </c>
      <c r="BP20" t="s">
        <v>423</v>
      </c>
      <c r="BQ20" t="s">
        <v>424</v>
      </c>
      <c r="BR20" t="s">
        <v>321</v>
      </c>
      <c r="BS20" t="s">
        <v>321</v>
      </c>
      <c r="BT20" t="s">
        <v>321</v>
      </c>
      <c r="BU20" t="s">
        <v>321</v>
      </c>
      <c r="BV20" t="s">
        <v>321</v>
      </c>
      <c r="BW20" t="s">
        <v>321</v>
      </c>
      <c r="BX20" t="s">
        <v>321</v>
      </c>
      <c r="BY20" t="s">
        <v>321</v>
      </c>
      <c r="BZ20" t="s">
        <v>321</v>
      </c>
      <c r="CA20" t="s">
        <v>321</v>
      </c>
      <c r="CB20" t="s">
        <v>321</v>
      </c>
      <c r="CC20" t="s">
        <v>321</v>
      </c>
      <c r="CD20" t="s">
        <v>321</v>
      </c>
      <c r="CE20" t="s">
        <v>321</v>
      </c>
      <c r="CF20" t="s">
        <v>321</v>
      </c>
      <c r="CG20" t="s">
        <v>321</v>
      </c>
      <c r="CH20" t="s">
        <v>321</v>
      </c>
      <c r="CI20" t="s">
        <v>321</v>
      </c>
      <c r="CJ20" t="s">
        <v>321</v>
      </c>
      <c r="CK20" t="s">
        <v>321</v>
      </c>
      <c r="CL20" t="s">
        <v>321</v>
      </c>
      <c r="CM20" t="s">
        <v>321</v>
      </c>
      <c r="CN20" t="s">
        <v>321</v>
      </c>
      <c r="CO20" t="s">
        <v>321</v>
      </c>
      <c r="CP20" t="s">
        <v>321</v>
      </c>
      <c r="CQ20" t="s">
        <v>321</v>
      </c>
      <c r="CR20" t="s">
        <v>321</v>
      </c>
      <c r="CS20" t="s">
        <v>321</v>
      </c>
      <c r="CT20" t="s">
        <v>321</v>
      </c>
      <c r="CU20" t="s">
        <v>321</v>
      </c>
      <c r="CV20" t="s">
        <v>321</v>
      </c>
      <c r="CW20" t="s">
        <v>321</v>
      </c>
      <c r="CX20">
        <v>277478.62</v>
      </c>
      <c r="CY20">
        <v>4924891.1140000001</v>
      </c>
      <c r="CZ20">
        <v>44.443094000000002</v>
      </c>
      <c r="DA20">
        <v>-95.796357</v>
      </c>
      <c r="DB20" s="291">
        <v>42889.649305555555</v>
      </c>
      <c r="DC20" t="s">
        <v>231</v>
      </c>
      <c r="DD20" t="s">
        <v>429</v>
      </c>
      <c r="DE20" t="s">
        <v>455</v>
      </c>
      <c r="DF20" t="s">
        <v>456</v>
      </c>
      <c r="DG20" t="s">
        <v>1127</v>
      </c>
      <c r="DH20">
        <v>0</v>
      </c>
      <c r="DI20" t="s">
        <v>332</v>
      </c>
      <c r="DJ20">
        <v>100</v>
      </c>
      <c r="DK20">
        <v>3</v>
      </c>
    </row>
    <row r="21" spans="1:115" x14ac:dyDescent="0.25">
      <c r="A21">
        <v>20</v>
      </c>
      <c r="B21" t="s">
        <v>657</v>
      </c>
      <c r="C21">
        <v>1</v>
      </c>
      <c r="D21">
        <v>22</v>
      </c>
      <c r="E21">
        <v>821149</v>
      </c>
      <c r="F21" t="s">
        <v>464</v>
      </c>
      <c r="G21">
        <v>19</v>
      </c>
      <c r="H21">
        <v>34.290999999999997</v>
      </c>
      <c r="I21" t="s">
        <v>297</v>
      </c>
      <c r="J21" t="s">
        <v>299</v>
      </c>
      <c r="K21" t="s">
        <v>321</v>
      </c>
      <c r="L21" t="s">
        <v>406</v>
      </c>
      <c r="M21" t="s">
        <v>299</v>
      </c>
      <c r="N21" t="s">
        <v>321</v>
      </c>
      <c r="O21" t="s">
        <v>515</v>
      </c>
      <c r="P21">
        <v>202040128</v>
      </c>
      <c r="Q21" s="290">
        <v>45114</v>
      </c>
      <c r="R21">
        <v>22</v>
      </c>
      <c r="S21">
        <v>2020</v>
      </c>
      <c r="T21" t="s">
        <v>494</v>
      </c>
      <c r="U21">
        <v>17</v>
      </c>
      <c r="V21" t="s">
        <v>422</v>
      </c>
      <c r="W21" t="s">
        <v>319</v>
      </c>
      <c r="X21">
        <v>0</v>
      </c>
      <c r="Y21">
        <v>2</v>
      </c>
      <c r="Z21" t="s">
        <v>451</v>
      </c>
      <c r="AA21" t="s">
        <v>409</v>
      </c>
      <c r="AB21" t="s">
        <v>460</v>
      </c>
      <c r="AC21" t="s">
        <v>433</v>
      </c>
      <c r="AD21" t="s">
        <v>412</v>
      </c>
      <c r="AE21" t="s">
        <v>321</v>
      </c>
      <c r="AF21" t="s">
        <v>434</v>
      </c>
      <c r="AG21" t="s">
        <v>414</v>
      </c>
      <c r="AH21" t="s">
        <v>469</v>
      </c>
      <c r="AI21" t="s">
        <v>321</v>
      </c>
      <c r="AJ21" t="s">
        <v>471</v>
      </c>
      <c r="AK21" t="s">
        <v>451</v>
      </c>
      <c r="AL21" t="s">
        <v>417</v>
      </c>
      <c r="AM21" t="s">
        <v>425</v>
      </c>
      <c r="AN21" t="s">
        <v>472</v>
      </c>
      <c r="AO21" t="s">
        <v>426</v>
      </c>
      <c r="AP21">
        <v>17</v>
      </c>
      <c r="AQ21" t="s">
        <v>420</v>
      </c>
      <c r="AR21" t="s">
        <v>421</v>
      </c>
      <c r="AS21" t="s">
        <v>516</v>
      </c>
      <c r="AT21" t="s">
        <v>479</v>
      </c>
      <c r="AU21" t="s">
        <v>321</v>
      </c>
      <c r="AV21" t="s">
        <v>321</v>
      </c>
      <c r="AW21" t="s">
        <v>441</v>
      </c>
      <c r="AX21" t="s">
        <v>512</v>
      </c>
      <c r="AY21">
        <v>30</v>
      </c>
      <c r="AZ21" t="s">
        <v>423</v>
      </c>
      <c r="BA21" t="s">
        <v>424</v>
      </c>
      <c r="BB21" t="s">
        <v>417</v>
      </c>
      <c r="BC21" t="s">
        <v>418</v>
      </c>
      <c r="BD21" t="s">
        <v>461</v>
      </c>
      <c r="BE21" t="s">
        <v>426</v>
      </c>
      <c r="BF21">
        <v>19</v>
      </c>
      <c r="BG21" t="s">
        <v>427</v>
      </c>
      <c r="BH21" t="s">
        <v>421</v>
      </c>
      <c r="BI21" t="s">
        <v>428</v>
      </c>
      <c r="BJ21" t="s">
        <v>321</v>
      </c>
      <c r="BK21" t="s">
        <v>321</v>
      </c>
      <c r="BL21" t="s">
        <v>321</v>
      </c>
      <c r="BM21" t="s">
        <v>441</v>
      </c>
      <c r="BN21" t="s">
        <v>442</v>
      </c>
      <c r="BO21" t="s">
        <v>321</v>
      </c>
      <c r="BP21" t="s">
        <v>423</v>
      </c>
      <c r="BQ21" t="s">
        <v>424</v>
      </c>
      <c r="BR21" t="s">
        <v>321</v>
      </c>
      <c r="BS21" t="s">
        <v>321</v>
      </c>
      <c r="BT21" t="s">
        <v>321</v>
      </c>
      <c r="BU21" t="s">
        <v>321</v>
      </c>
      <c r="BV21" t="s">
        <v>321</v>
      </c>
      <c r="BW21" t="s">
        <v>321</v>
      </c>
      <c r="BX21" t="s">
        <v>321</v>
      </c>
      <c r="BY21" t="s">
        <v>321</v>
      </c>
      <c r="BZ21" t="s">
        <v>321</v>
      </c>
      <c r="CA21" t="s">
        <v>321</v>
      </c>
      <c r="CB21" t="s">
        <v>321</v>
      </c>
      <c r="CC21" t="s">
        <v>321</v>
      </c>
      <c r="CD21" t="s">
        <v>321</v>
      </c>
      <c r="CE21" t="s">
        <v>321</v>
      </c>
      <c r="CF21" t="s">
        <v>321</v>
      </c>
      <c r="CG21" t="s">
        <v>321</v>
      </c>
      <c r="CH21" t="s">
        <v>321</v>
      </c>
      <c r="CI21" t="s">
        <v>321</v>
      </c>
      <c r="CJ21" t="s">
        <v>321</v>
      </c>
      <c r="CK21" t="s">
        <v>321</v>
      </c>
      <c r="CL21" t="s">
        <v>321</v>
      </c>
      <c r="CM21" t="s">
        <v>321</v>
      </c>
      <c r="CN21" t="s">
        <v>321</v>
      </c>
      <c r="CO21" t="s">
        <v>321</v>
      </c>
      <c r="CP21" t="s">
        <v>321</v>
      </c>
      <c r="CQ21" t="s">
        <v>321</v>
      </c>
      <c r="CR21" t="s">
        <v>321</v>
      </c>
      <c r="CS21" t="s">
        <v>321</v>
      </c>
      <c r="CT21" t="s">
        <v>321</v>
      </c>
      <c r="CU21" t="s">
        <v>321</v>
      </c>
      <c r="CV21" t="s">
        <v>321</v>
      </c>
      <c r="CW21" t="s">
        <v>321</v>
      </c>
      <c r="CX21">
        <v>277478.55050000001</v>
      </c>
      <c r="CY21">
        <v>4924891.1179999998</v>
      </c>
      <c r="CZ21">
        <v>44.443094000000002</v>
      </c>
      <c r="DA21">
        <v>-95.796357</v>
      </c>
      <c r="DB21" s="291">
        <v>44034.746527777781</v>
      </c>
      <c r="DC21" t="s">
        <v>231</v>
      </c>
      <c r="DD21" t="s">
        <v>429</v>
      </c>
      <c r="DE21" t="s">
        <v>455</v>
      </c>
      <c r="DF21" t="s">
        <v>456</v>
      </c>
      <c r="DG21" t="s">
        <v>517</v>
      </c>
      <c r="DH21">
        <v>0</v>
      </c>
      <c r="DI21" t="s">
        <v>332</v>
      </c>
      <c r="DJ21">
        <v>100</v>
      </c>
      <c r="DK21">
        <v>3</v>
      </c>
    </row>
    <row r="22" spans="1:115" x14ac:dyDescent="0.25">
      <c r="A22">
        <v>21</v>
      </c>
      <c r="B22" t="s">
        <v>657</v>
      </c>
      <c r="C22">
        <v>1</v>
      </c>
      <c r="D22">
        <v>23</v>
      </c>
      <c r="E22">
        <v>822835</v>
      </c>
      <c r="F22" t="s">
        <v>464</v>
      </c>
      <c r="G22">
        <v>19</v>
      </c>
      <c r="H22">
        <v>34.290999999999997</v>
      </c>
      <c r="I22" t="s">
        <v>297</v>
      </c>
      <c r="J22" t="s">
        <v>299</v>
      </c>
      <c r="K22" t="s">
        <v>321</v>
      </c>
      <c r="L22" t="s">
        <v>406</v>
      </c>
      <c r="M22" t="s">
        <v>299</v>
      </c>
      <c r="N22" t="s">
        <v>321</v>
      </c>
      <c r="O22" t="s">
        <v>518</v>
      </c>
      <c r="P22">
        <v>202130107</v>
      </c>
      <c r="Q22" s="290">
        <v>45114</v>
      </c>
      <c r="R22">
        <v>31</v>
      </c>
      <c r="S22">
        <v>2020</v>
      </c>
      <c r="T22" t="s">
        <v>485</v>
      </c>
      <c r="U22">
        <v>17</v>
      </c>
      <c r="V22" t="s">
        <v>422</v>
      </c>
      <c r="W22" t="s">
        <v>320</v>
      </c>
      <c r="X22">
        <v>0</v>
      </c>
      <c r="Y22">
        <v>2</v>
      </c>
      <c r="Z22" t="s">
        <v>451</v>
      </c>
      <c r="AA22" t="s">
        <v>409</v>
      </c>
      <c r="AB22" t="s">
        <v>452</v>
      </c>
      <c r="AC22" t="s">
        <v>433</v>
      </c>
      <c r="AD22" t="s">
        <v>412</v>
      </c>
      <c r="AE22" t="s">
        <v>321</v>
      </c>
      <c r="AF22" t="s">
        <v>434</v>
      </c>
      <c r="AG22" t="s">
        <v>414</v>
      </c>
      <c r="AH22" t="s">
        <v>469</v>
      </c>
      <c r="AI22" t="s">
        <v>321</v>
      </c>
      <c r="AJ22" t="s">
        <v>471</v>
      </c>
      <c r="AK22" t="s">
        <v>451</v>
      </c>
      <c r="AL22" t="s">
        <v>417</v>
      </c>
      <c r="AM22" t="s">
        <v>425</v>
      </c>
      <c r="AN22" t="s">
        <v>472</v>
      </c>
      <c r="AO22" t="s">
        <v>426</v>
      </c>
      <c r="AP22">
        <v>30</v>
      </c>
      <c r="AQ22" t="s">
        <v>427</v>
      </c>
      <c r="AR22" t="s">
        <v>430</v>
      </c>
      <c r="AS22" t="s">
        <v>454</v>
      </c>
      <c r="AT22" t="s">
        <v>321</v>
      </c>
      <c r="AU22" t="s">
        <v>321</v>
      </c>
      <c r="AV22" t="s">
        <v>321</v>
      </c>
      <c r="AW22" t="s">
        <v>441</v>
      </c>
      <c r="AX22" t="s">
        <v>512</v>
      </c>
      <c r="AY22">
        <v>30</v>
      </c>
      <c r="AZ22" t="s">
        <v>423</v>
      </c>
      <c r="BA22" t="s">
        <v>424</v>
      </c>
      <c r="BB22" t="s">
        <v>417</v>
      </c>
      <c r="BC22" t="s">
        <v>425</v>
      </c>
      <c r="BD22" t="s">
        <v>461</v>
      </c>
      <c r="BE22" t="s">
        <v>426</v>
      </c>
      <c r="BF22">
        <v>31</v>
      </c>
      <c r="BG22" t="s">
        <v>427</v>
      </c>
      <c r="BH22" t="s">
        <v>421</v>
      </c>
      <c r="BI22" t="s">
        <v>428</v>
      </c>
      <c r="BJ22" t="s">
        <v>321</v>
      </c>
      <c r="BK22" t="s">
        <v>321</v>
      </c>
      <c r="BL22" t="s">
        <v>321</v>
      </c>
      <c r="BM22" t="s">
        <v>441</v>
      </c>
      <c r="BN22" t="s">
        <v>442</v>
      </c>
      <c r="BO22">
        <v>30</v>
      </c>
      <c r="BP22" t="s">
        <v>423</v>
      </c>
      <c r="BQ22" t="s">
        <v>424</v>
      </c>
      <c r="BR22" t="s">
        <v>321</v>
      </c>
      <c r="BS22" t="s">
        <v>321</v>
      </c>
      <c r="BT22" t="s">
        <v>321</v>
      </c>
      <c r="BU22" t="s">
        <v>321</v>
      </c>
      <c r="BV22" t="s">
        <v>321</v>
      </c>
      <c r="BW22" t="s">
        <v>321</v>
      </c>
      <c r="BX22" t="s">
        <v>321</v>
      </c>
      <c r="BY22" t="s">
        <v>321</v>
      </c>
      <c r="BZ22" t="s">
        <v>321</v>
      </c>
      <c r="CA22" t="s">
        <v>321</v>
      </c>
      <c r="CB22" t="s">
        <v>321</v>
      </c>
      <c r="CC22" t="s">
        <v>321</v>
      </c>
      <c r="CD22" t="s">
        <v>321</v>
      </c>
      <c r="CE22" t="s">
        <v>321</v>
      </c>
      <c r="CF22" t="s">
        <v>321</v>
      </c>
      <c r="CG22" t="s">
        <v>321</v>
      </c>
      <c r="CH22" t="s">
        <v>321</v>
      </c>
      <c r="CI22" t="s">
        <v>321</v>
      </c>
      <c r="CJ22" t="s">
        <v>321</v>
      </c>
      <c r="CK22" t="s">
        <v>321</v>
      </c>
      <c r="CL22" t="s">
        <v>321</v>
      </c>
      <c r="CM22" t="s">
        <v>321</v>
      </c>
      <c r="CN22" t="s">
        <v>321</v>
      </c>
      <c r="CO22" t="s">
        <v>321</v>
      </c>
      <c r="CP22" t="s">
        <v>321</v>
      </c>
      <c r="CQ22" t="s">
        <v>321</v>
      </c>
      <c r="CR22" t="s">
        <v>321</v>
      </c>
      <c r="CS22" t="s">
        <v>321</v>
      </c>
      <c r="CT22" t="s">
        <v>321</v>
      </c>
      <c r="CU22" t="s">
        <v>321</v>
      </c>
      <c r="CV22" t="s">
        <v>321</v>
      </c>
      <c r="CW22" t="s">
        <v>321</v>
      </c>
      <c r="CX22">
        <v>277478.01380000002</v>
      </c>
      <c r="CY22">
        <v>4924891.1399999997</v>
      </c>
      <c r="CZ22">
        <v>44.443094000000002</v>
      </c>
      <c r="DA22">
        <v>-95.796363999999997</v>
      </c>
      <c r="DB22" s="291">
        <v>44043.749305555553</v>
      </c>
      <c r="DC22" t="s">
        <v>231</v>
      </c>
      <c r="DD22" t="s">
        <v>429</v>
      </c>
      <c r="DE22" t="s">
        <v>455</v>
      </c>
      <c r="DF22" t="s">
        <v>456</v>
      </c>
      <c r="DG22" t="s">
        <v>519</v>
      </c>
      <c r="DH22">
        <v>0</v>
      </c>
      <c r="DI22" t="s">
        <v>332</v>
      </c>
      <c r="DJ22">
        <v>100</v>
      </c>
      <c r="DK22">
        <v>3</v>
      </c>
    </row>
    <row r="23" spans="1:115" x14ac:dyDescent="0.25">
      <c r="A23">
        <v>22</v>
      </c>
      <c r="B23" t="s">
        <v>657</v>
      </c>
      <c r="C23">
        <v>1</v>
      </c>
      <c r="D23">
        <v>24</v>
      </c>
      <c r="E23">
        <v>986974</v>
      </c>
      <c r="F23" t="s">
        <v>464</v>
      </c>
      <c r="G23">
        <v>19</v>
      </c>
      <c r="H23">
        <v>34.29</v>
      </c>
      <c r="I23" t="s">
        <v>297</v>
      </c>
      <c r="J23" t="s">
        <v>299</v>
      </c>
      <c r="K23" t="s">
        <v>321</v>
      </c>
      <c r="L23" t="s">
        <v>406</v>
      </c>
      <c r="M23" t="s">
        <v>299</v>
      </c>
      <c r="N23" t="s">
        <v>321</v>
      </c>
      <c r="O23" s="292">
        <v>202000000000</v>
      </c>
      <c r="P23">
        <v>213640243</v>
      </c>
      <c r="Q23" s="290">
        <v>45272</v>
      </c>
      <c r="R23">
        <v>30</v>
      </c>
      <c r="S23">
        <v>2021</v>
      </c>
      <c r="T23" t="s">
        <v>458</v>
      </c>
      <c r="U23">
        <v>16</v>
      </c>
      <c r="V23" t="s">
        <v>321</v>
      </c>
      <c r="W23" t="s">
        <v>320</v>
      </c>
      <c r="X23">
        <v>0</v>
      </c>
      <c r="Y23">
        <v>2</v>
      </c>
      <c r="Z23" t="s">
        <v>451</v>
      </c>
      <c r="AA23" t="s">
        <v>409</v>
      </c>
      <c r="AB23" t="s">
        <v>452</v>
      </c>
      <c r="AC23" t="s">
        <v>433</v>
      </c>
      <c r="AD23" t="s">
        <v>412</v>
      </c>
      <c r="AE23" t="s">
        <v>321</v>
      </c>
      <c r="AF23" t="s">
        <v>434</v>
      </c>
      <c r="AG23" t="s">
        <v>414</v>
      </c>
      <c r="AH23" t="s">
        <v>469</v>
      </c>
      <c r="AI23" t="s">
        <v>321</v>
      </c>
      <c r="AJ23" t="s">
        <v>471</v>
      </c>
      <c r="AK23" t="s">
        <v>451</v>
      </c>
      <c r="AL23" t="s">
        <v>417</v>
      </c>
      <c r="AM23" t="s">
        <v>478</v>
      </c>
      <c r="AN23" t="s">
        <v>448</v>
      </c>
      <c r="AO23" t="s">
        <v>426</v>
      </c>
      <c r="AP23">
        <v>37</v>
      </c>
      <c r="AQ23" t="s">
        <v>420</v>
      </c>
      <c r="AR23" t="s">
        <v>421</v>
      </c>
      <c r="AS23" t="s">
        <v>428</v>
      </c>
      <c r="AT23" t="s">
        <v>321</v>
      </c>
      <c r="AU23" t="s">
        <v>321</v>
      </c>
      <c r="AV23" t="s">
        <v>321</v>
      </c>
      <c r="AW23" t="s">
        <v>441</v>
      </c>
      <c r="AX23" t="s">
        <v>442</v>
      </c>
      <c r="AY23">
        <v>30</v>
      </c>
      <c r="AZ23" t="s">
        <v>423</v>
      </c>
      <c r="BA23" t="s">
        <v>424</v>
      </c>
      <c r="BB23" t="s">
        <v>417</v>
      </c>
      <c r="BC23" t="s">
        <v>425</v>
      </c>
      <c r="BD23" t="s">
        <v>472</v>
      </c>
      <c r="BE23" t="s">
        <v>426</v>
      </c>
      <c r="BF23">
        <v>18</v>
      </c>
      <c r="BG23" t="s">
        <v>420</v>
      </c>
      <c r="BH23" t="s">
        <v>421</v>
      </c>
      <c r="BI23" t="s">
        <v>496</v>
      </c>
      <c r="BJ23" t="s">
        <v>454</v>
      </c>
      <c r="BK23" t="s">
        <v>321</v>
      </c>
      <c r="BL23" t="s">
        <v>321</v>
      </c>
      <c r="BM23" t="s">
        <v>441</v>
      </c>
      <c r="BN23" t="s">
        <v>512</v>
      </c>
      <c r="BO23">
        <v>30</v>
      </c>
      <c r="BP23" t="s">
        <v>423</v>
      </c>
      <c r="BQ23" t="s">
        <v>424</v>
      </c>
      <c r="BR23" t="s">
        <v>321</v>
      </c>
      <c r="BS23" t="s">
        <v>321</v>
      </c>
      <c r="BT23" t="s">
        <v>321</v>
      </c>
      <c r="BU23" t="s">
        <v>321</v>
      </c>
      <c r="BV23" t="s">
        <v>321</v>
      </c>
      <c r="BW23" t="s">
        <v>321</v>
      </c>
      <c r="BX23" t="s">
        <v>321</v>
      </c>
      <c r="BY23" t="s">
        <v>321</v>
      </c>
      <c r="BZ23" t="s">
        <v>321</v>
      </c>
      <c r="CA23" t="s">
        <v>321</v>
      </c>
      <c r="CB23" t="s">
        <v>321</v>
      </c>
      <c r="CC23" t="s">
        <v>321</v>
      </c>
      <c r="CD23" t="s">
        <v>321</v>
      </c>
      <c r="CE23" t="s">
        <v>321</v>
      </c>
      <c r="CF23" t="s">
        <v>321</v>
      </c>
      <c r="CG23" t="s">
        <v>321</v>
      </c>
      <c r="CH23" t="s">
        <v>321</v>
      </c>
      <c r="CI23" t="s">
        <v>321</v>
      </c>
      <c r="CJ23" t="s">
        <v>321</v>
      </c>
      <c r="CK23" t="s">
        <v>321</v>
      </c>
      <c r="CL23" t="s">
        <v>321</v>
      </c>
      <c r="CM23" t="s">
        <v>321</v>
      </c>
      <c r="CN23" t="s">
        <v>321</v>
      </c>
      <c r="CO23" t="s">
        <v>321</v>
      </c>
      <c r="CP23" t="s">
        <v>321</v>
      </c>
      <c r="CQ23" t="s">
        <v>321</v>
      </c>
      <c r="CR23" t="s">
        <v>321</v>
      </c>
      <c r="CS23" t="s">
        <v>321</v>
      </c>
      <c r="CT23" t="s">
        <v>321</v>
      </c>
      <c r="CU23" t="s">
        <v>321</v>
      </c>
      <c r="CV23" t="s">
        <v>321</v>
      </c>
      <c r="CW23" t="s">
        <v>321</v>
      </c>
      <c r="CX23">
        <v>277477.5686</v>
      </c>
      <c r="CY23">
        <v>4924891.1550000003</v>
      </c>
      <c r="CZ23">
        <v>44.443094000000002</v>
      </c>
      <c r="DA23">
        <v>-95.796369999999996</v>
      </c>
      <c r="DB23" s="291">
        <v>44560.680555555555</v>
      </c>
      <c r="DC23" t="s">
        <v>231</v>
      </c>
      <c r="DD23" t="s">
        <v>429</v>
      </c>
      <c r="DE23" t="s">
        <v>455</v>
      </c>
      <c r="DF23" t="s">
        <v>456</v>
      </c>
      <c r="DG23" t="s">
        <v>520</v>
      </c>
      <c r="DH23">
        <v>0</v>
      </c>
      <c r="DI23" t="s">
        <v>332</v>
      </c>
      <c r="DJ23">
        <v>100</v>
      </c>
      <c r="DK23">
        <v>3</v>
      </c>
    </row>
    <row r="24" spans="1:115" x14ac:dyDescent="0.25">
      <c r="A24">
        <v>23</v>
      </c>
      <c r="B24" t="s">
        <v>657</v>
      </c>
      <c r="C24">
        <v>1</v>
      </c>
      <c r="D24">
        <v>25</v>
      </c>
      <c r="E24">
        <v>10891280</v>
      </c>
      <c r="F24" t="s">
        <v>464</v>
      </c>
      <c r="G24">
        <v>19</v>
      </c>
      <c r="H24">
        <v>34.290999999999997</v>
      </c>
      <c r="I24" t="s">
        <v>297</v>
      </c>
      <c r="J24" t="s">
        <v>299</v>
      </c>
      <c r="K24" t="s">
        <v>321</v>
      </c>
      <c r="L24" t="s">
        <v>406</v>
      </c>
      <c r="M24" t="s">
        <v>299</v>
      </c>
      <c r="N24" t="s">
        <v>321</v>
      </c>
      <c r="O24" t="s">
        <v>1126</v>
      </c>
      <c r="P24">
        <v>131500038</v>
      </c>
      <c r="Q24" s="290">
        <v>45051</v>
      </c>
      <c r="R24">
        <v>29</v>
      </c>
      <c r="S24">
        <v>2013</v>
      </c>
      <c r="T24" t="s">
        <v>494</v>
      </c>
      <c r="U24">
        <v>10</v>
      </c>
      <c r="V24" t="s">
        <v>321</v>
      </c>
      <c r="W24" t="s">
        <v>320</v>
      </c>
      <c r="X24">
        <v>0</v>
      </c>
      <c r="Y24">
        <v>2</v>
      </c>
      <c r="Z24" t="s">
        <v>451</v>
      </c>
      <c r="AA24" t="s">
        <v>409</v>
      </c>
      <c r="AB24" t="s">
        <v>452</v>
      </c>
      <c r="AC24" t="s">
        <v>433</v>
      </c>
      <c r="AD24" t="s">
        <v>446</v>
      </c>
      <c r="AE24" t="s">
        <v>321</v>
      </c>
      <c r="AF24" t="s">
        <v>434</v>
      </c>
      <c r="AG24" t="s">
        <v>414</v>
      </c>
      <c r="AH24" t="s">
        <v>1125</v>
      </c>
      <c r="AI24" t="s">
        <v>1124</v>
      </c>
      <c r="AJ24" t="s">
        <v>471</v>
      </c>
      <c r="AK24" t="s">
        <v>451</v>
      </c>
      <c r="AL24" t="s">
        <v>417</v>
      </c>
      <c r="AM24" t="s">
        <v>817</v>
      </c>
      <c r="AN24" t="s">
        <v>461</v>
      </c>
      <c r="AO24" t="s">
        <v>426</v>
      </c>
      <c r="AP24">
        <v>32</v>
      </c>
      <c r="AQ24" t="s">
        <v>427</v>
      </c>
      <c r="AR24" t="s">
        <v>421</v>
      </c>
      <c r="AS24" t="s">
        <v>428</v>
      </c>
      <c r="AT24" t="s">
        <v>321</v>
      </c>
      <c r="AU24" t="s">
        <v>321</v>
      </c>
      <c r="AV24" t="s">
        <v>321</v>
      </c>
      <c r="AW24" t="s">
        <v>805</v>
      </c>
      <c r="AX24" t="s">
        <v>989</v>
      </c>
      <c r="AY24">
        <v>30</v>
      </c>
      <c r="AZ24" t="s">
        <v>423</v>
      </c>
      <c r="BA24" t="s">
        <v>424</v>
      </c>
      <c r="BB24" t="s">
        <v>417</v>
      </c>
      <c r="BC24" t="s">
        <v>425</v>
      </c>
      <c r="BD24" t="s">
        <v>472</v>
      </c>
      <c r="BE24" t="s">
        <v>426</v>
      </c>
      <c r="BF24">
        <v>45</v>
      </c>
      <c r="BG24" t="s">
        <v>427</v>
      </c>
      <c r="BH24" t="s">
        <v>421</v>
      </c>
      <c r="BI24" t="s">
        <v>428</v>
      </c>
      <c r="BJ24" t="s">
        <v>321</v>
      </c>
      <c r="BK24" t="s">
        <v>321</v>
      </c>
      <c r="BL24" t="s">
        <v>321</v>
      </c>
      <c r="BM24" t="s">
        <v>805</v>
      </c>
      <c r="BN24" t="s">
        <v>989</v>
      </c>
      <c r="BO24">
        <v>30</v>
      </c>
      <c r="BP24" t="s">
        <v>423</v>
      </c>
      <c r="BQ24" t="s">
        <v>424</v>
      </c>
      <c r="BR24" t="s">
        <v>321</v>
      </c>
      <c r="BS24" t="s">
        <v>321</v>
      </c>
      <c r="BT24" t="s">
        <v>321</v>
      </c>
      <c r="BU24" t="s">
        <v>321</v>
      </c>
      <c r="BV24" t="s">
        <v>321</v>
      </c>
      <c r="BW24" t="s">
        <v>321</v>
      </c>
      <c r="BX24" t="s">
        <v>321</v>
      </c>
      <c r="BY24" t="s">
        <v>321</v>
      </c>
      <c r="BZ24" t="s">
        <v>321</v>
      </c>
      <c r="CA24" t="s">
        <v>321</v>
      </c>
      <c r="CB24" t="s">
        <v>321</v>
      </c>
      <c r="CC24" t="s">
        <v>321</v>
      </c>
      <c r="CD24" t="s">
        <v>321</v>
      </c>
      <c r="CE24" t="s">
        <v>321</v>
      </c>
      <c r="CF24" t="s">
        <v>321</v>
      </c>
      <c r="CG24" t="s">
        <v>321</v>
      </c>
      <c r="CH24" t="s">
        <v>321</v>
      </c>
      <c r="CI24" t="s">
        <v>321</v>
      </c>
      <c r="CJ24" t="s">
        <v>321</v>
      </c>
      <c r="CK24" t="s">
        <v>321</v>
      </c>
      <c r="CL24" t="s">
        <v>321</v>
      </c>
      <c r="CM24" t="s">
        <v>321</v>
      </c>
      <c r="CN24" t="s">
        <v>321</v>
      </c>
      <c r="CO24" t="s">
        <v>321</v>
      </c>
      <c r="CP24" t="s">
        <v>321</v>
      </c>
      <c r="CQ24" t="s">
        <v>321</v>
      </c>
      <c r="CR24" t="s">
        <v>321</v>
      </c>
      <c r="CS24" t="s">
        <v>321</v>
      </c>
      <c r="CT24" t="s">
        <v>321</v>
      </c>
      <c r="CU24" t="s">
        <v>321</v>
      </c>
      <c r="CV24" t="s">
        <v>321</v>
      </c>
      <c r="CW24" t="s">
        <v>321</v>
      </c>
      <c r="CX24">
        <v>277478.755</v>
      </c>
      <c r="CY24">
        <v>4924891.1059999997</v>
      </c>
      <c r="CZ24">
        <v>44.443094000000002</v>
      </c>
      <c r="DA24">
        <v>-95.796355000000005</v>
      </c>
      <c r="DB24" s="291">
        <v>41423.457638888889</v>
      </c>
      <c r="DC24" t="s">
        <v>231</v>
      </c>
      <c r="DD24" t="s">
        <v>429</v>
      </c>
      <c r="DE24" t="s">
        <v>430</v>
      </c>
      <c r="DF24" t="s">
        <v>430</v>
      </c>
      <c r="DG24" t="s">
        <v>1123</v>
      </c>
      <c r="DH24">
        <v>0</v>
      </c>
      <c r="DI24" t="s">
        <v>332</v>
      </c>
      <c r="DJ24">
        <v>100</v>
      </c>
      <c r="DK24">
        <v>3</v>
      </c>
    </row>
    <row r="25" spans="1:115" x14ac:dyDescent="0.25">
      <c r="A25">
        <v>24</v>
      </c>
      <c r="B25" t="s">
        <v>657</v>
      </c>
      <c r="C25">
        <v>1</v>
      </c>
      <c r="D25">
        <v>26</v>
      </c>
      <c r="E25">
        <v>10897283</v>
      </c>
      <c r="F25" t="s">
        <v>464</v>
      </c>
      <c r="G25">
        <v>19</v>
      </c>
      <c r="H25">
        <v>34.290999999999997</v>
      </c>
      <c r="I25" t="s">
        <v>297</v>
      </c>
      <c r="J25" t="s">
        <v>299</v>
      </c>
      <c r="K25" t="s">
        <v>321</v>
      </c>
      <c r="L25" t="s">
        <v>406</v>
      </c>
      <c r="M25" t="s">
        <v>299</v>
      </c>
      <c r="N25" t="s">
        <v>321</v>
      </c>
      <c r="O25" t="s">
        <v>1122</v>
      </c>
      <c r="P25">
        <v>132430148</v>
      </c>
      <c r="Q25" s="290">
        <v>45146</v>
      </c>
      <c r="R25">
        <v>31</v>
      </c>
      <c r="S25">
        <v>2013</v>
      </c>
      <c r="T25" t="s">
        <v>506</v>
      </c>
      <c r="U25">
        <v>18</v>
      </c>
      <c r="V25" t="s">
        <v>321</v>
      </c>
      <c r="W25" t="s">
        <v>319</v>
      </c>
      <c r="X25">
        <v>0</v>
      </c>
      <c r="Y25">
        <v>2</v>
      </c>
      <c r="Z25" t="s">
        <v>451</v>
      </c>
      <c r="AA25" t="s">
        <v>409</v>
      </c>
      <c r="AB25" t="s">
        <v>452</v>
      </c>
      <c r="AC25" t="s">
        <v>433</v>
      </c>
      <c r="AD25" t="s">
        <v>521</v>
      </c>
      <c r="AE25" t="s">
        <v>522</v>
      </c>
      <c r="AF25" t="s">
        <v>523</v>
      </c>
      <c r="AG25" t="s">
        <v>414</v>
      </c>
      <c r="AH25" t="s">
        <v>1082</v>
      </c>
      <c r="AI25" t="s">
        <v>1105</v>
      </c>
      <c r="AJ25" t="s">
        <v>471</v>
      </c>
      <c r="AK25" t="s">
        <v>451</v>
      </c>
      <c r="AL25" t="s">
        <v>417</v>
      </c>
      <c r="AM25" t="s">
        <v>478</v>
      </c>
      <c r="AN25" t="s">
        <v>472</v>
      </c>
      <c r="AO25" t="s">
        <v>927</v>
      </c>
      <c r="AP25">
        <v>20</v>
      </c>
      <c r="AQ25" t="s">
        <v>420</v>
      </c>
      <c r="AR25" t="s">
        <v>421</v>
      </c>
      <c r="AS25" t="s">
        <v>454</v>
      </c>
      <c r="AT25" t="s">
        <v>321</v>
      </c>
      <c r="AU25" t="s">
        <v>321</v>
      </c>
      <c r="AV25" t="s">
        <v>321</v>
      </c>
      <c r="AW25" t="s">
        <v>805</v>
      </c>
      <c r="AX25" t="s">
        <v>989</v>
      </c>
      <c r="AY25">
        <v>30</v>
      </c>
      <c r="AZ25" t="s">
        <v>423</v>
      </c>
      <c r="BA25" t="s">
        <v>424</v>
      </c>
      <c r="BB25" t="s">
        <v>417</v>
      </c>
      <c r="BC25" t="s">
        <v>418</v>
      </c>
      <c r="BD25" t="s">
        <v>461</v>
      </c>
      <c r="BE25" t="s">
        <v>426</v>
      </c>
      <c r="BF25">
        <v>40</v>
      </c>
      <c r="BG25" t="s">
        <v>427</v>
      </c>
      <c r="BH25" t="s">
        <v>421</v>
      </c>
      <c r="BI25" t="s">
        <v>1121</v>
      </c>
      <c r="BJ25" t="s">
        <v>321</v>
      </c>
      <c r="BK25" t="s">
        <v>321</v>
      </c>
      <c r="BL25" t="s">
        <v>321</v>
      </c>
      <c r="BM25" t="s">
        <v>805</v>
      </c>
      <c r="BN25" t="s">
        <v>989</v>
      </c>
      <c r="BO25">
        <v>30</v>
      </c>
      <c r="BP25" t="s">
        <v>423</v>
      </c>
      <c r="BQ25" t="s">
        <v>424</v>
      </c>
      <c r="BR25" t="s">
        <v>321</v>
      </c>
      <c r="BS25" t="s">
        <v>321</v>
      </c>
      <c r="BT25" t="s">
        <v>321</v>
      </c>
      <c r="BU25" t="s">
        <v>321</v>
      </c>
      <c r="BV25" t="s">
        <v>321</v>
      </c>
      <c r="BW25" t="s">
        <v>321</v>
      </c>
      <c r="BX25" t="s">
        <v>321</v>
      </c>
      <c r="BY25" t="s">
        <v>321</v>
      </c>
      <c r="BZ25" t="s">
        <v>321</v>
      </c>
      <c r="CA25" t="s">
        <v>321</v>
      </c>
      <c r="CB25" t="s">
        <v>321</v>
      </c>
      <c r="CC25" t="s">
        <v>321</v>
      </c>
      <c r="CD25" t="s">
        <v>321</v>
      </c>
      <c r="CE25" t="s">
        <v>321</v>
      </c>
      <c r="CF25" t="s">
        <v>321</v>
      </c>
      <c r="CG25" t="s">
        <v>321</v>
      </c>
      <c r="CH25" t="s">
        <v>321</v>
      </c>
      <c r="CI25" t="s">
        <v>321</v>
      </c>
      <c r="CJ25" t="s">
        <v>321</v>
      </c>
      <c r="CK25" t="s">
        <v>321</v>
      </c>
      <c r="CL25" t="s">
        <v>321</v>
      </c>
      <c r="CM25" t="s">
        <v>321</v>
      </c>
      <c r="CN25" t="s">
        <v>321</v>
      </c>
      <c r="CO25" t="s">
        <v>321</v>
      </c>
      <c r="CP25" t="s">
        <v>321</v>
      </c>
      <c r="CQ25" t="s">
        <v>321</v>
      </c>
      <c r="CR25" t="s">
        <v>321</v>
      </c>
      <c r="CS25" t="s">
        <v>321</v>
      </c>
      <c r="CT25" t="s">
        <v>321</v>
      </c>
      <c r="CU25" t="s">
        <v>321</v>
      </c>
      <c r="CV25" t="s">
        <v>321</v>
      </c>
      <c r="CW25" t="s">
        <v>321</v>
      </c>
      <c r="CX25">
        <v>277478.755</v>
      </c>
      <c r="CY25">
        <v>4924891.1059999997</v>
      </c>
      <c r="CZ25">
        <v>44.443094000000002</v>
      </c>
      <c r="DA25">
        <v>-95.796355000000005</v>
      </c>
      <c r="DB25" s="291">
        <v>41517.775000000001</v>
      </c>
      <c r="DC25" t="s">
        <v>231</v>
      </c>
      <c r="DD25" t="s">
        <v>429</v>
      </c>
      <c r="DE25" t="s">
        <v>430</v>
      </c>
      <c r="DF25" t="s">
        <v>430</v>
      </c>
      <c r="DG25" t="s">
        <v>1120</v>
      </c>
      <c r="DH25">
        <v>0</v>
      </c>
      <c r="DI25" t="s">
        <v>332</v>
      </c>
      <c r="DJ25">
        <v>100</v>
      </c>
      <c r="DK25">
        <v>3</v>
      </c>
    </row>
    <row r="26" spans="1:115" x14ac:dyDescent="0.25">
      <c r="A26">
        <v>25</v>
      </c>
      <c r="B26" t="s">
        <v>657</v>
      </c>
      <c r="C26">
        <v>1</v>
      </c>
      <c r="D26">
        <v>27</v>
      </c>
      <c r="E26">
        <v>10910693</v>
      </c>
      <c r="F26" t="s">
        <v>464</v>
      </c>
      <c r="G26">
        <v>19</v>
      </c>
      <c r="H26">
        <v>34.290999999999997</v>
      </c>
      <c r="I26" t="s">
        <v>297</v>
      </c>
      <c r="J26" t="s">
        <v>299</v>
      </c>
      <c r="K26" t="s">
        <v>321</v>
      </c>
      <c r="L26" t="s">
        <v>406</v>
      </c>
      <c r="M26" t="s">
        <v>299</v>
      </c>
      <c r="N26" t="s">
        <v>321</v>
      </c>
      <c r="O26">
        <v>1318633</v>
      </c>
      <c r="P26">
        <v>133250040</v>
      </c>
      <c r="Q26" s="290">
        <v>45241</v>
      </c>
      <c r="R26">
        <v>5</v>
      </c>
      <c r="S26">
        <v>2013</v>
      </c>
      <c r="T26" t="s">
        <v>407</v>
      </c>
      <c r="U26">
        <v>14</v>
      </c>
      <c r="V26" t="s">
        <v>321</v>
      </c>
      <c r="W26" t="s">
        <v>319</v>
      </c>
      <c r="X26">
        <v>0</v>
      </c>
      <c r="Y26">
        <v>2</v>
      </c>
      <c r="Z26" t="s">
        <v>414</v>
      </c>
      <c r="AA26" t="s">
        <v>409</v>
      </c>
      <c r="AB26" t="s">
        <v>460</v>
      </c>
      <c r="AC26" t="s">
        <v>433</v>
      </c>
      <c r="AD26" t="s">
        <v>468</v>
      </c>
      <c r="AE26" t="s">
        <v>446</v>
      </c>
      <c r="AF26" t="s">
        <v>413</v>
      </c>
      <c r="AG26" t="s">
        <v>321</v>
      </c>
      <c r="AH26" t="s">
        <v>321</v>
      </c>
      <c r="AI26" t="s">
        <v>321</v>
      </c>
      <c r="AJ26" t="s">
        <v>471</v>
      </c>
      <c r="AK26" t="s">
        <v>463</v>
      </c>
      <c r="AL26" t="s">
        <v>417</v>
      </c>
      <c r="AM26" t="s">
        <v>1119</v>
      </c>
      <c r="AN26" t="s">
        <v>472</v>
      </c>
      <c r="AO26" t="s">
        <v>426</v>
      </c>
      <c r="AP26">
        <v>47</v>
      </c>
      <c r="AQ26" t="s">
        <v>420</v>
      </c>
      <c r="AR26" t="s">
        <v>421</v>
      </c>
      <c r="AS26" t="s">
        <v>454</v>
      </c>
      <c r="AT26" t="s">
        <v>806</v>
      </c>
      <c r="AU26" t="s">
        <v>321</v>
      </c>
      <c r="AV26" t="s">
        <v>321</v>
      </c>
      <c r="AW26" t="s">
        <v>805</v>
      </c>
      <c r="AX26" t="s">
        <v>989</v>
      </c>
      <c r="AY26">
        <v>30</v>
      </c>
      <c r="AZ26" t="s">
        <v>423</v>
      </c>
      <c r="BA26" t="s">
        <v>424</v>
      </c>
      <c r="BB26" t="s">
        <v>417</v>
      </c>
      <c r="BC26" t="s">
        <v>478</v>
      </c>
      <c r="BD26" t="s">
        <v>461</v>
      </c>
      <c r="BE26" t="s">
        <v>426</v>
      </c>
      <c r="BF26">
        <v>69</v>
      </c>
      <c r="BG26" t="s">
        <v>420</v>
      </c>
      <c r="BH26" t="s">
        <v>421</v>
      </c>
      <c r="BI26" t="s">
        <v>428</v>
      </c>
      <c r="BJ26" t="s">
        <v>428</v>
      </c>
      <c r="BK26" t="s">
        <v>321</v>
      </c>
      <c r="BL26" t="s">
        <v>321</v>
      </c>
      <c r="BM26" t="s">
        <v>805</v>
      </c>
      <c r="BN26" t="s">
        <v>989</v>
      </c>
      <c r="BO26">
        <v>30</v>
      </c>
      <c r="BP26" t="s">
        <v>423</v>
      </c>
      <c r="BQ26" t="s">
        <v>424</v>
      </c>
      <c r="BR26" t="s">
        <v>321</v>
      </c>
      <c r="BS26" t="s">
        <v>321</v>
      </c>
      <c r="BT26" t="s">
        <v>321</v>
      </c>
      <c r="BU26" t="s">
        <v>321</v>
      </c>
      <c r="BV26" t="s">
        <v>321</v>
      </c>
      <c r="BW26" t="s">
        <v>321</v>
      </c>
      <c r="BX26" t="s">
        <v>321</v>
      </c>
      <c r="BY26" t="s">
        <v>321</v>
      </c>
      <c r="BZ26" t="s">
        <v>321</v>
      </c>
      <c r="CA26" t="s">
        <v>321</v>
      </c>
      <c r="CB26" t="s">
        <v>321</v>
      </c>
      <c r="CC26" t="s">
        <v>321</v>
      </c>
      <c r="CD26" t="s">
        <v>321</v>
      </c>
      <c r="CE26" t="s">
        <v>321</v>
      </c>
      <c r="CF26" t="s">
        <v>321</v>
      </c>
      <c r="CG26" t="s">
        <v>321</v>
      </c>
      <c r="CH26" t="s">
        <v>321</v>
      </c>
      <c r="CI26" t="s">
        <v>321</v>
      </c>
      <c r="CJ26" t="s">
        <v>321</v>
      </c>
      <c r="CK26" t="s">
        <v>321</v>
      </c>
      <c r="CL26" t="s">
        <v>321</v>
      </c>
      <c r="CM26" t="s">
        <v>321</v>
      </c>
      <c r="CN26" t="s">
        <v>321</v>
      </c>
      <c r="CO26" t="s">
        <v>321</v>
      </c>
      <c r="CP26" t="s">
        <v>321</v>
      </c>
      <c r="CQ26" t="s">
        <v>321</v>
      </c>
      <c r="CR26" t="s">
        <v>321</v>
      </c>
      <c r="CS26" t="s">
        <v>321</v>
      </c>
      <c r="CT26" t="s">
        <v>321</v>
      </c>
      <c r="CU26" t="s">
        <v>321</v>
      </c>
      <c r="CV26" t="s">
        <v>321</v>
      </c>
      <c r="CW26" t="s">
        <v>321</v>
      </c>
      <c r="CX26">
        <v>277478.755</v>
      </c>
      <c r="CY26">
        <v>4924891.1059999997</v>
      </c>
      <c r="CZ26">
        <v>44.443094000000002</v>
      </c>
      <c r="DA26">
        <v>-95.796355000000005</v>
      </c>
      <c r="DB26" s="291">
        <v>41583.614583333336</v>
      </c>
      <c r="DC26" t="s">
        <v>231</v>
      </c>
      <c r="DD26" t="s">
        <v>429</v>
      </c>
      <c r="DE26" t="s">
        <v>430</v>
      </c>
      <c r="DF26" t="s">
        <v>430</v>
      </c>
      <c r="DG26" t="s">
        <v>321</v>
      </c>
      <c r="DH26">
        <v>0</v>
      </c>
      <c r="DI26" t="s">
        <v>332</v>
      </c>
      <c r="DJ26">
        <v>100</v>
      </c>
      <c r="DK26">
        <v>3</v>
      </c>
    </row>
    <row r="27" spans="1:115" x14ac:dyDescent="0.25">
      <c r="A27">
        <v>26</v>
      </c>
      <c r="B27" t="s">
        <v>657</v>
      </c>
      <c r="C27">
        <v>1</v>
      </c>
      <c r="D27">
        <v>28</v>
      </c>
      <c r="E27">
        <v>10905660</v>
      </c>
      <c r="F27" t="s">
        <v>464</v>
      </c>
      <c r="G27">
        <v>19</v>
      </c>
      <c r="H27">
        <v>34.290999999999997</v>
      </c>
      <c r="I27" t="s">
        <v>297</v>
      </c>
      <c r="J27" t="s">
        <v>299</v>
      </c>
      <c r="K27" t="s">
        <v>321</v>
      </c>
      <c r="L27" t="s">
        <v>406</v>
      </c>
      <c r="M27" t="s">
        <v>299</v>
      </c>
      <c r="N27" t="s">
        <v>321</v>
      </c>
      <c r="O27" t="s">
        <v>1118</v>
      </c>
      <c r="P27">
        <v>133100171</v>
      </c>
      <c r="Q27" s="290">
        <v>45241</v>
      </c>
      <c r="R27">
        <v>5</v>
      </c>
      <c r="S27">
        <v>2013</v>
      </c>
      <c r="T27" t="s">
        <v>407</v>
      </c>
      <c r="U27">
        <v>17</v>
      </c>
      <c r="V27" t="s">
        <v>321</v>
      </c>
      <c r="W27" t="s">
        <v>320</v>
      </c>
      <c r="X27">
        <v>0</v>
      </c>
      <c r="Y27">
        <v>2</v>
      </c>
      <c r="Z27" t="s">
        <v>408</v>
      </c>
      <c r="AA27" t="s">
        <v>507</v>
      </c>
      <c r="AB27" t="s">
        <v>452</v>
      </c>
      <c r="AC27" t="s">
        <v>433</v>
      </c>
      <c r="AD27" t="s">
        <v>467</v>
      </c>
      <c r="AE27" t="s">
        <v>321</v>
      </c>
      <c r="AF27" t="s">
        <v>467</v>
      </c>
      <c r="AG27" t="s">
        <v>414</v>
      </c>
      <c r="AH27" t="s">
        <v>1117</v>
      </c>
      <c r="AI27" t="s">
        <v>1116</v>
      </c>
      <c r="AJ27" t="s">
        <v>471</v>
      </c>
      <c r="AK27" t="s">
        <v>416</v>
      </c>
      <c r="AL27" t="s">
        <v>417</v>
      </c>
      <c r="AM27" t="s">
        <v>425</v>
      </c>
      <c r="AN27" t="s">
        <v>472</v>
      </c>
      <c r="AO27" t="s">
        <v>487</v>
      </c>
      <c r="AP27">
        <v>19</v>
      </c>
      <c r="AQ27" t="s">
        <v>420</v>
      </c>
      <c r="AR27" t="s">
        <v>421</v>
      </c>
      <c r="AS27" t="s">
        <v>462</v>
      </c>
      <c r="AT27" t="s">
        <v>321</v>
      </c>
      <c r="AU27" t="s">
        <v>321</v>
      </c>
      <c r="AV27" t="s">
        <v>321</v>
      </c>
      <c r="AW27" t="s">
        <v>805</v>
      </c>
      <c r="AX27" t="s">
        <v>989</v>
      </c>
      <c r="AY27">
        <v>30</v>
      </c>
      <c r="AZ27" t="s">
        <v>423</v>
      </c>
      <c r="BA27" t="s">
        <v>424</v>
      </c>
      <c r="BB27" t="s">
        <v>508</v>
      </c>
      <c r="BC27" t="s">
        <v>478</v>
      </c>
      <c r="BD27" t="s">
        <v>472</v>
      </c>
      <c r="BE27" t="s">
        <v>1115</v>
      </c>
      <c r="BF27" t="s">
        <v>321</v>
      </c>
      <c r="BG27" t="s">
        <v>321</v>
      </c>
      <c r="BH27" t="s">
        <v>414</v>
      </c>
      <c r="BI27" t="s">
        <v>428</v>
      </c>
      <c r="BJ27" t="s">
        <v>321</v>
      </c>
      <c r="BK27" t="s">
        <v>321</v>
      </c>
      <c r="BL27" t="s">
        <v>321</v>
      </c>
      <c r="BM27" t="s">
        <v>805</v>
      </c>
      <c r="BN27" t="s">
        <v>989</v>
      </c>
      <c r="BO27">
        <v>30</v>
      </c>
      <c r="BP27" t="s">
        <v>423</v>
      </c>
      <c r="BQ27" t="s">
        <v>424</v>
      </c>
      <c r="BR27" t="s">
        <v>321</v>
      </c>
      <c r="BS27" t="s">
        <v>321</v>
      </c>
      <c r="BT27" t="s">
        <v>321</v>
      </c>
      <c r="BU27" t="s">
        <v>321</v>
      </c>
      <c r="BV27" t="s">
        <v>321</v>
      </c>
      <c r="BW27" t="s">
        <v>321</v>
      </c>
      <c r="BX27" t="s">
        <v>321</v>
      </c>
      <c r="BY27" t="s">
        <v>321</v>
      </c>
      <c r="BZ27" t="s">
        <v>321</v>
      </c>
      <c r="CA27" t="s">
        <v>321</v>
      </c>
      <c r="CB27" t="s">
        <v>321</v>
      </c>
      <c r="CC27" t="s">
        <v>321</v>
      </c>
      <c r="CD27" t="s">
        <v>321</v>
      </c>
      <c r="CE27" t="s">
        <v>321</v>
      </c>
      <c r="CF27" t="s">
        <v>321</v>
      </c>
      <c r="CG27" t="s">
        <v>321</v>
      </c>
      <c r="CH27" t="s">
        <v>321</v>
      </c>
      <c r="CI27" t="s">
        <v>321</v>
      </c>
      <c r="CJ27" t="s">
        <v>321</v>
      </c>
      <c r="CK27" t="s">
        <v>321</v>
      </c>
      <c r="CL27" t="s">
        <v>321</v>
      </c>
      <c r="CM27" t="s">
        <v>321</v>
      </c>
      <c r="CN27" t="s">
        <v>321</v>
      </c>
      <c r="CO27" t="s">
        <v>321</v>
      </c>
      <c r="CP27" t="s">
        <v>321</v>
      </c>
      <c r="CQ27" t="s">
        <v>321</v>
      </c>
      <c r="CR27" t="s">
        <v>321</v>
      </c>
      <c r="CS27" t="s">
        <v>321</v>
      </c>
      <c r="CT27" t="s">
        <v>321</v>
      </c>
      <c r="CU27" t="s">
        <v>321</v>
      </c>
      <c r="CV27" t="s">
        <v>321</v>
      </c>
      <c r="CW27" t="s">
        <v>321</v>
      </c>
      <c r="CX27">
        <v>277478.755</v>
      </c>
      <c r="CY27">
        <v>4924891.1059999997</v>
      </c>
      <c r="CZ27">
        <v>44.443094000000002</v>
      </c>
      <c r="DA27">
        <v>-95.796355000000005</v>
      </c>
      <c r="DB27" s="291">
        <v>41583.729166666664</v>
      </c>
      <c r="DC27" t="s">
        <v>231</v>
      </c>
      <c r="DD27" t="s">
        <v>429</v>
      </c>
      <c r="DE27" t="s">
        <v>430</v>
      </c>
      <c r="DF27" t="s">
        <v>430</v>
      </c>
      <c r="DG27" t="s">
        <v>1114</v>
      </c>
      <c r="DH27">
        <v>0</v>
      </c>
      <c r="DI27" t="s">
        <v>332</v>
      </c>
      <c r="DJ27">
        <v>100</v>
      </c>
      <c r="DK27">
        <v>3</v>
      </c>
    </row>
    <row r="28" spans="1:115" x14ac:dyDescent="0.25">
      <c r="A28">
        <v>27</v>
      </c>
      <c r="B28" t="s">
        <v>657</v>
      </c>
      <c r="C28">
        <v>1</v>
      </c>
      <c r="D28">
        <v>29</v>
      </c>
      <c r="E28">
        <v>10963491</v>
      </c>
      <c r="F28" t="s">
        <v>464</v>
      </c>
      <c r="G28">
        <v>19</v>
      </c>
      <c r="H28">
        <v>34.290999999999997</v>
      </c>
      <c r="I28" t="s">
        <v>297</v>
      </c>
      <c r="J28" t="s">
        <v>299</v>
      </c>
      <c r="K28" t="s">
        <v>321</v>
      </c>
      <c r="L28" t="s">
        <v>406</v>
      </c>
      <c r="M28" t="s">
        <v>299</v>
      </c>
      <c r="N28" t="s">
        <v>321</v>
      </c>
      <c r="O28" t="s">
        <v>1113</v>
      </c>
      <c r="P28">
        <v>140340201</v>
      </c>
      <c r="Q28" s="290">
        <v>44959</v>
      </c>
      <c r="R28">
        <v>3</v>
      </c>
      <c r="S28">
        <v>2014</v>
      </c>
      <c r="T28" t="s">
        <v>431</v>
      </c>
      <c r="U28">
        <v>15</v>
      </c>
      <c r="V28" t="s">
        <v>321</v>
      </c>
      <c r="W28" t="s">
        <v>320</v>
      </c>
      <c r="X28">
        <v>0</v>
      </c>
      <c r="Y28">
        <v>2</v>
      </c>
      <c r="Z28" t="s">
        <v>1112</v>
      </c>
      <c r="AA28" t="s">
        <v>492</v>
      </c>
      <c r="AB28" t="s">
        <v>452</v>
      </c>
      <c r="AC28" t="s">
        <v>433</v>
      </c>
      <c r="AD28" t="s">
        <v>446</v>
      </c>
      <c r="AE28" t="s">
        <v>321</v>
      </c>
      <c r="AF28" t="s">
        <v>434</v>
      </c>
      <c r="AG28" t="s">
        <v>414</v>
      </c>
      <c r="AH28" t="s">
        <v>1108</v>
      </c>
      <c r="AI28" t="s">
        <v>1107</v>
      </c>
      <c r="AJ28" t="s">
        <v>471</v>
      </c>
      <c r="AK28" t="s">
        <v>463</v>
      </c>
      <c r="AL28" t="s">
        <v>417</v>
      </c>
      <c r="AM28" t="s">
        <v>425</v>
      </c>
      <c r="AN28" t="s">
        <v>892</v>
      </c>
      <c r="AO28" t="s">
        <v>419</v>
      </c>
      <c r="AP28">
        <v>23</v>
      </c>
      <c r="AQ28" t="s">
        <v>420</v>
      </c>
      <c r="AR28" t="s">
        <v>421</v>
      </c>
      <c r="AS28" t="s">
        <v>1111</v>
      </c>
      <c r="AT28" t="s">
        <v>321</v>
      </c>
      <c r="AU28" t="s">
        <v>321</v>
      </c>
      <c r="AV28" t="s">
        <v>321</v>
      </c>
      <c r="AW28" t="s">
        <v>850</v>
      </c>
      <c r="AX28" t="s">
        <v>449</v>
      </c>
      <c r="AY28">
        <v>30</v>
      </c>
      <c r="AZ28" t="s">
        <v>423</v>
      </c>
      <c r="BA28" t="s">
        <v>424</v>
      </c>
      <c r="BB28" t="s">
        <v>417</v>
      </c>
      <c r="BC28" t="s">
        <v>478</v>
      </c>
      <c r="BD28" t="s">
        <v>892</v>
      </c>
      <c r="BE28" t="s">
        <v>426</v>
      </c>
      <c r="BF28">
        <v>73</v>
      </c>
      <c r="BG28" t="s">
        <v>420</v>
      </c>
      <c r="BH28" t="s">
        <v>421</v>
      </c>
      <c r="BI28" t="s">
        <v>428</v>
      </c>
      <c r="BJ28" t="s">
        <v>321</v>
      </c>
      <c r="BK28" t="s">
        <v>321</v>
      </c>
      <c r="BL28" t="s">
        <v>321</v>
      </c>
      <c r="BM28" t="s">
        <v>850</v>
      </c>
      <c r="BN28" t="s">
        <v>449</v>
      </c>
      <c r="BO28">
        <v>30</v>
      </c>
      <c r="BP28" t="s">
        <v>423</v>
      </c>
      <c r="BQ28" t="s">
        <v>424</v>
      </c>
      <c r="BR28" t="s">
        <v>321</v>
      </c>
      <c r="BS28" t="s">
        <v>321</v>
      </c>
      <c r="BT28" t="s">
        <v>321</v>
      </c>
      <c r="BU28" t="s">
        <v>321</v>
      </c>
      <c r="BV28" t="s">
        <v>321</v>
      </c>
      <c r="BW28" t="s">
        <v>321</v>
      </c>
      <c r="BX28" t="s">
        <v>321</v>
      </c>
      <c r="BY28" t="s">
        <v>321</v>
      </c>
      <c r="BZ28" t="s">
        <v>321</v>
      </c>
      <c r="CA28" t="s">
        <v>321</v>
      </c>
      <c r="CB28" t="s">
        <v>321</v>
      </c>
      <c r="CC28" t="s">
        <v>321</v>
      </c>
      <c r="CD28" t="s">
        <v>321</v>
      </c>
      <c r="CE28" t="s">
        <v>321</v>
      </c>
      <c r="CF28" t="s">
        <v>321</v>
      </c>
      <c r="CG28" t="s">
        <v>321</v>
      </c>
      <c r="CH28" t="s">
        <v>321</v>
      </c>
      <c r="CI28" t="s">
        <v>321</v>
      </c>
      <c r="CJ28" t="s">
        <v>321</v>
      </c>
      <c r="CK28" t="s">
        <v>321</v>
      </c>
      <c r="CL28" t="s">
        <v>321</v>
      </c>
      <c r="CM28" t="s">
        <v>321</v>
      </c>
      <c r="CN28" t="s">
        <v>321</v>
      </c>
      <c r="CO28" t="s">
        <v>321</v>
      </c>
      <c r="CP28" t="s">
        <v>321</v>
      </c>
      <c r="CQ28" t="s">
        <v>321</v>
      </c>
      <c r="CR28" t="s">
        <v>321</v>
      </c>
      <c r="CS28" t="s">
        <v>321</v>
      </c>
      <c r="CT28" t="s">
        <v>321</v>
      </c>
      <c r="CU28" t="s">
        <v>321</v>
      </c>
      <c r="CV28" t="s">
        <v>321</v>
      </c>
      <c r="CW28" t="s">
        <v>321</v>
      </c>
      <c r="CX28">
        <v>277478.755</v>
      </c>
      <c r="CY28">
        <v>4924891.1059999997</v>
      </c>
      <c r="CZ28">
        <v>44.443094000000002</v>
      </c>
      <c r="DA28">
        <v>-95.796355000000005</v>
      </c>
      <c r="DB28" s="291">
        <v>41673.647916666669</v>
      </c>
      <c r="DC28" t="s">
        <v>231</v>
      </c>
      <c r="DD28" t="s">
        <v>429</v>
      </c>
      <c r="DE28" t="s">
        <v>430</v>
      </c>
      <c r="DF28" t="s">
        <v>430</v>
      </c>
      <c r="DG28" t="s">
        <v>1110</v>
      </c>
      <c r="DH28">
        <v>0</v>
      </c>
      <c r="DI28" t="s">
        <v>332</v>
      </c>
      <c r="DJ28">
        <v>100</v>
      </c>
      <c r="DK28">
        <v>3</v>
      </c>
    </row>
    <row r="29" spans="1:115" x14ac:dyDescent="0.25">
      <c r="A29">
        <v>28</v>
      </c>
      <c r="B29" t="s">
        <v>657</v>
      </c>
      <c r="C29">
        <v>1</v>
      </c>
      <c r="D29">
        <v>30</v>
      </c>
      <c r="E29">
        <v>11065142</v>
      </c>
      <c r="F29" t="s">
        <v>464</v>
      </c>
      <c r="G29">
        <v>19</v>
      </c>
      <c r="H29">
        <v>34.290999999999997</v>
      </c>
      <c r="I29" t="s">
        <v>297</v>
      </c>
      <c r="J29" t="s">
        <v>299</v>
      </c>
      <c r="K29" t="s">
        <v>321</v>
      </c>
      <c r="L29" t="s">
        <v>406</v>
      </c>
      <c r="M29" t="s">
        <v>299</v>
      </c>
      <c r="N29" t="s">
        <v>321</v>
      </c>
      <c r="O29" t="s">
        <v>1109</v>
      </c>
      <c r="P29">
        <v>152400112</v>
      </c>
      <c r="Q29" s="290">
        <v>45146</v>
      </c>
      <c r="R29">
        <v>28</v>
      </c>
      <c r="S29">
        <v>2015</v>
      </c>
      <c r="T29" t="s">
        <v>485</v>
      </c>
      <c r="U29">
        <v>12</v>
      </c>
      <c r="V29" t="s">
        <v>459</v>
      </c>
      <c r="W29" t="s">
        <v>320</v>
      </c>
      <c r="X29">
        <v>0</v>
      </c>
      <c r="Y29">
        <v>2</v>
      </c>
      <c r="Z29" t="s">
        <v>451</v>
      </c>
      <c r="AA29" t="s">
        <v>507</v>
      </c>
      <c r="AB29" t="s">
        <v>452</v>
      </c>
      <c r="AC29" t="s">
        <v>433</v>
      </c>
      <c r="AD29" t="s">
        <v>446</v>
      </c>
      <c r="AE29" t="s">
        <v>321</v>
      </c>
      <c r="AF29" t="s">
        <v>434</v>
      </c>
      <c r="AG29" t="s">
        <v>414</v>
      </c>
      <c r="AH29" t="s">
        <v>1108</v>
      </c>
      <c r="AI29" t="s">
        <v>1107</v>
      </c>
      <c r="AJ29" t="s">
        <v>471</v>
      </c>
      <c r="AK29" t="s">
        <v>451</v>
      </c>
      <c r="AL29" t="s">
        <v>417</v>
      </c>
      <c r="AM29" t="s">
        <v>425</v>
      </c>
      <c r="AN29" t="s">
        <v>892</v>
      </c>
      <c r="AO29" t="s">
        <v>426</v>
      </c>
      <c r="AP29">
        <v>29</v>
      </c>
      <c r="AQ29" t="s">
        <v>420</v>
      </c>
      <c r="AR29" t="s">
        <v>421</v>
      </c>
      <c r="AS29" t="s">
        <v>454</v>
      </c>
      <c r="AT29" t="s">
        <v>321</v>
      </c>
      <c r="AU29" t="s">
        <v>321</v>
      </c>
      <c r="AV29" t="s">
        <v>321</v>
      </c>
      <c r="AW29" t="s">
        <v>850</v>
      </c>
      <c r="AX29" t="s">
        <v>449</v>
      </c>
      <c r="AY29">
        <v>30</v>
      </c>
      <c r="AZ29" t="s">
        <v>423</v>
      </c>
      <c r="BA29" t="s">
        <v>424</v>
      </c>
      <c r="BB29" t="s">
        <v>417</v>
      </c>
      <c r="BC29" t="s">
        <v>418</v>
      </c>
      <c r="BD29" t="s">
        <v>864</v>
      </c>
      <c r="BE29" t="s">
        <v>426</v>
      </c>
      <c r="BF29">
        <v>26</v>
      </c>
      <c r="BG29" t="s">
        <v>427</v>
      </c>
      <c r="BH29" t="s">
        <v>421</v>
      </c>
      <c r="BI29" t="s">
        <v>428</v>
      </c>
      <c r="BJ29" t="s">
        <v>321</v>
      </c>
      <c r="BK29" t="s">
        <v>321</v>
      </c>
      <c r="BL29" t="s">
        <v>321</v>
      </c>
      <c r="BM29" t="s">
        <v>850</v>
      </c>
      <c r="BN29" t="s">
        <v>449</v>
      </c>
      <c r="BO29">
        <v>30</v>
      </c>
      <c r="BP29" t="s">
        <v>423</v>
      </c>
      <c r="BQ29" t="s">
        <v>424</v>
      </c>
      <c r="BR29" t="s">
        <v>321</v>
      </c>
      <c r="BS29" t="s">
        <v>321</v>
      </c>
      <c r="BT29" t="s">
        <v>321</v>
      </c>
      <c r="BU29" t="s">
        <v>321</v>
      </c>
      <c r="BV29" t="s">
        <v>321</v>
      </c>
      <c r="BW29" t="s">
        <v>321</v>
      </c>
      <c r="BX29" t="s">
        <v>321</v>
      </c>
      <c r="BY29" t="s">
        <v>321</v>
      </c>
      <c r="BZ29" t="s">
        <v>321</v>
      </c>
      <c r="CA29" t="s">
        <v>321</v>
      </c>
      <c r="CB29" t="s">
        <v>321</v>
      </c>
      <c r="CC29" t="s">
        <v>321</v>
      </c>
      <c r="CD29" t="s">
        <v>321</v>
      </c>
      <c r="CE29" t="s">
        <v>321</v>
      </c>
      <c r="CF29" t="s">
        <v>321</v>
      </c>
      <c r="CG29" t="s">
        <v>321</v>
      </c>
      <c r="CH29" t="s">
        <v>321</v>
      </c>
      <c r="CI29" t="s">
        <v>321</v>
      </c>
      <c r="CJ29" t="s">
        <v>321</v>
      </c>
      <c r="CK29" t="s">
        <v>321</v>
      </c>
      <c r="CL29" t="s">
        <v>321</v>
      </c>
      <c r="CM29" t="s">
        <v>321</v>
      </c>
      <c r="CN29" t="s">
        <v>321</v>
      </c>
      <c r="CO29" t="s">
        <v>321</v>
      </c>
      <c r="CP29" t="s">
        <v>321</v>
      </c>
      <c r="CQ29" t="s">
        <v>321</v>
      </c>
      <c r="CR29" t="s">
        <v>321</v>
      </c>
      <c r="CS29" t="s">
        <v>321</v>
      </c>
      <c r="CT29" t="s">
        <v>321</v>
      </c>
      <c r="CU29" t="s">
        <v>321</v>
      </c>
      <c r="CV29" t="s">
        <v>321</v>
      </c>
      <c r="CW29" t="s">
        <v>321</v>
      </c>
      <c r="CX29">
        <v>277478.755</v>
      </c>
      <c r="CY29">
        <v>4924891.1059999997</v>
      </c>
      <c r="CZ29">
        <v>44.443094000000002</v>
      </c>
      <c r="DA29">
        <v>-95.796355000000005</v>
      </c>
      <c r="DB29" s="291">
        <v>42244.523611111108</v>
      </c>
      <c r="DC29" t="s">
        <v>231</v>
      </c>
      <c r="DD29" t="s">
        <v>429</v>
      </c>
      <c r="DE29" t="s">
        <v>430</v>
      </c>
      <c r="DF29" t="s">
        <v>430</v>
      </c>
      <c r="DG29" t="s">
        <v>1106</v>
      </c>
      <c r="DH29">
        <v>0</v>
      </c>
      <c r="DI29" t="s">
        <v>332</v>
      </c>
      <c r="DJ29">
        <v>100</v>
      </c>
      <c r="DK29">
        <v>3</v>
      </c>
    </row>
    <row r="30" spans="1:115" x14ac:dyDescent="0.25">
      <c r="A30">
        <v>29</v>
      </c>
      <c r="B30" t="s">
        <v>657</v>
      </c>
      <c r="C30">
        <v>1</v>
      </c>
      <c r="D30">
        <v>31</v>
      </c>
      <c r="E30">
        <v>11082882</v>
      </c>
      <c r="F30" t="s">
        <v>464</v>
      </c>
      <c r="G30">
        <v>19</v>
      </c>
      <c r="H30">
        <v>34.290999999999997</v>
      </c>
      <c r="I30" t="s">
        <v>297</v>
      </c>
      <c r="J30" t="s">
        <v>299</v>
      </c>
      <c r="K30" t="s">
        <v>321</v>
      </c>
      <c r="L30" t="s">
        <v>406</v>
      </c>
      <c r="M30" t="s">
        <v>299</v>
      </c>
      <c r="N30" t="s">
        <v>321</v>
      </c>
      <c r="O30">
        <v>15022245</v>
      </c>
      <c r="P30">
        <v>153380191</v>
      </c>
      <c r="Q30" s="290">
        <v>45272</v>
      </c>
      <c r="R30">
        <v>4</v>
      </c>
      <c r="S30">
        <v>2015</v>
      </c>
      <c r="T30" t="s">
        <v>485</v>
      </c>
      <c r="U30">
        <v>11</v>
      </c>
      <c r="V30" t="s">
        <v>321</v>
      </c>
      <c r="W30" t="s">
        <v>319</v>
      </c>
      <c r="X30">
        <v>0</v>
      </c>
      <c r="Y30">
        <v>2</v>
      </c>
      <c r="Z30" t="s">
        <v>451</v>
      </c>
      <c r="AA30" t="s">
        <v>409</v>
      </c>
      <c r="AB30" t="s">
        <v>452</v>
      </c>
      <c r="AC30" t="s">
        <v>433</v>
      </c>
      <c r="AD30" t="s">
        <v>412</v>
      </c>
      <c r="AE30" t="s">
        <v>321</v>
      </c>
      <c r="AF30" t="s">
        <v>434</v>
      </c>
      <c r="AG30" t="s">
        <v>414</v>
      </c>
      <c r="AH30" t="s">
        <v>869</v>
      </c>
      <c r="AI30" t="s">
        <v>1105</v>
      </c>
      <c r="AJ30" t="s">
        <v>471</v>
      </c>
      <c r="AK30" t="s">
        <v>451</v>
      </c>
      <c r="AL30" t="s">
        <v>417</v>
      </c>
      <c r="AM30" t="s">
        <v>478</v>
      </c>
      <c r="AN30" t="s">
        <v>461</v>
      </c>
      <c r="AO30" t="s">
        <v>426</v>
      </c>
      <c r="AP30">
        <v>57</v>
      </c>
      <c r="AQ30" t="s">
        <v>420</v>
      </c>
      <c r="AR30" t="s">
        <v>421</v>
      </c>
      <c r="AS30" t="s">
        <v>428</v>
      </c>
      <c r="AT30" t="s">
        <v>321</v>
      </c>
      <c r="AU30" t="s">
        <v>321</v>
      </c>
      <c r="AV30" t="s">
        <v>321</v>
      </c>
      <c r="AW30" t="s">
        <v>805</v>
      </c>
      <c r="AX30" t="s">
        <v>422</v>
      </c>
      <c r="AY30">
        <v>30</v>
      </c>
      <c r="AZ30" t="s">
        <v>423</v>
      </c>
      <c r="BA30" t="s">
        <v>424</v>
      </c>
      <c r="BB30" t="s">
        <v>417</v>
      </c>
      <c r="BC30" t="s">
        <v>425</v>
      </c>
      <c r="BD30" t="s">
        <v>1041</v>
      </c>
      <c r="BE30" t="s">
        <v>426</v>
      </c>
      <c r="BF30">
        <v>73</v>
      </c>
      <c r="BG30" t="s">
        <v>420</v>
      </c>
      <c r="BH30" t="s">
        <v>421</v>
      </c>
      <c r="BI30" t="s">
        <v>454</v>
      </c>
      <c r="BJ30" t="s">
        <v>321</v>
      </c>
      <c r="BK30" t="s">
        <v>321</v>
      </c>
      <c r="BL30" t="s">
        <v>321</v>
      </c>
      <c r="BM30" t="s">
        <v>805</v>
      </c>
      <c r="BN30" t="s">
        <v>422</v>
      </c>
      <c r="BO30">
        <v>30</v>
      </c>
      <c r="BP30" t="s">
        <v>423</v>
      </c>
      <c r="BQ30" t="s">
        <v>424</v>
      </c>
      <c r="BR30" t="s">
        <v>321</v>
      </c>
      <c r="BS30" t="s">
        <v>321</v>
      </c>
      <c r="BT30" t="s">
        <v>321</v>
      </c>
      <c r="BU30" t="s">
        <v>321</v>
      </c>
      <c r="BV30" t="s">
        <v>321</v>
      </c>
      <c r="BW30" t="s">
        <v>321</v>
      </c>
      <c r="BX30" t="s">
        <v>321</v>
      </c>
      <c r="BY30" t="s">
        <v>321</v>
      </c>
      <c r="BZ30" t="s">
        <v>321</v>
      </c>
      <c r="CA30" t="s">
        <v>321</v>
      </c>
      <c r="CB30" t="s">
        <v>321</v>
      </c>
      <c r="CC30" t="s">
        <v>321</v>
      </c>
      <c r="CD30" t="s">
        <v>321</v>
      </c>
      <c r="CE30" t="s">
        <v>321</v>
      </c>
      <c r="CF30" t="s">
        <v>321</v>
      </c>
      <c r="CG30" t="s">
        <v>321</v>
      </c>
      <c r="CH30" t="s">
        <v>321</v>
      </c>
      <c r="CI30" t="s">
        <v>321</v>
      </c>
      <c r="CJ30" t="s">
        <v>321</v>
      </c>
      <c r="CK30" t="s">
        <v>321</v>
      </c>
      <c r="CL30" t="s">
        <v>321</v>
      </c>
      <c r="CM30" t="s">
        <v>321</v>
      </c>
      <c r="CN30" t="s">
        <v>321</v>
      </c>
      <c r="CO30" t="s">
        <v>321</v>
      </c>
      <c r="CP30" t="s">
        <v>321</v>
      </c>
      <c r="CQ30" t="s">
        <v>321</v>
      </c>
      <c r="CR30" t="s">
        <v>321</v>
      </c>
      <c r="CS30" t="s">
        <v>321</v>
      </c>
      <c r="CT30" t="s">
        <v>321</v>
      </c>
      <c r="CU30" t="s">
        <v>321</v>
      </c>
      <c r="CV30" t="s">
        <v>321</v>
      </c>
      <c r="CW30" t="s">
        <v>321</v>
      </c>
      <c r="CX30">
        <v>277478.755</v>
      </c>
      <c r="CY30">
        <v>4924891.1059999997</v>
      </c>
      <c r="CZ30">
        <v>44.443094000000002</v>
      </c>
      <c r="DA30">
        <v>-95.796355000000005</v>
      </c>
      <c r="DB30" s="291">
        <v>42342.488194444442</v>
      </c>
      <c r="DC30" t="s">
        <v>231</v>
      </c>
      <c r="DD30" t="s">
        <v>429</v>
      </c>
      <c r="DE30" t="s">
        <v>430</v>
      </c>
      <c r="DF30" t="s">
        <v>430</v>
      </c>
      <c r="DG30" t="s">
        <v>1104</v>
      </c>
      <c r="DH30">
        <v>0</v>
      </c>
      <c r="DI30" t="s">
        <v>332</v>
      </c>
      <c r="DJ30">
        <v>100</v>
      </c>
      <c r="DK30">
        <v>3</v>
      </c>
    </row>
    <row r="31" spans="1:115" x14ac:dyDescent="0.25">
      <c r="A31">
        <v>30</v>
      </c>
      <c r="B31" t="s">
        <v>657</v>
      </c>
      <c r="C31">
        <v>1</v>
      </c>
      <c r="D31">
        <v>32</v>
      </c>
      <c r="E31">
        <v>622009</v>
      </c>
      <c r="F31" t="s">
        <v>464</v>
      </c>
      <c r="G31">
        <v>19</v>
      </c>
      <c r="H31">
        <v>34.293999999999997</v>
      </c>
      <c r="I31" t="s">
        <v>297</v>
      </c>
      <c r="J31" t="s">
        <v>299</v>
      </c>
      <c r="K31" t="s">
        <v>321</v>
      </c>
      <c r="L31" t="s">
        <v>406</v>
      </c>
      <c r="M31" t="s">
        <v>299</v>
      </c>
      <c r="N31" t="s">
        <v>321</v>
      </c>
      <c r="O31">
        <v>180012937</v>
      </c>
      <c r="P31">
        <v>182000115</v>
      </c>
      <c r="Q31" s="290">
        <v>45114</v>
      </c>
      <c r="R31">
        <v>19</v>
      </c>
      <c r="S31">
        <v>2018</v>
      </c>
      <c r="T31" t="s">
        <v>458</v>
      </c>
      <c r="U31">
        <v>12</v>
      </c>
      <c r="V31" t="s">
        <v>321</v>
      </c>
      <c r="W31" t="s">
        <v>320</v>
      </c>
      <c r="X31">
        <v>0</v>
      </c>
      <c r="Y31">
        <v>2</v>
      </c>
      <c r="Z31" t="s">
        <v>451</v>
      </c>
      <c r="AA31" t="s">
        <v>409</v>
      </c>
      <c r="AB31" t="s">
        <v>452</v>
      </c>
      <c r="AC31" t="s">
        <v>433</v>
      </c>
      <c r="AD31" t="s">
        <v>412</v>
      </c>
      <c r="AE31" t="s">
        <v>321</v>
      </c>
      <c r="AF31" t="s">
        <v>434</v>
      </c>
      <c r="AG31" t="s">
        <v>414</v>
      </c>
      <c r="AH31" t="s">
        <v>469</v>
      </c>
      <c r="AI31" t="s">
        <v>321</v>
      </c>
      <c r="AJ31" t="s">
        <v>471</v>
      </c>
      <c r="AK31" t="s">
        <v>451</v>
      </c>
      <c r="AL31" t="s">
        <v>417</v>
      </c>
      <c r="AM31" t="s">
        <v>425</v>
      </c>
      <c r="AN31" t="s">
        <v>453</v>
      </c>
      <c r="AO31" t="s">
        <v>426</v>
      </c>
      <c r="AP31">
        <v>27</v>
      </c>
      <c r="AQ31" t="s">
        <v>427</v>
      </c>
      <c r="AR31" t="s">
        <v>421</v>
      </c>
      <c r="AS31" t="s">
        <v>430</v>
      </c>
      <c r="AT31" t="s">
        <v>321</v>
      </c>
      <c r="AU31" t="s">
        <v>321</v>
      </c>
      <c r="AV31" t="s">
        <v>321</v>
      </c>
      <c r="AW31" t="s">
        <v>441</v>
      </c>
      <c r="AX31" t="s">
        <v>512</v>
      </c>
      <c r="AY31">
        <v>30</v>
      </c>
      <c r="AZ31" t="s">
        <v>423</v>
      </c>
      <c r="BA31" t="s">
        <v>424</v>
      </c>
      <c r="BB31" t="s">
        <v>417</v>
      </c>
      <c r="BC31" t="s">
        <v>425</v>
      </c>
      <c r="BD31" t="s">
        <v>448</v>
      </c>
      <c r="BE31" t="s">
        <v>426</v>
      </c>
      <c r="BF31">
        <v>25</v>
      </c>
      <c r="BG31" t="s">
        <v>427</v>
      </c>
      <c r="BH31" t="s">
        <v>421</v>
      </c>
      <c r="BI31" t="s">
        <v>524</v>
      </c>
      <c r="BJ31" t="s">
        <v>321</v>
      </c>
      <c r="BK31" t="s">
        <v>321</v>
      </c>
      <c r="BL31" t="s">
        <v>321</v>
      </c>
      <c r="BM31" t="s">
        <v>441</v>
      </c>
      <c r="BN31" t="s">
        <v>512</v>
      </c>
      <c r="BO31">
        <v>30</v>
      </c>
      <c r="BP31" t="s">
        <v>423</v>
      </c>
      <c r="BQ31" t="s">
        <v>424</v>
      </c>
      <c r="BR31" t="s">
        <v>321</v>
      </c>
      <c r="BS31" t="s">
        <v>321</v>
      </c>
      <c r="BT31" t="s">
        <v>321</v>
      </c>
      <c r="BU31" t="s">
        <v>321</v>
      </c>
      <c r="BV31" t="s">
        <v>321</v>
      </c>
      <c r="BW31" t="s">
        <v>321</v>
      </c>
      <c r="BX31" t="s">
        <v>321</v>
      </c>
      <c r="BY31" t="s">
        <v>321</v>
      </c>
      <c r="BZ31" t="s">
        <v>321</v>
      </c>
      <c r="CA31" t="s">
        <v>321</v>
      </c>
      <c r="CB31" t="s">
        <v>321</v>
      </c>
      <c r="CC31" t="s">
        <v>321</v>
      </c>
      <c r="CD31" t="s">
        <v>321</v>
      </c>
      <c r="CE31" t="s">
        <v>321</v>
      </c>
      <c r="CF31" t="s">
        <v>321</v>
      </c>
      <c r="CG31" t="s">
        <v>321</v>
      </c>
      <c r="CH31" t="s">
        <v>321</v>
      </c>
      <c r="CI31" t="s">
        <v>321</v>
      </c>
      <c r="CJ31" t="s">
        <v>321</v>
      </c>
      <c r="CK31" t="s">
        <v>321</v>
      </c>
      <c r="CL31" t="s">
        <v>321</v>
      </c>
      <c r="CM31" t="s">
        <v>321</v>
      </c>
      <c r="CN31" t="s">
        <v>321</v>
      </c>
      <c r="CO31" t="s">
        <v>321</v>
      </c>
      <c r="CP31" t="s">
        <v>321</v>
      </c>
      <c r="CQ31" t="s">
        <v>321</v>
      </c>
      <c r="CR31" t="s">
        <v>321</v>
      </c>
      <c r="CS31" t="s">
        <v>321</v>
      </c>
      <c r="CT31" t="s">
        <v>321</v>
      </c>
      <c r="CU31" t="s">
        <v>321</v>
      </c>
      <c r="CV31" t="s">
        <v>321</v>
      </c>
      <c r="CW31" t="s">
        <v>321</v>
      </c>
      <c r="CX31">
        <v>277482.8996</v>
      </c>
      <c r="CY31">
        <v>4924890.8710000003</v>
      </c>
      <c r="CZ31">
        <v>44.443092999999998</v>
      </c>
      <c r="DA31">
        <v>-95.796302999999995</v>
      </c>
      <c r="DB31" s="291">
        <v>43300.512499999997</v>
      </c>
      <c r="DC31" t="s">
        <v>231</v>
      </c>
      <c r="DD31" t="s">
        <v>429</v>
      </c>
      <c r="DE31" t="s">
        <v>455</v>
      </c>
      <c r="DF31" t="s">
        <v>456</v>
      </c>
      <c r="DG31" t="s">
        <v>1103</v>
      </c>
      <c r="DH31">
        <v>0</v>
      </c>
      <c r="DI31" t="s">
        <v>332</v>
      </c>
      <c r="DJ31">
        <v>100</v>
      </c>
      <c r="DK31">
        <v>3</v>
      </c>
    </row>
    <row r="32" spans="1:115" x14ac:dyDescent="0.25">
      <c r="A32">
        <v>31</v>
      </c>
      <c r="B32" t="s">
        <v>657</v>
      </c>
      <c r="C32">
        <v>2</v>
      </c>
      <c r="D32">
        <v>34</v>
      </c>
      <c r="E32">
        <v>764406</v>
      </c>
      <c r="F32" t="s">
        <v>464</v>
      </c>
      <c r="G32">
        <v>19</v>
      </c>
      <c r="H32">
        <v>34.624000000000002</v>
      </c>
      <c r="I32" t="s">
        <v>297</v>
      </c>
      <c r="J32" t="s">
        <v>299</v>
      </c>
      <c r="K32" t="s">
        <v>321</v>
      </c>
      <c r="L32" t="s">
        <v>406</v>
      </c>
      <c r="M32" t="s">
        <v>299</v>
      </c>
      <c r="N32" t="s">
        <v>321</v>
      </c>
      <c r="O32" t="s">
        <v>527</v>
      </c>
      <c r="P32">
        <v>193250221</v>
      </c>
      <c r="Q32" s="290">
        <v>45241</v>
      </c>
      <c r="R32">
        <v>21</v>
      </c>
      <c r="S32">
        <v>2019</v>
      </c>
      <c r="T32" t="s">
        <v>458</v>
      </c>
      <c r="U32">
        <v>18</v>
      </c>
      <c r="V32" t="s">
        <v>466</v>
      </c>
      <c r="W32" t="s">
        <v>319</v>
      </c>
      <c r="X32">
        <v>0</v>
      </c>
      <c r="Y32">
        <v>1</v>
      </c>
      <c r="Z32" t="s">
        <v>321</v>
      </c>
      <c r="AA32" t="s">
        <v>528</v>
      </c>
      <c r="AB32" t="s">
        <v>452</v>
      </c>
      <c r="AC32" t="s">
        <v>411</v>
      </c>
      <c r="AD32" t="s">
        <v>446</v>
      </c>
      <c r="AE32" t="s">
        <v>321</v>
      </c>
      <c r="AF32" t="s">
        <v>434</v>
      </c>
      <c r="AG32" t="s">
        <v>414</v>
      </c>
      <c r="AH32" t="s">
        <v>477</v>
      </c>
      <c r="AI32" t="s">
        <v>483</v>
      </c>
      <c r="AJ32" t="s">
        <v>471</v>
      </c>
      <c r="AK32" t="s">
        <v>528</v>
      </c>
      <c r="AL32" t="s">
        <v>417</v>
      </c>
      <c r="AM32" t="s">
        <v>418</v>
      </c>
      <c r="AN32" t="s">
        <v>448</v>
      </c>
      <c r="AO32" t="s">
        <v>426</v>
      </c>
      <c r="AP32">
        <v>74</v>
      </c>
      <c r="AQ32" t="s">
        <v>420</v>
      </c>
      <c r="AR32" t="s">
        <v>421</v>
      </c>
      <c r="AS32" t="s">
        <v>428</v>
      </c>
      <c r="AT32" t="s">
        <v>321</v>
      </c>
      <c r="AU32" t="s">
        <v>321</v>
      </c>
      <c r="AV32" t="s">
        <v>321</v>
      </c>
      <c r="AW32" t="s">
        <v>441</v>
      </c>
      <c r="AX32" t="s">
        <v>449</v>
      </c>
      <c r="AY32">
        <v>30</v>
      </c>
      <c r="AZ32" t="s">
        <v>423</v>
      </c>
      <c r="BA32" t="s">
        <v>424</v>
      </c>
      <c r="BB32" t="s">
        <v>528</v>
      </c>
      <c r="BC32" t="s">
        <v>321</v>
      </c>
      <c r="BD32" t="s">
        <v>321</v>
      </c>
      <c r="BE32" t="s">
        <v>321</v>
      </c>
      <c r="BF32">
        <v>18</v>
      </c>
      <c r="BG32" t="s">
        <v>420</v>
      </c>
      <c r="BH32" t="s">
        <v>421</v>
      </c>
      <c r="BI32" t="s">
        <v>454</v>
      </c>
      <c r="BJ32" t="s">
        <v>321</v>
      </c>
      <c r="BK32" t="s">
        <v>529</v>
      </c>
      <c r="BL32" t="s">
        <v>530</v>
      </c>
      <c r="BM32" t="s">
        <v>321</v>
      </c>
      <c r="BN32" t="s">
        <v>321</v>
      </c>
      <c r="BO32" t="s">
        <v>321</v>
      </c>
      <c r="BP32" t="s">
        <v>321</v>
      </c>
      <c r="BQ32" t="s">
        <v>321</v>
      </c>
      <c r="BR32" t="s">
        <v>321</v>
      </c>
      <c r="BS32" t="s">
        <v>321</v>
      </c>
      <c r="BT32" t="s">
        <v>321</v>
      </c>
      <c r="BU32" t="s">
        <v>321</v>
      </c>
      <c r="BV32" t="s">
        <v>321</v>
      </c>
      <c r="BW32" t="s">
        <v>321</v>
      </c>
      <c r="BX32" t="s">
        <v>321</v>
      </c>
      <c r="BY32" t="s">
        <v>321</v>
      </c>
      <c r="BZ32" t="s">
        <v>321</v>
      </c>
      <c r="CA32" t="s">
        <v>321</v>
      </c>
      <c r="CB32" t="s">
        <v>321</v>
      </c>
      <c r="CC32" t="s">
        <v>321</v>
      </c>
      <c r="CD32" t="s">
        <v>321</v>
      </c>
      <c r="CE32" t="s">
        <v>321</v>
      </c>
      <c r="CF32" t="s">
        <v>321</v>
      </c>
      <c r="CG32" t="s">
        <v>321</v>
      </c>
      <c r="CH32" t="s">
        <v>321</v>
      </c>
      <c r="CI32" t="s">
        <v>321</v>
      </c>
      <c r="CJ32" t="s">
        <v>321</v>
      </c>
      <c r="CK32" t="s">
        <v>321</v>
      </c>
      <c r="CL32" t="s">
        <v>321</v>
      </c>
      <c r="CM32" t="s">
        <v>321</v>
      </c>
      <c r="CN32" t="s">
        <v>321</v>
      </c>
      <c r="CO32" t="s">
        <v>321</v>
      </c>
      <c r="CP32" t="s">
        <v>321</v>
      </c>
      <c r="CQ32" t="s">
        <v>321</v>
      </c>
      <c r="CR32" t="s">
        <v>321</v>
      </c>
      <c r="CS32" t="s">
        <v>321</v>
      </c>
      <c r="CT32" t="s">
        <v>321</v>
      </c>
      <c r="CU32" t="s">
        <v>321</v>
      </c>
      <c r="CV32" t="s">
        <v>321</v>
      </c>
      <c r="CW32" t="s">
        <v>321</v>
      </c>
      <c r="CX32">
        <v>277920.098</v>
      </c>
      <c r="CY32">
        <v>4925128.352</v>
      </c>
      <c r="CZ32">
        <v>44.445363</v>
      </c>
      <c r="DA32">
        <v>-95.790916999999993</v>
      </c>
      <c r="DB32" s="291">
        <v>43790.772222222222</v>
      </c>
      <c r="DC32" t="s">
        <v>231</v>
      </c>
      <c r="DD32" t="s">
        <v>429</v>
      </c>
      <c r="DE32" t="s">
        <v>455</v>
      </c>
      <c r="DF32" t="s">
        <v>456</v>
      </c>
      <c r="DG32" t="s">
        <v>531</v>
      </c>
      <c r="DH32">
        <v>0</v>
      </c>
      <c r="DI32" t="s">
        <v>333</v>
      </c>
      <c r="DJ32">
        <v>100</v>
      </c>
      <c r="DK32">
        <v>6</v>
      </c>
    </row>
    <row r="33" spans="1:115" x14ac:dyDescent="0.25">
      <c r="A33">
        <v>32</v>
      </c>
      <c r="B33" t="s">
        <v>657</v>
      </c>
      <c r="C33">
        <v>1</v>
      </c>
      <c r="D33">
        <v>35</v>
      </c>
      <c r="E33">
        <v>695479</v>
      </c>
      <c r="F33" t="s">
        <v>464</v>
      </c>
      <c r="G33">
        <v>19</v>
      </c>
      <c r="H33">
        <v>34.779000000000003</v>
      </c>
      <c r="I33" t="s">
        <v>297</v>
      </c>
      <c r="J33" t="s">
        <v>299</v>
      </c>
      <c r="K33" t="s">
        <v>321</v>
      </c>
      <c r="L33" t="s">
        <v>406</v>
      </c>
      <c r="M33" t="s">
        <v>299</v>
      </c>
      <c r="N33" t="s">
        <v>321</v>
      </c>
      <c r="O33" s="292">
        <v>202000000000</v>
      </c>
      <c r="P33">
        <v>190650076</v>
      </c>
      <c r="Q33" s="290">
        <v>44988</v>
      </c>
      <c r="R33">
        <v>6</v>
      </c>
      <c r="S33">
        <v>2019</v>
      </c>
      <c r="T33" t="s">
        <v>494</v>
      </c>
      <c r="U33">
        <v>9</v>
      </c>
      <c r="V33" t="s">
        <v>450</v>
      </c>
      <c r="W33" t="s">
        <v>320</v>
      </c>
      <c r="X33">
        <v>0</v>
      </c>
      <c r="Y33">
        <v>2</v>
      </c>
      <c r="Z33" t="s">
        <v>476</v>
      </c>
      <c r="AA33" t="s">
        <v>409</v>
      </c>
      <c r="AB33" t="s">
        <v>452</v>
      </c>
      <c r="AC33" t="s">
        <v>433</v>
      </c>
      <c r="AD33" t="s">
        <v>412</v>
      </c>
      <c r="AE33" t="s">
        <v>321</v>
      </c>
      <c r="AF33" t="s">
        <v>434</v>
      </c>
      <c r="AG33" t="s">
        <v>414</v>
      </c>
      <c r="AH33" t="s">
        <v>477</v>
      </c>
      <c r="AI33" t="s">
        <v>321</v>
      </c>
      <c r="AJ33" t="s">
        <v>471</v>
      </c>
      <c r="AK33" t="s">
        <v>447</v>
      </c>
      <c r="AL33" t="s">
        <v>417</v>
      </c>
      <c r="AM33" t="s">
        <v>425</v>
      </c>
      <c r="AN33" t="s">
        <v>453</v>
      </c>
      <c r="AO33" t="s">
        <v>426</v>
      </c>
      <c r="AP33">
        <v>82</v>
      </c>
      <c r="AQ33" t="s">
        <v>427</v>
      </c>
      <c r="AR33" t="s">
        <v>421</v>
      </c>
      <c r="AS33" t="s">
        <v>428</v>
      </c>
      <c r="AT33" t="s">
        <v>321</v>
      </c>
      <c r="AU33" t="s">
        <v>321</v>
      </c>
      <c r="AV33" t="s">
        <v>321</v>
      </c>
      <c r="AW33" t="s">
        <v>441</v>
      </c>
      <c r="AX33" t="s">
        <v>449</v>
      </c>
      <c r="AY33">
        <v>30</v>
      </c>
      <c r="AZ33" t="s">
        <v>423</v>
      </c>
      <c r="BA33" t="s">
        <v>424</v>
      </c>
      <c r="BB33" t="s">
        <v>504</v>
      </c>
      <c r="BC33" t="s">
        <v>418</v>
      </c>
      <c r="BD33" t="s">
        <v>453</v>
      </c>
      <c r="BE33" t="s">
        <v>426</v>
      </c>
      <c r="BF33">
        <v>44</v>
      </c>
      <c r="BG33" t="s">
        <v>430</v>
      </c>
      <c r="BH33" t="s">
        <v>321</v>
      </c>
      <c r="BI33" t="s">
        <v>532</v>
      </c>
      <c r="BJ33" t="s">
        <v>321</v>
      </c>
      <c r="BK33" t="s">
        <v>321</v>
      </c>
      <c r="BL33" t="s">
        <v>321</v>
      </c>
      <c r="BM33" t="s">
        <v>441</v>
      </c>
      <c r="BN33" t="s">
        <v>449</v>
      </c>
      <c r="BO33">
        <v>30</v>
      </c>
      <c r="BP33" t="s">
        <v>423</v>
      </c>
      <c r="BQ33" t="s">
        <v>424</v>
      </c>
      <c r="BR33" t="s">
        <v>321</v>
      </c>
      <c r="BS33" t="s">
        <v>321</v>
      </c>
      <c r="BT33" t="s">
        <v>321</v>
      </c>
      <c r="BU33" t="s">
        <v>321</v>
      </c>
      <c r="BV33" t="s">
        <v>321</v>
      </c>
      <c r="BW33" t="s">
        <v>321</v>
      </c>
      <c r="BX33" t="s">
        <v>321</v>
      </c>
      <c r="BY33" t="s">
        <v>321</v>
      </c>
      <c r="BZ33" t="s">
        <v>321</v>
      </c>
      <c r="CA33" t="s">
        <v>321</v>
      </c>
      <c r="CB33" t="s">
        <v>321</v>
      </c>
      <c r="CC33" t="s">
        <v>321</v>
      </c>
      <c r="CD33" t="s">
        <v>321</v>
      </c>
      <c r="CE33" t="s">
        <v>321</v>
      </c>
      <c r="CF33" t="s">
        <v>321</v>
      </c>
      <c r="CG33" t="s">
        <v>321</v>
      </c>
      <c r="CH33" t="s">
        <v>321</v>
      </c>
      <c r="CI33" t="s">
        <v>321</v>
      </c>
      <c r="CJ33" t="s">
        <v>321</v>
      </c>
      <c r="CK33" t="s">
        <v>321</v>
      </c>
      <c r="CL33" t="s">
        <v>321</v>
      </c>
      <c r="CM33" t="s">
        <v>321</v>
      </c>
      <c r="CN33" t="s">
        <v>321</v>
      </c>
      <c r="CO33" t="s">
        <v>321</v>
      </c>
      <c r="CP33" t="s">
        <v>321</v>
      </c>
      <c r="CQ33" t="s">
        <v>321</v>
      </c>
      <c r="CR33" t="s">
        <v>321</v>
      </c>
      <c r="CS33" t="s">
        <v>321</v>
      </c>
      <c r="CT33" t="s">
        <v>321</v>
      </c>
      <c r="CU33" t="s">
        <v>321</v>
      </c>
      <c r="CV33" t="s">
        <v>321</v>
      </c>
      <c r="CW33" t="s">
        <v>321</v>
      </c>
      <c r="CX33">
        <v>278099.54619999998</v>
      </c>
      <c r="CY33">
        <v>4925300.2850000001</v>
      </c>
      <c r="CZ33">
        <v>44.446964000000001</v>
      </c>
      <c r="DA33">
        <v>-95.788737999999995</v>
      </c>
      <c r="DB33" s="291">
        <v>43530.392361111109</v>
      </c>
      <c r="DC33" t="s">
        <v>231</v>
      </c>
      <c r="DD33" t="s">
        <v>429</v>
      </c>
      <c r="DE33" t="s">
        <v>455</v>
      </c>
      <c r="DF33" t="s">
        <v>456</v>
      </c>
      <c r="DG33" t="s">
        <v>533</v>
      </c>
      <c r="DH33">
        <v>0</v>
      </c>
      <c r="DI33" t="s">
        <v>327</v>
      </c>
      <c r="DJ33">
        <v>100</v>
      </c>
      <c r="DK33">
        <v>9</v>
      </c>
    </row>
    <row r="34" spans="1:115" x14ac:dyDescent="0.25">
      <c r="A34">
        <v>33</v>
      </c>
      <c r="B34" t="s">
        <v>657</v>
      </c>
      <c r="C34">
        <v>1</v>
      </c>
      <c r="D34">
        <v>38</v>
      </c>
      <c r="E34">
        <v>10996816</v>
      </c>
      <c r="F34" t="s">
        <v>464</v>
      </c>
      <c r="G34">
        <v>19</v>
      </c>
      <c r="H34">
        <v>34.506999999999998</v>
      </c>
      <c r="I34" t="s">
        <v>297</v>
      </c>
      <c r="J34" t="s">
        <v>299</v>
      </c>
      <c r="K34" t="s">
        <v>321</v>
      </c>
      <c r="L34" t="s">
        <v>406</v>
      </c>
      <c r="M34" t="s">
        <v>299</v>
      </c>
      <c r="N34" t="s">
        <v>321</v>
      </c>
      <c r="O34" t="s">
        <v>1102</v>
      </c>
      <c r="P34">
        <v>143250048</v>
      </c>
      <c r="Q34" s="290">
        <v>45241</v>
      </c>
      <c r="R34">
        <v>21</v>
      </c>
      <c r="S34">
        <v>2014</v>
      </c>
      <c r="T34" t="s">
        <v>485</v>
      </c>
      <c r="U34">
        <v>7</v>
      </c>
      <c r="V34" t="s">
        <v>321</v>
      </c>
      <c r="W34" t="s">
        <v>320</v>
      </c>
      <c r="X34">
        <v>0</v>
      </c>
      <c r="Y34">
        <v>2</v>
      </c>
      <c r="Z34" t="s">
        <v>797</v>
      </c>
      <c r="AA34" t="s">
        <v>409</v>
      </c>
      <c r="AB34" t="s">
        <v>452</v>
      </c>
      <c r="AC34" t="s">
        <v>433</v>
      </c>
      <c r="AD34" t="s">
        <v>412</v>
      </c>
      <c r="AE34" t="s">
        <v>321</v>
      </c>
      <c r="AF34" t="s">
        <v>434</v>
      </c>
      <c r="AG34" t="s">
        <v>463</v>
      </c>
      <c r="AH34" t="s">
        <v>1101</v>
      </c>
      <c r="AI34" t="s">
        <v>1100</v>
      </c>
      <c r="AJ34" t="s">
        <v>471</v>
      </c>
      <c r="AK34" t="s">
        <v>447</v>
      </c>
      <c r="AL34" t="s">
        <v>417</v>
      </c>
      <c r="AM34" t="s">
        <v>425</v>
      </c>
      <c r="AN34" t="s">
        <v>448</v>
      </c>
      <c r="AO34" t="s">
        <v>426</v>
      </c>
      <c r="AP34">
        <v>20</v>
      </c>
      <c r="AQ34" t="s">
        <v>420</v>
      </c>
      <c r="AR34" t="s">
        <v>421</v>
      </c>
      <c r="AS34" t="s">
        <v>538</v>
      </c>
      <c r="AT34" t="s">
        <v>806</v>
      </c>
      <c r="AU34" t="s">
        <v>321</v>
      </c>
      <c r="AV34" t="s">
        <v>321</v>
      </c>
      <c r="AW34" t="s">
        <v>805</v>
      </c>
      <c r="AX34" t="s">
        <v>422</v>
      </c>
      <c r="AY34">
        <v>30</v>
      </c>
      <c r="AZ34" t="s">
        <v>423</v>
      </c>
      <c r="BA34" t="s">
        <v>424</v>
      </c>
      <c r="BB34" t="s">
        <v>417</v>
      </c>
      <c r="BC34" t="s">
        <v>425</v>
      </c>
      <c r="BD34" t="s">
        <v>448</v>
      </c>
      <c r="BE34" t="s">
        <v>794</v>
      </c>
      <c r="BF34">
        <v>48</v>
      </c>
      <c r="BG34" t="s">
        <v>420</v>
      </c>
      <c r="BH34" t="s">
        <v>421</v>
      </c>
      <c r="BI34" t="s">
        <v>428</v>
      </c>
      <c r="BJ34" t="s">
        <v>321</v>
      </c>
      <c r="BK34" t="s">
        <v>321</v>
      </c>
      <c r="BL34" t="s">
        <v>321</v>
      </c>
      <c r="BM34" t="s">
        <v>805</v>
      </c>
      <c r="BN34" t="s">
        <v>422</v>
      </c>
      <c r="BO34">
        <v>30</v>
      </c>
      <c r="BP34" t="s">
        <v>423</v>
      </c>
      <c r="BQ34" t="s">
        <v>424</v>
      </c>
      <c r="BR34" t="s">
        <v>321</v>
      </c>
      <c r="BS34" t="s">
        <v>321</v>
      </c>
      <c r="BT34" t="s">
        <v>321</v>
      </c>
      <c r="BU34" t="s">
        <v>321</v>
      </c>
      <c r="BV34" t="s">
        <v>321</v>
      </c>
      <c r="BW34" t="s">
        <v>321</v>
      </c>
      <c r="BX34" t="s">
        <v>321</v>
      </c>
      <c r="BY34" t="s">
        <v>321</v>
      </c>
      <c r="BZ34" t="s">
        <v>321</v>
      </c>
      <c r="CA34" t="s">
        <v>321</v>
      </c>
      <c r="CB34" t="s">
        <v>321</v>
      </c>
      <c r="CC34" t="s">
        <v>321</v>
      </c>
      <c r="CD34" t="s">
        <v>321</v>
      </c>
      <c r="CE34" t="s">
        <v>321</v>
      </c>
      <c r="CF34" t="s">
        <v>321</v>
      </c>
      <c r="CG34" t="s">
        <v>321</v>
      </c>
      <c r="CH34" t="s">
        <v>321</v>
      </c>
      <c r="CI34" t="s">
        <v>321</v>
      </c>
      <c r="CJ34" t="s">
        <v>321</v>
      </c>
      <c r="CK34" t="s">
        <v>321</v>
      </c>
      <c r="CL34" t="s">
        <v>321</v>
      </c>
      <c r="CM34" t="s">
        <v>321</v>
      </c>
      <c r="CN34" t="s">
        <v>321</v>
      </c>
      <c r="CO34" t="s">
        <v>321</v>
      </c>
      <c r="CP34" t="s">
        <v>321</v>
      </c>
      <c r="CQ34" t="s">
        <v>321</v>
      </c>
      <c r="CR34" t="s">
        <v>321</v>
      </c>
      <c r="CS34" t="s">
        <v>321</v>
      </c>
      <c r="CT34" t="s">
        <v>321</v>
      </c>
      <c r="CU34" t="s">
        <v>321</v>
      </c>
      <c r="CV34" t="s">
        <v>321</v>
      </c>
      <c r="CW34" t="s">
        <v>321</v>
      </c>
      <c r="CX34">
        <v>277783.1777</v>
      </c>
      <c r="CY34">
        <v>4924998.2819999997</v>
      </c>
      <c r="CZ34">
        <v>44.444152000000003</v>
      </c>
      <c r="DA34">
        <v>-95.792580000000001</v>
      </c>
      <c r="DB34" s="291">
        <v>41964.330555555556</v>
      </c>
      <c r="DC34" t="s">
        <v>231</v>
      </c>
      <c r="DD34" t="s">
        <v>429</v>
      </c>
      <c r="DE34" t="s">
        <v>430</v>
      </c>
      <c r="DF34" t="s">
        <v>430</v>
      </c>
      <c r="DG34" t="s">
        <v>1099</v>
      </c>
      <c r="DH34">
        <v>0</v>
      </c>
      <c r="DI34" t="s">
        <v>323</v>
      </c>
      <c r="DJ34">
        <v>100</v>
      </c>
      <c r="DK34">
        <v>5</v>
      </c>
    </row>
    <row r="35" spans="1:115" x14ac:dyDescent="0.25">
      <c r="A35">
        <v>34</v>
      </c>
      <c r="B35" t="s">
        <v>657</v>
      </c>
      <c r="C35">
        <v>2</v>
      </c>
      <c r="D35">
        <v>42</v>
      </c>
      <c r="E35">
        <v>360541</v>
      </c>
      <c r="F35" t="s">
        <v>464</v>
      </c>
      <c r="G35">
        <v>19</v>
      </c>
      <c r="H35">
        <v>34.619</v>
      </c>
      <c r="I35" t="s">
        <v>297</v>
      </c>
      <c r="J35" t="s">
        <v>299</v>
      </c>
      <c r="K35" t="s">
        <v>321</v>
      </c>
      <c r="L35" t="s">
        <v>406</v>
      </c>
      <c r="M35" t="s">
        <v>299</v>
      </c>
      <c r="N35" t="s">
        <v>321</v>
      </c>
      <c r="O35" t="s">
        <v>1098</v>
      </c>
      <c r="P35">
        <v>161820040</v>
      </c>
      <c r="Q35" s="290">
        <v>45083</v>
      </c>
      <c r="R35">
        <v>30</v>
      </c>
      <c r="S35">
        <v>2016</v>
      </c>
      <c r="T35" t="s">
        <v>458</v>
      </c>
      <c r="U35">
        <v>9</v>
      </c>
      <c r="V35" t="s">
        <v>321</v>
      </c>
      <c r="W35" t="s">
        <v>318</v>
      </c>
      <c r="X35">
        <v>0</v>
      </c>
      <c r="Y35">
        <v>2</v>
      </c>
      <c r="Z35" t="s">
        <v>451</v>
      </c>
      <c r="AA35" t="s">
        <v>409</v>
      </c>
      <c r="AB35" t="s">
        <v>452</v>
      </c>
      <c r="AC35" t="s">
        <v>433</v>
      </c>
      <c r="AD35" t="s">
        <v>412</v>
      </c>
      <c r="AE35" t="s">
        <v>321</v>
      </c>
      <c r="AF35" t="s">
        <v>434</v>
      </c>
      <c r="AG35" t="s">
        <v>414</v>
      </c>
      <c r="AH35" t="s">
        <v>477</v>
      </c>
      <c r="AI35" t="s">
        <v>321</v>
      </c>
      <c r="AJ35" t="s">
        <v>471</v>
      </c>
      <c r="AK35" t="s">
        <v>451</v>
      </c>
      <c r="AL35" t="s">
        <v>417</v>
      </c>
      <c r="AM35" t="s">
        <v>418</v>
      </c>
      <c r="AN35" t="s">
        <v>448</v>
      </c>
      <c r="AO35" t="s">
        <v>426</v>
      </c>
      <c r="AP35">
        <v>80</v>
      </c>
      <c r="AQ35" t="s">
        <v>420</v>
      </c>
      <c r="AR35" t="s">
        <v>421</v>
      </c>
      <c r="AS35" t="s">
        <v>473</v>
      </c>
      <c r="AT35" t="s">
        <v>321</v>
      </c>
      <c r="AU35" t="s">
        <v>321</v>
      </c>
      <c r="AV35" t="s">
        <v>321</v>
      </c>
      <c r="AW35" t="s">
        <v>441</v>
      </c>
      <c r="AX35" t="s">
        <v>449</v>
      </c>
      <c r="AY35">
        <v>30</v>
      </c>
      <c r="AZ35" t="s">
        <v>423</v>
      </c>
      <c r="BA35" t="s">
        <v>424</v>
      </c>
      <c r="BB35" t="s">
        <v>417</v>
      </c>
      <c r="BC35" t="s">
        <v>425</v>
      </c>
      <c r="BD35" t="s">
        <v>472</v>
      </c>
      <c r="BE35" t="s">
        <v>426</v>
      </c>
      <c r="BF35">
        <v>68</v>
      </c>
      <c r="BG35" t="s">
        <v>427</v>
      </c>
      <c r="BH35" t="s">
        <v>421</v>
      </c>
      <c r="BI35" t="s">
        <v>428</v>
      </c>
      <c r="BJ35" t="s">
        <v>321</v>
      </c>
      <c r="BK35" t="s">
        <v>321</v>
      </c>
      <c r="BL35" t="s">
        <v>321</v>
      </c>
      <c r="BM35" t="s">
        <v>441</v>
      </c>
      <c r="BN35" t="s">
        <v>449</v>
      </c>
      <c r="BO35">
        <v>30</v>
      </c>
      <c r="BP35" t="s">
        <v>423</v>
      </c>
      <c r="BQ35" t="s">
        <v>424</v>
      </c>
      <c r="BR35" t="s">
        <v>321</v>
      </c>
      <c r="BS35" t="s">
        <v>321</v>
      </c>
      <c r="BT35" t="s">
        <v>321</v>
      </c>
      <c r="BU35" t="s">
        <v>321</v>
      </c>
      <c r="BV35" t="s">
        <v>321</v>
      </c>
      <c r="BW35" t="s">
        <v>321</v>
      </c>
      <c r="BX35" t="s">
        <v>321</v>
      </c>
      <c r="BY35" t="s">
        <v>321</v>
      </c>
      <c r="BZ35" t="s">
        <v>321</v>
      </c>
      <c r="CA35" t="s">
        <v>321</v>
      </c>
      <c r="CB35" t="s">
        <v>321</v>
      </c>
      <c r="CC35" t="s">
        <v>321</v>
      </c>
      <c r="CD35" t="s">
        <v>321</v>
      </c>
      <c r="CE35" t="s">
        <v>321</v>
      </c>
      <c r="CF35" t="s">
        <v>321</v>
      </c>
      <c r="CG35" t="s">
        <v>321</v>
      </c>
      <c r="CH35" t="s">
        <v>321</v>
      </c>
      <c r="CI35" t="s">
        <v>321</v>
      </c>
      <c r="CJ35" t="s">
        <v>321</v>
      </c>
      <c r="CK35" t="s">
        <v>321</v>
      </c>
      <c r="CL35" t="s">
        <v>321</v>
      </c>
      <c r="CM35" t="s">
        <v>321</v>
      </c>
      <c r="CN35" t="s">
        <v>321</v>
      </c>
      <c r="CO35" t="s">
        <v>321</v>
      </c>
      <c r="CP35" t="s">
        <v>321</v>
      </c>
      <c r="CQ35" t="s">
        <v>321</v>
      </c>
      <c r="CR35" t="s">
        <v>321</v>
      </c>
      <c r="CS35" t="s">
        <v>321</v>
      </c>
      <c r="CT35" t="s">
        <v>321</v>
      </c>
      <c r="CU35" t="s">
        <v>321</v>
      </c>
      <c r="CV35" t="s">
        <v>321</v>
      </c>
      <c r="CW35" t="s">
        <v>321</v>
      </c>
      <c r="CX35">
        <v>277913.72480000003</v>
      </c>
      <c r="CY35">
        <v>4925122.2390000001</v>
      </c>
      <c r="CZ35">
        <v>44.445306000000002</v>
      </c>
      <c r="DA35">
        <v>-95.790993999999998</v>
      </c>
      <c r="DB35" s="291">
        <v>42551.413194444445</v>
      </c>
      <c r="DC35" t="s">
        <v>231</v>
      </c>
      <c r="DD35" t="s">
        <v>429</v>
      </c>
      <c r="DE35" t="s">
        <v>455</v>
      </c>
      <c r="DF35" t="s">
        <v>456</v>
      </c>
      <c r="DG35" t="s">
        <v>1097</v>
      </c>
      <c r="DH35">
        <v>0</v>
      </c>
      <c r="DI35" t="s">
        <v>333</v>
      </c>
      <c r="DJ35">
        <v>100</v>
      </c>
      <c r="DK35">
        <v>6</v>
      </c>
    </row>
    <row r="36" spans="1:115" x14ac:dyDescent="0.25">
      <c r="A36">
        <v>35</v>
      </c>
      <c r="B36" t="s">
        <v>657</v>
      </c>
      <c r="C36">
        <v>1</v>
      </c>
      <c r="D36">
        <v>43</v>
      </c>
      <c r="E36">
        <v>708151</v>
      </c>
      <c r="F36" t="s">
        <v>464</v>
      </c>
      <c r="G36">
        <v>19</v>
      </c>
      <c r="H36">
        <v>35.505000000000003</v>
      </c>
      <c r="I36" t="s">
        <v>297</v>
      </c>
      <c r="J36" t="s">
        <v>299</v>
      </c>
      <c r="K36" t="s">
        <v>321</v>
      </c>
      <c r="L36" t="s">
        <v>406</v>
      </c>
      <c r="M36" t="s">
        <v>299</v>
      </c>
      <c r="N36" t="s">
        <v>321</v>
      </c>
      <c r="O36" t="s">
        <v>543</v>
      </c>
      <c r="P36">
        <v>191260084</v>
      </c>
      <c r="Q36" s="290">
        <v>45051</v>
      </c>
      <c r="R36">
        <v>6</v>
      </c>
      <c r="S36">
        <v>2019</v>
      </c>
      <c r="T36" t="s">
        <v>431</v>
      </c>
      <c r="U36">
        <v>15</v>
      </c>
      <c r="V36" t="s">
        <v>459</v>
      </c>
      <c r="W36" t="s">
        <v>319</v>
      </c>
      <c r="X36">
        <v>0</v>
      </c>
      <c r="Y36">
        <v>2</v>
      </c>
      <c r="Z36" t="s">
        <v>476</v>
      </c>
      <c r="AA36" t="s">
        <v>409</v>
      </c>
      <c r="AB36" t="s">
        <v>452</v>
      </c>
      <c r="AC36" t="s">
        <v>433</v>
      </c>
      <c r="AD36" t="s">
        <v>412</v>
      </c>
      <c r="AE36" t="s">
        <v>321</v>
      </c>
      <c r="AF36" t="s">
        <v>434</v>
      </c>
      <c r="AG36" t="s">
        <v>414</v>
      </c>
      <c r="AH36" t="s">
        <v>477</v>
      </c>
      <c r="AI36" t="s">
        <v>321</v>
      </c>
      <c r="AJ36" t="s">
        <v>471</v>
      </c>
      <c r="AK36" t="s">
        <v>447</v>
      </c>
      <c r="AL36" t="s">
        <v>417</v>
      </c>
      <c r="AM36" t="s">
        <v>425</v>
      </c>
      <c r="AN36" t="s">
        <v>461</v>
      </c>
      <c r="AO36" t="s">
        <v>480</v>
      </c>
      <c r="AP36">
        <v>47</v>
      </c>
      <c r="AQ36" t="s">
        <v>420</v>
      </c>
      <c r="AR36" t="s">
        <v>421</v>
      </c>
      <c r="AS36" t="s">
        <v>428</v>
      </c>
      <c r="AT36" t="s">
        <v>321</v>
      </c>
      <c r="AU36" t="s">
        <v>321</v>
      </c>
      <c r="AV36" t="s">
        <v>321</v>
      </c>
      <c r="AW36" t="s">
        <v>544</v>
      </c>
      <c r="AX36" t="s">
        <v>449</v>
      </c>
      <c r="AY36">
        <v>30</v>
      </c>
      <c r="AZ36" t="s">
        <v>423</v>
      </c>
      <c r="BA36" t="s">
        <v>424</v>
      </c>
      <c r="BB36" t="s">
        <v>417</v>
      </c>
      <c r="BC36" t="s">
        <v>425</v>
      </c>
      <c r="BD36" t="s">
        <v>461</v>
      </c>
      <c r="BE36" t="s">
        <v>426</v>
      </c>
      <c r="BF36">
        <v>21</v>
      </c>
      <c r="BG36" t="s">
        <v>427</v>
      </c>
      <c r="BH36" t="s">
        <v>421</v>
      </c>
      <c r="BI36" t="s">
        <v>428</v>
      </c>
      <c r="BJ36" t="s">
        <v>321</v>
      </c>
      <c r="BK36" t="s">
        <v>321</v>
      </c>
      <c r="BL36" t="s">
        <v>321</v>
      </c>
      <c r="BM36" t="s">
        <v>544</v>
      </c>
      <c r="BN36" t="s">
        <v>449</v>
      </c>
      <c r="BO36">
        <v>30</v>
      </c>
      <c r="BP36" t="s">
        <v>423</v>
      </c>
      <c r="BQ36" t="s">
        <v>424</v>
      </c>
      <c r="BR36" t="s">
        <v>321</v>
      </c>
      <c r="BS36" t="s">
        <v>321</v>
      </c>
      <c r="BT36" t="s">
        <v>321</v>
      </c>
      <c r="BU36" t="s">
        <v>321</v>
      </c>
      <c r="BV36" t="s">
        <v>321</v>
      </c>
      <c r="BW36" t="s">
        <v>321</v>
      </c>
      <c r="BX36" t="s">
        <v>321</v>
      </c>
      <c r="BY36" t="s">
        <v>321</v>
      </c>
      <c r="BZ36" t="s">
        <v>321</v>
      </c>
      <c r="CA36" t="s">
        <v>321</v>
      </c>
      <c r="CB36" t="s">
        <v>321</v>
      </c>
      <c r="CC36" t="s">
        <v>321</v>
      </c>
      <c r="CD36" t="s">
        <v>321</v>
      </c>
      <c r="CE36" t="s">
        <v>321</v>
      </c>
      <c r="CF36" t="s">
        <v>321</v>
      </c>
      <c r="CG36" t="s">
        <v>321</v>
      </c>
      <c r="CH36" t="s">
        <v>321</v>
      </c>
      <c r="CI36" t="s">
        <v>321</v>
      </c>
      <c r="CJ36" t="s">
        <v>321</v>
      </c>
      <c r="CK36" t="s">
        <v>321</v>
      </c>
      <c r="CL36" t="s">
        <v>321</v>
      </c>
      <c r="CM36" t="s">
        <v>321</v>
      </c>
      <c r="CN36" t="s">
        <v>321</v>
      </c>
      <c r="CO36" t="s">
        <v>321</v>
      </c>
      <c r="CP36" t="s">
        <v>321</v>
      </c>
      <c r="CQ36" t="s">
        <v>321</v>
      </c>
      <c r="CR36" t="s">
        <v>321</v>
      </c>
      <c r="CS36" t="s">
        <v>321</v>
      </c>
      <c r="CT36" t="s">
        <v>321</v>
      </c>
      <c r="CU36" t="s">
        <v>321</v>
      </c>
      <c r="CV36" t="s">
        <v>321</v>
      </c>
      <c r="CW36" t="s">
        <v>321</v>
      </c>
      <c r="CX36">
        <v>279122.19949999999</v>
      </c>
      <c r="CY36">
        <v>4925647.7810000004</v>
      </c>
      <c r="CZ36">
        <v>44.450401999999997</v>
      </c>
      <c r="DA36">
        <v>-95.776049</v>
      </c>
      <c r="DB36" s="291">
        <v>43591.654861111114</v>
      </c>
      <c r="DC36" t="s">
        <v>231</v>
      </c>
      <c r="DD36" t="s">
        <v>429</v>
      </c>
      <c r="DE36" t="s">
        <v>455</v>
      </c>
      <c r="DF36" t="s">
        <v>456</v>
      </c>
      <c r="DG36" t="s">
        <v>545</v>
      </c>
      <c r="DH36">
        <v>0</v>
      </c>
      <c r="DI36" t="s">
        <v>322</v>
      </c>
      <c r="DJ36">
        <v>100</v>
      </c>
      <c r="DK36">
        <v>15</v>
      </c>
    </row>
    <row r="37" spans="1:115" x14ac:dyDescent="0.25">
      <c r="A37">
        <v>36</v>
      </c>
      <c r="B37" t="s">
        <v>657</v>
      </c>
      <c r="C37">
        <v>2</v>
      </c>
      <c r="D37">
        <v>44</v>
      </c>
      <c r="E37">
        <v>942499</v>
      </c>
      <c r="F37" t="s">
        <v>464</v>
      </c>
      <c r="G37">
        <v>19</v>
      </c>
      <c r="H37">
        <v>34.619</v>
      </c>
      <c r="I37" t="s">
        <v>297</v>
      </c>
      <c r="J37" t="s">
        <v>299</v>
      </c>
      <c r="K37" t="s">
        <v>321</v>
      </c>
      <c r="L37" t="s">
        <v>406</v>
      </c>
      <c r="M37" t="s">
        <v>299</v>
      </c>
      <c r="N37" t="s">
        <v>321</v>
      </c>
      <c r="O37" t="s">
        <v>546</v>
      </c>
      <c r="P37">
        <v>212660133</v>
      </c>
      <c r="Q37" s="290">
        <v>45178</v>
      </c>
      <c r="R37">
        <v>23</v>
      </c>
      <c r="S37">
        <v>2021</v>
      </c>
      <c r="T37" t="s">
        <v>458</v>
      </c>
      <c r="U37">
        <v>18</v>
      </c>
      <c r="V37" t="s">
        <v>321</v>
      </c>
      <c r="W37" t="s">
        <v>317</v>
      </c>
      <c r="X37">
        <v>0</v>
      </c>
      <c r="Y37">
        <v>1</v>
      </c>
      <c r="Z37" t="s">
        <v>451</v>
      </c>
      <c r="AA37" t="s">
        <v>409</v>
      </c>
      <c r="AB37" t="s">
        <v>452</v>
      </c>
      <c r="AC37" t="s">
        <v>547</v>
      </c>
      <c r="AD37" t="s">
        <v>412</v>
      </c>
      <c r="AE37" t="s">
        <v>321</v>
      </c>
      <c r="AF37" t="s">
        <v>434</v>
      </c>
      <c r="AG37" t="s">
        <v>414</v>
      </c>
      <c r="AH37" t="s">
        <v>477</v>
      </c>
      <c r="AI37" t="s">
        <v>483</v>
      </c>
      <c r="AJ37" t="s">
        <v>471</v>
      </c>
      <c r="AK37" t="s">
        <v>528</v>
      </c>
      <c r="AL37" t="s">
        <v>548</v>
      </c>
      <c r="AM37" t="s">
        <v>321</v>
      </c>
      <c r="AN37" t="s">
        <v>321</v>
      </c>
      <c r="AO37" t="s">
        <v>321</v>
      </c>
      <c r="AP37">
        <v>64</v>
      </c>
      <c r="AQ37" t="s">
        <v>420</v>
      </c>
      <c r="AR37" t="s">
        <v>421</v>
      </c>
      <c r="AS37" t="s">
        <v>538</v>
      </c>
      <c r="AT37" t="s">
        <v>321</v>
      </c>
      <c r="AU37" t="s">
        <v>549</v>
      </c>
      <c r="AV37" t="s">
        <v>550</v>
      </c>
      <c r="AW37" t="s">
        <v>321</v>
      </c>
      <c r="AX37" t="s">
        <v>321</v>
      </c>
      <c r="AY37" t="s">
        <v>321</v>
      </c>
      <c r="AZ37" t="s">
        <v>321</v>
      </c>
      <c r="BA37" t="s">
        <v>321</v>
      </c>
      <c r="BB37" t="s">
        <v>417</v>
      </c>
      <c r="BC37" t="s">
        <v>514</v>
      </c>
      <c r="BD37" t="s">
        <v>472</v>
      </c>
      <c r="BE37" t="s">
        <v>426</v>
      </c>
      <c r="BF37">
        <v>57</v>
      </c>
      <c r="BG37" t="s">
        <v>427</v>
      </c>
      <c r="BH37" t="s">
        <v>421</v>
      </c>
      <c r="BI37" t="s">
        <v>428</v>
      </c>
      <c r="BJ37" t="s">
        <v>321</v>
      </c>
      <c r="BK37" t="s">
        <v>321</v>
      </c>
      <c r="BL37" t="s">
        <v>321</v>
      </c>
      <c r="BM37" t="s">
        <v>441</v>
      </c>
      <c r="BN37" t="s">
        <v>449</v>
      </c>
      <c r="BO37">
        <v>30</v>
      </c>
      <c r="BP37" t="s">
        <v>423</v>
      </c>
      <c r="BQ37" t="s">
        <v>424</v>
      </c>
      <c r="BR37" t="s">
        <v>321</v>
      </c>
      <c r="BS37" t="s">
        <v>321</v>
      </c>
      <c r="BT37" t="s">
        <v>321</v>
      </c>
      <c r="BU37" t="s">
        <v>321</v>
      </c>
      <c r="BV37" t="s">
        <v>321</v>
      </c>
      <c r="BW37" t="s">
        <v>321</v>
      </c>
      <c r="BX37" t="s">
        <v>321</v>
      </c>
      <c r="BY37" t="s">
        <v>321</v>
      </c>
      <c r="BZ37" t="s">
        <v>321</v>
      </c>
      <c r="CA37" t="s">
        <v>321</v>
      </c>
      <c r="CB37" t="s">
        <v>321</v>
      </c>
      <c r="CC37" t="s">
        <v>321</v>
      </c>
      <c r="CD37" t="s">
        <v>321</v>
      </c>
      <c r="CE37" t="s">
        <v>321</v>
      </c>
      <c r="CF37" t="s">
        <v>321</v>
      </c>
      <c r="CG37" t="s">
        <v>321</v>
      </c>
      <c r="CH37" t="s">
        <v>321</v>
      </c>
      <c r="CI37" t="s">
        <v>321</v>
      </c>
      <c r="CJ37" t="s">
        <v>321</v>
      </c>
      <c r="CK37" t="s">
        <v>321</v>
      </c>
      <c r="CL37" t="s">
        <v>321</v>
      </c>
      <c r="CM37" t="s">
        <v>321</v>
      </c>
      <c r="CN37" t="s">
        <v>321</v>
      </c>
      <c r="CO37" t="s">
        <v>321</v>
      </c>
      <c r="CP37" t="s">
        <v>321</v>
      </c>
      <c r="CQ37" t="s">
        <v>321</v>
      </c>
      <c r="CR37" t="s">
        <v>321</v>
      </c>
      <c r="CS37" t="s">
        <v>321</v>
      </c>
      <c r="CT37" t="s">
        <v>321</v>
      </c>
      <c r="CU37" t="s">
        <v>321</v>
      </c>
      <c r="CV37" t="s">
        <v>321</v>
      </c>
      <c r="CW37" t="s">
        <v>321</v>
      </c>
      <c r="CX37">
        <v>277913.53879999998</v>
      </c>
      <c r="CY37">
        <v>4925122.0619999999</v>
      </c>
      <c r="CZ37">
        <v>44.445304999999998</v>
      </c>
      <c r="DA37">
        <v>-95.790997000000004</v>
      </c>
      <c r="DB37" s="291">
        <v>44462.769444444442</v>
      </c>
      <c r="DC37" t="s">
        <v>231</v>
      </c>
      <c r="DD37" t="s">
        <v>429</v>
      </c>
      <c r="DE37" t="s">
        <v>455</v>
      </c>
      <c r="DF37" t="s">
        <v>456</v>
      </c>
      <c r="DG37" t="s">
        <v>551</v>
      </c>
      <c r="DH37">
        <v>0</v>
      </c>
      <c r="DI37" t="s">
        <v>333</v>
      </c>
      <c r="DJ37">
        <v>100</v>
      </c>
      <c r="DK37">
        <v>6</v>
      </c>
    </row>
    <row r="38" spans="1:115" x14ac:dyDescent="0.25">
      <c r="A38">
        <v>37</v>
      </c>
      <c r="B38" t="s">
        <v>657</v>
      </c>
      <c r="C38">
        <v>2</v>
      </c>
      <c r="D38">
        <v>45</v>
      </c>
      <c r="E38">
        <v>10897657</v>
      </c>
      <c r="F38" t="s">
        <v>464</v>
      </c>
      <c r="G38">
        <v>19</v>
      </c>
      <c r="H38">
        <v>34.619</v>
      </c>
      <c r="I38" t="s">
        <v>297</v>
      </c>
      <c r="J38" t="s">
        <v>299</v>
      </c>
      <c r="K38" t="s">
        <v>321</v>
      </c>
      <c r="L38" t="s">
        <v>406</v>
      </c>
      <c r="M38" t="s">
        <v>299</v>
      </c>
      <c r="N38" t="s">
        <v>321</v>
      </c>
      <c r="O38" t="s">
        <v>1096</v>
      </c>
      <c r="P38">
        <v>132470112</v>
      </c>
      <c r="Q38" s="290">
        <v>45178</v>
      </c>
      <c r="R38">
        <v>4</v>
      </c>
      <c r="S38">
        <v>2013</v>
      </c>
      <c r="T38" t="s">
        <v>494</v>
      </c>
      <c r="U38">
        <v>11</v>
      </c>
      <c r="V38" t="s">
        <v>321</v>
      </c>
      <c r="W38" t="s">
        <v>318</v>
      </c>
      <c r="X38">
        <v>0</v>
      </c>
      <c r="Y38">
        <v>1</v>
      </c>
      <c r="Z38" t="s">
        <v>463</v>
      </c>
      <c r="AA38" t="s">
        <v>552</v>
      </c>
      <c r="AB38" t="s">
        <v>452</v>
      </c>
      <c r="AC38" t="s">
        <v>433</v>
      </c>
      <c r="AD38" t="s">
        <v>412</v>
      </c>
      <c r="AE38" t="s">
        <v>412</v>
      </c>
      <c r="AF38" t="s">
        <v>434</v>
      </c>
      <c r="AG38" t="s">
        <v>414</v>
      </c>
      <c r="AH38" t="s">
        <v>869</v>
      </c>
      <c r="AI38" t="s">
        <v>870</v>
      </c>
      <c r="AJ38" t="s">
        <v>471</v>
      </c>
      <c r="AK38" t="s">
        <v>553</v>
      </c>
      <c r="AL38" t="s">
        <v>417</v>
      </c>
      <c r="AM38" t="s">
        <v>418</v>
      </c>
      <c r="AN38" t="s">
        <v>864</v>
      </c>
      <c r="AO38" t="s">
        <v>426</v>
      </c>
      <c r="AP38">
        <v>32</v>
      </c>
      <c r="AQ38" t="s">
        <v>427</v>
      </c>
      <c r="AR38" t="s">
        <v>421</v>
      </c>
      <c r="AS38" t="s">
        <v>428</v>
      </c>
      <c r="AT38" t="s">
        <v>321</v>
      </c>
      <c r="AU38" t="s">
        <v>321</v>
      </c>
      <c r="AV38" t="s">
        <v>321</v>
      </c>
      <c r="AW38" t="s">
        <v>321</v>
      </c>
      <c r="AX38" t="s">
        <v>449</v>
      </c>
      <c r="AY38">
        <v>30</v>
      </c>
      <c r="AZ38" t="s">
        <v>423</v>
      </c>
      <c r="BA38" t="s">
        <v>424</v>
      </c>
      <c r="BB38" t="s">
        <v>554</v>
      </c>
      <c r="BC38" t="s">
        <v>1095</v>
      </c>
      <c r="BD38" t="s">
        <v>892</v>
      </c>
      <c r="BE38" t="s">
        <v>321</v>
      </c>
      <c r="BF38">
        <v>11</v>
      </c>
      <c r="BG38" t="s">
        <v>420</v>
      </c>
      <c r="BH38" t="s">
        <v>421</v>
      </c>
      <c r="BI38" t="s">
        <v>806</v>
      </c>
      <c r="BJ38" t="s">
        <v>839</v>
      </c>
      <c r="BK38" t="s">
        <v>1094</v>
      </c>
      <c r="BL38" t="s">
        <v>321</v>
      </c>
      <c r="BM38" t="s">
        <v>321</v>
      </c>
      <c r="BN38" t="s">
        <v>449</v>
      </c>
      <c r="BO38">
        <v>30</v>
      </c>
      <c r="BP38" t="s">
        <v>423</v>
      </c>
      <c r="BQ38" t="s">
        <v>424</v>
      </c>
      <c r="BR38" t="s">
        <v>321</v>
      </c>
      <c r="BS38" t="s">
        <v>321</v>
      </c>
      <c r="BT38" t="s">
        <v>321</v>
      </c>
      <c r="BU38" t="s">
        <v>321</v>
      </c>
      <c r="BV38" t="s">
        <v>321</v>
      </c>
      <c r="BW38" t="s">
        <v>321</v>
      </c>
      <c r="BX38" t="s">
        <v>321</v>
      </c>
      <c r="BY38" t="s">
        <v>321</v>
      </c>
      <c r="BZ38" t="s">
        <v>321</v>
      </c>
      <c r="CA38" t="s">
        <v>321</v>
      </c>
      <c r="CB38" t="s">
        <v>321</v>
      </c>
      <c r="CC38" t="s">
        <v>321</v>
      </c>
      <c r="CD38" t="s">
        <v>321</v>
      </c>
      <c r="CE38" t="s">
        <v>321</v>
      </c>
      <c r="CF38" t="s">
        <v>321</v>
      </c>
      <c r="CG38" t="s">
        <v>321</v>
      </c>
      <c r="CH38" t="s">
        <v>321</v>
      </c>
      <c r="CI38" t="s">
        <v>321</v>
      </c>
      <c r="CJ38" t="s">
        <v>321</v>
      </c>
      <c r="CK38" t="s">
        <v>321</v>
      </c>
      <c r="CL38" t="s">
        <v>321</v>
      </c>
      <c r="CM38" t="s">
        <v>321</v>
      </c>
      <c r="CN38" t="s">
        <v>321</v>
      </c>
      <c r="CO38" t="s">
        <v>321</v>
      </c>
      <c r="CP38" t="s">
        <v>321</v>
      </c>
      <c r="CQ38" t="s">
        <v>321</v>
      </c>
      <c r="CR38" t="s">
        <v>321</v>
      </c>
      <c r="CS38" t="s">
        <v>321</v>
      </c>
      <c r="CT38" t="s">
        <v>321</v>
      </c>
      <c r="CU38" t="s">
        <v>321</v>
      </c>
      <c r="CV38" t="s">
        <v>321</v>
      </c>
      <c r="CW38" t="s">
        <v>321</v>
      </c>
      <c r="CX38">
        <v>277913.88740000001</v>
      </c>
      <c r="CY38">
        <v>4925122.3940000003</v>
      </c>
      <c r="CZ38">
        <v>44.445307999999997</v>
      </c>
      <c r="DA38">
        <v>-95.790992000000003</v>
      </c>
      <c r="DB38" s="291">
        <v>41521.467361111114</v>
      </c>
      <c r="DC38" t="s">
        <v>231</v>
      </c>
      <c r="DD38" t="s">
        <v>429</v>
      </c>
      <c r="DE38" t="s">
        <v>430</v>
      </c>
      <c r="DF38" t="s">
        <v>430</v>
      </c>
      <c r="DG38" t="s">
        <v>1093</v>
      </c>
      <c r="DH38">
        <v>0</v>
      </c>
      <c r="DI38" t="s">
        <v>333</v>
      </c>
      <c r="DJ38">
        <v>100</v>
      </c>
      <c r="DK38">
        <v>6</v>
      </c>
    </row>
    <row r="39" spans="1:115" x14ac:dyDescent="0.25">
      <c r="A39">
        <v>38</v>
      </c>
      <c r="B39" t="s">
        <v>657</v>
      </c>
      <c r="C39">
        <v>2</v>
      </c>
      <c r="D39">
        <v>46</v>
      </c>
      <c r="E39">
        <v>10911764</v>
      </c>
      <c r="F39" t="s">
        <v>464</v>
      </c>
      <c r="G39">
        <v>19</v>
      </c>
      <c r="H39">
        <v>34.619</v>
      </c>
      <c r="I39" t="s">
        <v>297</v>
      </c>
      <c r="J39" t="s">
        <v>299</v>
      </c>
      <c r="K39" t="s">
        <v>321</v>
      </c>
      <c r="L39" t="s">
        <v>406</v>
      </c>
      <c r="M39" t="s">
        <v>299</v>
      </c>
      <c r="N39" t="s">
        <v>321</v>
      </c>
      <c r="O39" t="s">
        <v>1092</v>
      </c>
      <c r="P39">
        <v>133340029</v>
      </c>
      <c r="Q39" s="290">
        <v>45241</v>
      </c>
      <c r="R39">
        <v>29</v>
      </c>
      <c r="S39">
        <v>2013</v>
      </c>
      <c r="T39" t="s">
        <v>485</v>
      </c>
      <c r="U39">
        <v>8</v>
      </c>
      <c r="V39" t="s">
        <v>321</v>
      </c>
      <c r="W39" t="s">
        <v>320</v>
      </c>
      <c r="X39">
        <v>0</v>
      </c>
      <c r="Y39">
        <v>2</v>
      </c>
      <c r="Z39" t="s">
        <v>451</v>
      </c>
      <c r="AA39" t="s">
        <v>409</v>
      </c>
      <c r="AB39" t="s">
        <v>452</v>
      </c>
      <c r="AC39" t="s">
        <v>433</v>
      </c>
      <c r="AD39" t="s">
        <v>412</v>
      </c>
      <c r="AE39" t="s">
        <v>321</v>
      </c>
      <c r="AF39" t="s">
        <v>434</v>
      </c>
      <c r="AG39" t="s">
        <v>414</v>
      </c>
      <c r="AH39" t="s">
        <v>869</v>
      </c>
      <c r="AI39" t="s">
        <v>1091</v>
      </c>
      <c r="AJ39" t="s">
        <v>471</v>
      </c>
      <c r="AK39" t="s">
        <v>451</v>
      </c>
      <c r="AL39" t="s">
        <v>417</v>
      </c>
      <c r="AM39" t="s">
        <v>418</v>
      </c>
      <c r="AN39" t="s">
        <v>461</v>
      </c>
      <c r="AO39" t="s">
        <v>426</v>
      </c>
      <c r="AP39">
        <v>47</v>
      </c>
      <c r="AQ39" t="s">
        <v>420</v>
      </c>
      <c r="AR39" t="s">
        <v>421</v>
      </c>
      <c r="AS39" t="s">
        <v>532</v>
      </c>
      <c r="AT39" t="s">
        <v>321</v>
      </c>
      <c r="AU39" t="s">
        <v>321</v>
      </c>
      <c r="AV39" t="s">
        <v>321</v>
      </c>
      <c r="AW39" t="s">
        <v>805</v>
      </c>
      <c r="AX39" t="s">
        <v>449</v>
      </c>
      <c r="AY39">
        <v>30</v>
      </c>
      <c r="AZ39" t="s">
        <v>423</v>
      </c>
      <c r="BA39" t="s">
        <v>424</v>
      </c>
      <c r="BB39" t="s">
        <v>417</v>
      </c>
      <c r="BC39" t="s">
        <v>425</v>
      </c>
      <c r="BD39" t="s">
        <v>453</v>
      </c>
      <c r="BE39" t="s">
        <v>426</v>
      </c>
      <c r="BF39">
        <v>38</v>
      </c>
      <c r="BG39" t="s">
        <v>420</v>
      </c>
      <c r="BH39" t="s">
        <v>421</v>
      </c>
      <c r="BI39" t="s">
        <v>428</v>
      </c>
      <c r="BJ39" t="s">
        <v>321</v>
      </c>
      <c r="BK39" t="s">
        <v>321</v>
      </c>
      <c r="BL39" t="s">
        <v>321</v>
      </c>
      <c r="BM39" t="s">
        <v>805</v>
      </c>
      <c r="BN39" t="s">
        <v>449</v>
      </c>
      <c r="BO39">
        <v>30</v>
      </c>
      <c r="BP39" t="s">
        <v>423</v>
      </c>
      <c r="BQ39" t="s">
        <v>424</v>
      </c>
      <c r="BR39" t="s">
        <v>321</v>
      </c>
      <c r="BS39" t="s">
        <v>321</v>
      </c>
      <c r="BT39" t="s">
        <v>321</v>
      </c>
      <c r="BU39" t="s">
        <v>321</v>
      </c>
      <c r="BV39" t="s">
        <v>321</v>
      </c>
      <c r="BW39" t="s">
        <v>321</v>
      </c>
      <c r="BX39" t="s">
        <v>321</v>
      </c>
      <c r="BY39" t="s">
        <v>321</v>
      </c>
      <c r="BZ39" t="s">
        <v>321</v>
      </c>
      <c r="CA39" t="s">
        <v>321</v>
      </c>
      <c r="CB39" t="s">
        <v>321</v>
      </c>
      <c r="CC39" t="s">
        <v>321</v>
      </c>
      <c r="CD39" t="s">
        <v>321</v>
      </c>
      <c r="CE39" t="s">
        <v>321</v>
      </c>
      <c r="CF39" t="s">
        <v>321</v>
      </c>
      <c r="CG39" t="s">
        <v>321</v>
      </c>
      <c r="CH39" t="s">
        <v>321</v>
      </c>
      <c r="CI39" t="s">
        <v>321</v>
      </c>
      <c r="CJ39" t="s">
        <v>321</v>
      </c>
      <c r="CK39" t="s">
        <v>321</v>
      </c>
      <c r="CL39" t="s">
        <v>321</v>
      </c>
      <c r="CM39" t="s">
        <v>321</v>
      </c>
      <c r="CN39" t="s">
        <v>321</v>
      </c>
      <c r="CO39" t="s">
        <v>321</v>
      </c>
      <c r="CP39" t="s">
        <v>321</v>
      </c>
      <c r="CQ39" t="s">
        <v>321</v>
      </c>
      <c r="CR39" t="s">
        <v>321</v>
      </c>
      <c r="CS39" t="s">
        <v>321</v>
      </c>
      <c r="CT39" t="s">
        <v>321</v>
      </c>
      <c r="CU39" t="s">
        <v>321</v>
      </c>
      <c r="CV39" t="s">
        <v>321</v>
      </c>
      <c r="CW39" t="s">
        <v>321</v>
      </c>
      <c r="CX39">
        <v>277913.88740000001</v>
      </c>
      <c r="CY39">
        <v>4925122.3940000003</v>
      </c>
      <c r="CZ39">
        <v>44.445307999999997</v>
      </c>
      <c r="DA39">
        <v>-95.790992000000003</v>
      </c>
      <c r="DB39" s="291">
        <v>41607.368055555555</v>
      </c>
      <c r="DC39" t="s">
        <v>231</v>
      </c>
      <c r="DD39" t="s">
        <v>429</v>
      </c>
      <c r="DE39" t="s">
        <v>430</v>
      </c>
      <c r="DF39" t="s">
        <v>430</v>
      </c>
      <c r="DG39" t="s">
        <v>1090</v>
      </c>
      <c r="DH39">
        <v>0</v>
      </c>
      <c r="DI39" t="s">
        <v>333</v>
      </c>
      <c r="DJ39">
        <v>100</v>
      </c>
      <c r="DK39">
        <v>6</v>
      </c>
    </row>
    <row r="40" spans="1:115" x14ac:dyDescent="0.25">
      <c r="A40">
        <v>39</v>
      </c>
      <c r="B40" t="s">
        <v>657</v>
      </c>
      <c r="C40">
        <v>2</v>
      </c>
      <c r="D40">
        <v>47</v>
      </c>
      <c r="E40">
        <v>10911927</v>
      </c>
      <c r="F40" t="s">
        <v>464</v>
      </c>
      <c r="G40">
        <v>19</v>
      </c>
      <c r="H40">
        <v>34.619</v>
      </c>
      <c r="I40" t="s">
        <v>297</v>
      </c>
      <c r="J40" t="s">
        <v>299</v>
      </c>
      <c r="K40" t="s">
        <v>321</v>
      </c>
      <c r="L40" t="s">
        <v>406</v>
      </c>
      <c r="M40" t="s">
        <v>299</v>
      </c>
      <c r="N40" t="s">
        <v>321</v>
      </c>
      <c r="O40" t="s">
        <v>1089</v>
      </c>
      <c r="P40">
        <v>133360144</v>
      </c>
      <c r="Q40" s="290">
        <v>45272</v>
      </c>
      <c r="R40">
        <v>2</v>
      </c>
      <c r="S40">
        <v>2013</v>
      </c>
      <c r="T40" t="s">
        <v>431</v>
      </c>
      <c r="U40">
        <v>9</v>
      </c>
      <c r="V40" t="s">
        <v>321</v>
      </c>
      <c r="W40" t="s">
        <v>318</v>
      </c>
      <c r="X40">
        <v>0</v>
      </c>
      <c r="Y40">
        <v>1</v>
      </c>
      <c r="Z40" t="s">
        <v>1088</v>
      </c>
      <c r="AA40" t="s">
        <v>528</v>
      </c>
      <c r="AB40" t="s">
        <v>460</v>
      </c>
      <c r="AC40" t="s">
        <v>433</v>
      </c>
      <c r="AD40" t="s">
        <v>446</v>
      </c>
      <c r="AE40" t="s">
        <v>521</v>
      </c>
      <c r="AF40" t="s">
        <v>523</v>
      </c>
      <c r="AG40" t="s">
        <v>414</v>
      </c>
      <c r="AH40" t="s">
        <v>1087</v>
      </c>
      <c r="AI40" t="s">
        <v>870</v>
      </c>
      <c r="AJ40" t="s">
        <v>471</v>
      </c>
      <c r="AK40" t="s">
        <v>528</v>
      </c>
      <c r="AL40" t="s">
        <v>417</v>
      </c>
      <c r="AM40" t="s">
        <v>425</v>
      </c>
      <c r="AN40" t="s">
        <v>1041</v>
      </c>
      <c r="AO40" t="s">
        <v>487</v>
      </c>
      <c r="AP40">
        <v>87</v>
      </c>
      <c r="AQ40" t="s">
        <v>420</v>
      </c>
      <c r="AR40" t="s">
        <v>421</v>
      </c>
      <c r="AS40" t="s">
        <v>454</v>
      </c>
      <c r="AT40" t="s">
        <v>321</v>
      </c>
      <c r="AU40" t="s">
        <v>321</v>
      </c>
      <c r="AV40" t="s">
        <v>321</v>
      </c>
      <c r="AW40" t="s">
        <v>805</v>
      </c>
      <c r="AX40" t="s">
        <v>449</v>
      </c>
      <c r="AY40">
        <v>15</v>
      </c>
      <c r="AZ40" t="s">
        <v>423</v>
      </c>
      <c r="BA40" t="s">
        <v>424</v>
      </c>
      <c r="BB40" t="s">
        <v>548</v>
      </c>
      <c r="BC40" t="s">
        <v>1086</v>
      </c>
      <c r="BD40" t="s">
        <v>321</v>
      </c>
      <c r="BE40" t="s">
        <v>321</v>
      </c>
      <c r="BF40">
        <v>74</v>
      </c>
      <c r="BG40" t="s">
        <v>420</v>
      </c>
      <c r="BH40" t="s">
        <v>421</v>
      </c>
      <c r="BI40" t="s">
        <v>321</v>
      </c>
      <c r="BJ40" t="s">
        <v>321</v>
      </c>
      <c r="BK40" t="s">
        <v>1085</v>
      </c>
      <c r="BL40" t="s">
        <v>321</v>
      </c>
      <c r="BM40" t="s">
        <v>805</v>
      </c>
      <c r="BN40" t="s">
        <v>449</v>
      </c>
      <c r="BO40">
        <v>15</v>
      </c>
      <c r="BP40" t="s">
        <v>423</v>
      </c>
      <c r="BQ40" t="s">
        <v>424</v>
      </c>
      <c r="BR40" t="s">
        <v>321</v>
      </c>
      <c r="BS40" t="s">
        <v>321</v>
      </c>
      <c r="BT40" t="s">
        <v>321</v>
      </c>
      <c r="BU40" t="s">
        <v>321</v>
      </c>
      <c r="BV40" t="s">
        <v>321</v>
      </c>
      <c r="BW40" t="s">
        <v>321</v>
      </c>
      <c r="BX40" t="s">
        <v>321</v>
      </c>
      <c r="BY40" t="s">
        <v>321</v>
      </c>
      <c r="BZ40" t="s">
        <v>321</v>
      </c>
      <c r="CA40" t="s">
        <v>321</v>
      </c>
      <c r="CB40" t="s">
        <v>321</v>
      </c>
      <c r="CC40" t="s">
        <v>321</v>
      </c>
      <c r="CD40" t="s">
        <v>321</v>
      </c>
      <c r="CE40" t="s">
        <v>321</v>
      </c>
      <c r="CF40" t="s">
        <v>321</v>
      </c>
      <c r="CG40" t="s">
        <v>321</v>
      </c>
      <c r="CH40" t="s">
        <v>321</v>
      </c>
      <c r="CI40" t="s">
        <v>321</v>
      </c>
      <c r="CJ40" t="s">
        <v>321</v>
      </c>
      <c r="CK40" t="s">
        <v>321</v>
      </c>
      <c r="CL40" t="s">
        <v>321</v>
      </c>
      <c r="CM40" t="s">
        <v>321</v>
      </c>
      <c r="CN40" t="s">
        <v>321</v>
      </c>
      <c r="CO40" t="s">
        <v>321</v>
      </c>
      <c r="CP40" t="s">
        <v>321</v>
      </c>
      <c r="CQ40" t="s">
        <v>321</v>
      </c>
      <c r="CR40" t="s">
        <v>321</v>
      </c>
      <c r="CS40" t="s">
        <v>321</v>
      </c>
      <c r="CT40" t="s">
        <v>321</v>
      </c>
      <c r="CU40" t="s">
        <v>321</v>
      </c>
      <c r="CV40" t="s">
        <v>321</v>
      </c>
      <c r="CW40" t="s">
        <v>321</v>
      </c>
      <c r="CX40">
        <v>277913.88740000001</v>
      </c>
      <c r="CY40">
        <v>4925122.3940000003</v>
      </c>
      <c r="CZ40">
        <v>44.445307999999997</v>
      </c>
      <c r="DA40">
        <v>-95.790992000000003</v>
      </c>
      <c r="DB40" s="291">
        <v>41610.397222222222</v>
      </c>
      <c r="DC40" t="s">
        <v>231</v>
      </c>
      <c r="DD40" t="s">
        <v>429</v>
      </c>
      <c r="DE40" t="s">
        <v>430</v>
      </c>
      <c r="DF40" t="s">
        <v>430</v>
      </c>
      <c r="DG40" t="s">
        <v>1084</v>
      </c>
      <c r="DH40">
        <v>0</v>
      </c>
      <c r="DI40" t="s">
        <v>333</v>
      </c>
      <c r="DJ40">
        <v>100</v>
      </c>
      <c r="DK40">
        <v>6</v>
      </c>
    </row>
    <row r="41" spans="1:115" x14ac:dyDescent="0.25">
      <c r="A41">
        <v>40</v>
      </c>
      <c r="B41" t="s">
        <v>657</v>
      </c>
      <c r="C41">
        <v>2</v>
      </c>
      <c r="D41">
        <v>48</v>
      </c>
      <c r="E41">
        <v>10963418</v>
      </c>
      <c r="F41" t="s">
        <v>464</v>
      </c>
      <c r="G41">
        <v>19</v>
      </c>
      <c r="H41">
        <v>34.619</v>
      </c>
      <c r="I41" t="s">
        <v>297</v>
      </c>
      <c r="J41" t="s">
        <v>299</v>
      </c>
      <c r="K41" t="s">
        <v>321</v>
      </c>
      <c r="L41" t="s">
        <v>406</v>
      </c>
      <c r="M41" t="s">
        <v>299</v>
      </c>
      <c r="N41" t="s">
        <v>321</v>
      </c>
      <c r="O41" t="s">
        <v>1083</v>
      </c>
      <c r="P41">
        <v>140330104</v>
      </c>
      <c r="Q41" s="290">
        <v>44959</v>
      </c>
      <c r="R41">
        <v>2</v>
      </c>
      <c r="S41">
        <v>2014</v>
      </c>
      <c r="T41" t="s">
        <v>489</v>
      </c>
      <c r="U41">
        <v>11</v>
      </c>
      <c r="V41" t="s">
        <v>321</v>
      </c>
      <c r="W41" t="s">
        <v>320</v>
      </c>
      <c r="X41">
        <v>0</v>
      </c>
      <c r="Y41">
        <v>2</v>
      </c>
      <c r="Z41" t="s">
        <v>451</v>
      </c>
      <c r="AA41" t="s">
        <v>409</v>
      </c>
      <c r="AB41" t="s">
        <v>452</v>
      </c>
      <c r="AC41" t="s">
        <v>433</v>
      </c>
      <c r="AD41" t="s">
        <v>412</v>
      </c>
      <c r="AE41" t="s">
        <v>321</v>
      </c>
      <c r="AF41" t="s">
        <v>434</v>
      </c>
      <c r="AG41" t="s">
        <v>414</v>
      </c>
      <c r="AH41" t="s">
        <v>1082</v>
      </c>
      <c r="AI41" t="s">
        <v>870</v>
      </c>
      <c r="AJ41" t="s">
        <v>471</v>
      </c>
      <c r="AK41" t="s">
        <v>451</v>
      </c>
      <c r="AL41" t="s">
        <v>417</v>
      </c>
      <c r="AM41" t="s">
        <v>425</v>
      </c>
      <c r="AN41" t="s">
        <v>1041</v>
      </c>
      <c r="AO41" t="s">
        <v>426</v>
      </c>
      <c r="AP41">
        <v>20</v>
      </c>
      <c r="AQ41" t="s">
        <v>427</v>
      </c>
      <c r="AR41" t="s">
        <v>421</v>
      </c>
      <c r="AS41" t="s">
        <v>532</v>
      </c>
      <c r="AT41" t="s">
        <v>321</v>
      </c>
      <c r="AU41" t="s">
        <v>321</v>
      </c>
      <c r="AV41" t="s">
        <v>321</v>
      </c>
      <c r="AW41" t="s">
        <v>850</v>
      </c>
      <c r="AX41" t="s">
        <v>449</v>
      </c>
      <c r="AY41">
        <v>30</v>
      </c>
      <c r="AZ41" t="s">
        <v>423</v>
      </c>
      <c r="BA41" t="s">
        <v>424</v>
      </c>
      <c r="BB41" t="s">
        <v>417</v>
      </c>
      <c r="BC41" t="s">
        <v>418</v>
      </c>
      <c r="BD41" t="s">
        <v>864</v>
      </c>
      <c r="BE41" t="s">
        <v>426</v>
      </c>
      <c r="BF41">
        <v>29</v>
      </c>
      <c r="BG41" t="s">
        <v>420</v>
      </c>
      <c r="BH41" t="s">
        <v>421</v>
      </c>
      <c r="BI41" t="s">
        <v>428</v>
      </c>
      <c r="BJ41" t="s">
        <v>321</v>
      </c>
      <c r="BK41" t="s">
        <v>321</v>
      </c>
      <c r="BL41" t="s">
        <v>321</v>
      </c>
      <c r="BM41" t="s">
        <v>850</v>
      </c>
      <c r="BN41" t="s">
        <v>449</v>
      </c>
      <c r="BO41">
        <v>30</v>
      </c>
      <c r="BP41" t="s">
        <v>423</v>
      </c>
      <c r="BQ41" t="s">
        <v>424</v>
      </c>
      <c r="BR41" t="s">
        <v>321</v>
      </c>
      <c r="BS41" t="s">
        <v>321</v>
      </c>
      <c r="BT41" t="s">
        <v>321</v>
      </c>
      <c r="BU41" t="s">
        <v>321</v>
      </c>
      <c r="BV41" t="s">
        <v>321</v>
      </c>
      <c r="BW41" t="s">
        <v>321</v>
      </c>
      <c r="BX41" t="s">
        <v>321</v>
      </c>
      <c r="BY41" t="s">
        <v>321</v>
      </c>
      <c r="BZ41" t="s">
        <v>321</v>
      </c>
      <c r="CA41" t="s">
        <v>321</v>
      </c>
      <c r="CB41" t="s">
        <v>321</v>
      </c>
      <c r="CC41" t="s">
        <v>321</v>
      </c>
      <c r="CD41" t="s">
        <v>321</v>
      </c>
      <c r="CE41" t="s">
        <v>321</v>
      </c>
      <c r="CF41" t="s">
        <v>321</v>
      </c>
      <c r="CG41" t="s">
        <v>321</v>
      </c>
      <c r="CH41" t="s">
        <v>321</v>
      </c>
      <c r="CI41" t="s">
        <v>321</v>
      </c>
      <c r="CJ41" t="s">
        <v>321</v>
      </c>
      <c r="CK41" t="s">
        <v>321</v>
      </c>
      <c r="CL41" t="s">
        <v>321</v>
      </c>
      <c r="CM41" t="s">
        <v>321</v>
      </c>
      <c r="CN41" t="s">
        <v>321</v>
      </c>
      <c r="CO41" t="s">
        <v>321</v>
      </c>
      <c r="CP41" t="s">
        <v>321</v>
      </c>
      <c r="CQ41" t="s">
        <v>321</v>
      </c>
      <c r="CR41" t="s">
        <v>321</v>
      </c>
      <c r="CS41" t="s">
        <v>321</v>
      </c>
      <c r="CT41" t="s">
        <v>321</v>
      </c>
      <c r="CU41" t="s">
        <v>321</v>
      </c>
      <c r="CV41" t="s">
        <v>321</v>
      </c>
      <c r="CW41" t="s">
        <v>321</v>
      </c>
      <c r="CX41">
        <v>277913.88740000001</v>
      </c>
      <c r="CY41">
        <v>4925122.3940000003</v>
      </c>
      <c r="CZ41">
        <v>44.445307999999997</v>
      </c>
      <c r="DA41">
        <v>-95.790992000000003</v>
      </c>
      <c r="DB41" s="291">
        <v>41672.493750000001</v>
      </c>
      <c r="DC41" t="s">
        <v>231</v>
      </c>
      <c r="DD41" t="s">
        <v>429</v>
      </c>
      <c r="DE41" t="s">
        <v>430</v>
      </c>
      <c r="DF41" t="s">
        <v>430</v>
      </c>
      <c r="DG41" t="s">
        <v>1081</v>
      </c>
      <c r="DH41">
        <v>0</v>
      </c>
      <c r="DI41" t="s">
        <v>333</v>
      </c>
      <c r="DJ41">
        <v>100</v>
      </c>
      <c r="DK41">
        <v>6</v>
      </c>
    </row>
    <row r="42" spans="1:115" x14ac:dyDescent="0.25">
      <c r="A42">
        <v>41</v>
      </c>
      <c r="B42" t="s">
        <v>657</v>
      </c>
      <c r="C42">
        <v>2</v>
      </c>
      <c r="D42">
        <v>49</v>
      </c>
      <c r="E42">
        <v>10970313</v>
      </c>
      <c r="F42" t="s">
        <v>464</v>
      </c>
      <c r="G42">
        <v>19</v>
      </c>
      <c r="H42">
        <v>34.619</v>
      </c>
      <c r="I42" t="s">
        <v>297</v>
      </c>
      <c r="J42" t="s">
        <v>299</v>
      </c>
      <c r="K42" t="s">
        <v>321</v>
      </c>
      <c r="L42" t="s">
        <v>406</v>
      </c>
      <c r="M42" t="s">
        <v>299</v>
      </c>
      <c r="N42" t="s">
        <v>321</v>
      </c>
      <c r="O42" t="s">
        <v>1080</v>
      </c>
      <c r="P42">
        <v>140670042</v>
      </c>
      <c r="Q42" s="290">
        <v>44988</v>
      </c>
      <c r="R42">
        <v>8</v>
      </c>
      <c r="S42">
        <v>2014</v>
      </c>
      <c r="T42" t="s">
        <v>506</v>
      </c>
      <c r="U42">
        <v>9</v>
      </c>
      <c r="V42" t="s">
        <v>321</v>
      </c>
      <c r="W42" t="s">
        <v>319</v>
      </c>
      <c r="X42">
        <v>0</v>
      </c>
      <c r="Y42">
        <v>2</v>
      </c>
      <c r="Z42" t="s">
        <v>451</v>
      </c>
      <c r="AA42" t="s">
        <v>409</v>
      </c>
      <c r="AB42" t="s">
        <v>452</v>
      </c>
      <c r="AC42" t="s">
        <v>433</v>
      </c>
      <c r="AD42" t="s">
        <v>446</v>
      </c>
      <c r="AE42" t="s">
        <v>321</v>
      </c>
      <c r="AF42" t="s">
        <v>434</v>
      </c>
      <c r="AG42" t="s">
        <v>414</v>
      </c>
      <c r="AH42" t="s">
        <v>1079</v>
      </c>
      <c r="AI42" t="s">
        <v>483</v>
      </c>
      <c r="AJ42" t="s">
        <v>471</v>
      </c>
      <c r="AK42" t="s">
        <v>451</v>
      </c>
      <c r="AL42" t="s">
        <v>417</v>
      </c>
      <c r="AM42" t="s">
        <v>425</v>
      </c>
      <c r="AN42" t="s">
        <v>461</v>
      </c>
      <c r="AO42" t="s">
        <v>426</v>
      </c>
      <c r="AP42">
        <v>18</v>
      </c>
      <c r="AQ42" t="s">
        <v>420</v>
      </c>
      <c r="AR42" t="s">
        <v>421</v>
      </c>
      <c r="AS42" t="s">
        <v>806</v>
      </c>
      <c r="AT42" t="s">
        <v>321</v>
      </c>
      <c r="AU42" t="s">
        <v>321</v>
      </c>
      <c r="AV42" t="s">
        <v>321</v>
      </c>
      <c r="AW42" t="s">
        <v>805</v>
      </c>
      <c r="AX42" t="s">
        <v>449</v>
      </c>
      <c r="AY42">
        <v>30</v>
      </c>
      <c r="AZ42" t="s">
        <v>423</v>
      </c>
      <c r="BA42" t="s">
        <v>424</v>
      </c>
      <c r="BB42" t="s">
        <v>417</v>
      </c>
      <c r="BC42" t="s">
        <v>425</v>
      </c>
      <c r="BD42" t="s">
        <v>472</v>
      </c>
      <c r="BE42" t="s">
        <v>426</v>
      </c>
      <c r="BF42">
        <v>62</v>
      </c>
      <c r="BG42" t="s">
        <v>427</v>
      </c>
      <c r="BH42" t="s">
        <v>421</v>
      </c>
      <c r="BI42" t="s">
        <v>428</v>
      </c>
      <c r="BJ42" t="s">
        <v>321</v>
      </c>
      <c r="BK42" t="s">
        <v>321</v>
      </c>
      <c r="BL42" t="s">
        <v>321</v>
      </c>
      <c r="BM42" t="s">
        <v>805</v>
      </c>
      <c r="BN42" t="s">
        <v>449</v>
      </c>
      <c r="BO42">
        <v>30</v>
      </c>
      <c r="BP42" t="s">
        <v>423</v>
      </c>
      <c r="BQ42" t="s">
        <v>424</v>
      </c>
      <c r="BR42" t="s">
        <v>321</v>
      </c>
      <c r="BS42" t="s">
        <v>321</v>
      </c>
      <c r="BT42" t="s">
        <v>321</v>
      </c>
      <c r="BU42" t="s">
        <v>321</v>
      </c>
      <c r="BV42" t="s">
        <v>321</v>
      </c>
      <c r="BW42" t="s">
        <v>321</v>
      </c>
      <c r="BX42" t="s">
        <v>321</v>
      </c>
      <c r="BY42" t="s">
        <v>321</v>
      </c>
      <c r="BZ42" t="s">
        <v>321</v>
      </c>
      <c r="CA42" t="s">
        <v>321</v>
      </c>
      <c r="CB42" t="s">
        <v>321</v>
      </c>
      <c r="CC42" t="s">
        <v>321</v>
      </c>
      <c r="CD42" t="s">
        <v>321</v>
      </c>
      <c r="CE42" t="s">
        <v>321</v>
      </c>
      <c r="CF42" t="s">
        <v>321</v>
      </c>
      <c r="CG42" t="s">
        <v>321</v>
      </c>
      <c r="CH42" t="s">
        <v>321</v>
      </c>
      <c r="CI42" t="s">
        <v>321</v>
      </c>
      <c r="CJ42" t="s">
        <v>321</v>
      </c>
      <c r="CK42" t="s">
        <v>321</v>
      </c>
      <c r="CL42" t="s">
        <v>321</v>
      </c>
      <c r="CM42" t="s">
        <v>321</v>
      </c>
      <c r="CN42" t="s">
        <v>321</v>
      </c>
      <c r="CO42" t="s">
        <v>321</v>
      </c>
      <c r="CP42" t="s">
        <v>321</v>
      </c>
      <c r="CQ42" t="s">
        <v>321</v>
      </c>
      <c r="CR42" t="s">
        <v>321</v>
      </c>
      <c r="CS42" t="s">
        <v>321</v>
      </c>
      <c r="CT42" t="s">
        <v>321</v>
      </c>
      <c r="CU42" t="s">
        <v>321</v>
      </c>
      <c r="CV42" t="s">
        <v>321</v>
      </c>
      <c r="CW42" t="s">
        <v>321</v>
      </c>
      <c r="CX42">
        <v>277913.88740000001</v>
      </c>
      <c r="CY42">
        <v>4925122.3940000003</v>
      </c>
      <c r="CZ42">
        <v>44.445307999999997</v>
      </c>
      <c r="DA42">
        <v>-95.790992000000003</v>
      </c>
      <c r="DB42" s="291">
        <v>41706.397916666669</v>
      </c>
      <c r="DC42" t="s">
        <v>231</v>
      </c>
      <c r="DD42" t="s">
        <v>429</v>
      </c>
      <c r="DE42" t="s">
        <v>430</v>
      </c>
      <c r="DF42" t="s">
        <v>430</v>
      </c>
      <c r="DG42" t="s">
        <v>1078</v>
      </c>
      <c r="DH42">
        <v>0</v>
      </c>
      <c r="DI42" t="s">
        <v>333</v>
      </c>
      <c r="DJ42">
        <v>100</v>
      </c>
      <c r="DK42">
        <v>6</v>
      </c>
    </row>
    <row r="43" spans="1:115" x14ac:dyDescent="0.25">
      <c r="A43">
        <v>42</v>
      </c>
      <c r="B43" t="s">
        <v>657</v>
      </c>
      <c r="C43">
        <v>2</v>
      </c>
      <c r="D43">
        <v>50</v>
      </c>
      <c r="E43">
        <v>10989982</v>
      </c>
      <c r="F43" t="s">
        <v>464</v>
      </c>
      <c r="G43">
        <v>19</v>
      </c>
      <c r="H43">
        <v>34.619</v>
      </c>
      <c r="I43" t="s">
        <v>297</v>
      </c>
      <c r="J43" t="s">
        <v>299</v>
      </c>
      <c r="K43" t="s">
        <v>321</v>
      </c>
      <c r="L43" t="s">
        <v>406</v>
      </c>
      <c r="M43" t="s">
        <v>299</v>
      </c>
      <c r="N43" t="s">
        <v>321</v>
      </c>
      <c r="O43" t="s">
        <v>1077</v>
      </c>
      <c r="P43">
        <v>143050122</v>
      </c>
      <c r="Q43" s="290">
        <v>45209</v>
      </c>
      <c r="R43">
        <v>31</v>
      </c>
      <c r="S43">
        <v>2014</v>
      </c>
      <c r="T43" t="s">
        <v>485</v>
      </c>
      <c r="U43">
        <v>21</v>
      </c>
      <c r="V43" t="s">
        <v>321</v>
      </c>
      <c r="W43" t="s">
        <v>320</v>
      </c>
      <c r="X43">
        <v>0</v>
      </c>
      <c r="Y43">
        <v>1</v>
      </c>
      <c r="Z43" t="s">
        <v>463</v>
      </c>
      <c r="AA43" t="s">
        <v>490</v>
      </c>
      <c r="AB43" t="s">
        <v>452</v>
      </c>
      <c r="AC43" t="s">
        <v>411</v>
      </c>
      <c r="AD43" t="s">
        <v>412</v>
      </c>
      <c r="AE43" t="s">
        <v>321</v>
      </c>
      <c r="AF43" t="s">
        <v>434</v>
      </c>
      <c r="AG43" t="s">
        <v>414</v>
      </c>
      <c r="AH43" t="s">
        <v>870</v>
      </c>
      <c r="AI43" t="s">
        <v>869</v>
      </c>
      <c r="AJ43" t="s">
        <v>471</v>
      </c>
      <c r="AK43" t="s">
        <v>436</v>
      </c>
      <c r="AL43">
        <v>0</v>
      </c>
      <c r="AM43" t="s">
        <v>430</v>
      </c>
      <c r="AN43" t="s">
        <v>321</v>
      </c>
      <c r="AO43" t="s">
        <v>321</v>
      </c>
      <c r="AP43" t="s">
        <v>321</v>
      </c>
      <c r="AQ43" t="s">
        <v>321</v>
      </c>
      <c r="AR43" t="s">
        <v>321</v>
      </c>
      <c r="AS43" t="s">
        <v>321</v>
      </c>
      <c r="AT43" t="s">
        <v>321</v>
      </c>
      <c r="AU43" t="s">
        <v>321</v>
      </c>
      <c r="AV43" t="s">
        <v>321</v>
      </c>
      <c r="AW43" t="s">
        <v>805</v>
      </c>
      <c r="AX43" t="s">
        <v>449</v>
      </c>
      <c r="AY43">
        <v>30</v>
      </c>
      <c r="AZ43" t="s">
        <v>423</v>
      </c>
      <c r="BA43" t="s">
        <v>424</v>
      </c>
      <c r="BB43" t="s">
        <v>321</v>
      </c>
      <c r="BC43" t="s">
        <v>321</v>
      </c>
      <c r="BD43" t="s">
        <v>321</v>
      </c>
      <c r="BE43" t="s">
        <v>321</v>
      </c>
      <c r="BF43" t="s">
        <v>321</v>
      </c>
      <c r="BG43" t="s">
        <v>321</v>
      </c>
      <c r="BH43" t="s">
        <v>321</v>
      </c>
      <c r="BI43" t="s">
        <v>321</v>
      </c>
      <c r="BJ43" t="s">
        <v>321</v>
      </c>
      <c r="BK43" t="s">
        <v>321</v>
      </c>
      <c r="BL43" t="s">
        <v>321</v>
      </c>
      <c r="BM43" t="s">
        <v>321</v>
      </c>
      <c r="BN43" t="s">
        <v>321</v>
      </c>
      <c r="BO43" t="s">
        <v>321</v>
      </c>
      <c r="BP43" t="s">
        <v>321</v>
      </c>
      <c r="BQ43" t="s">
        <v>321</v>
      </c>
      <c r="BR43" t="s">
        <v>321</v>
      </c>
      <c r="BS43" t="s">
        <v>321</v>
      </c>
      <c r="BT43" t="s">
        <v>321</v>
      </c>
      <c r="BU43" t="s">
        <v>321</v>
      </c>
      <c r="BV43" t="s">
        <v>321</v>
      </c>
      <c r="BW43" t="s">
        <v>321</v>
      </c>
      <c r="BX43" t="s">
        <v>321</v>
      </c>
      <c r="BY43" t="s">
        <v>321</v>
      </c>
      <c r="BZ43" t="s">
        <v>321</v>
      </c>
      <c r="CA43" t="s">
        <v>321</v>
      </c>
      <c r="CB43" t="s">
        <v>321</v>
      </c>
      <c r="CC43" t="s">
        <v>321</v>
      </c>
      <c r="CD43" t="s">
        <v>321</v>
      </c>
      <c r="CE43" t="s">
        <v>321</v>
      </c>
      <c r="CF43" t="s">
        <v>321</v>
      </c>
      <c r="CG43" t="s">
        <v>321</v>
      </c>
      <c r="CH43" t="s">
        <v>321</v>
      </c>
      <c r="CI43" t="s">
        <v>321</v>
      </c>
      <c r="CJ43" t="s">
        <v>321</v>
      </c>
      <c r="CK43" t="s">
        <v>321</v>
      </c>
      <c r="CL43" t="s">
        <v>321</v>
      </c>
      <c r="CM43" t="s">
        <v>321</v>
      </c>
      <c r="CN43" t="s">
        <v>321</v>
      </c>
      <c r="CO43" t="s">
        <v>321</v>
      </c>
      <c r="CP43" t="s">
        <v>321</v>
      </c>
      <c r="CQ43" t="s">
        <v>321</v>
      </c>
      <c r="CR43" t="s">
        <v>321</v>
      </c>
      <c r="CS43" t="s">
        <v>321</v>
      </c>
      <c r="CT43" t="s">
        <v>321</v>
      </c>
      <c r="CU43" t="s">
        <v>321</v>
      </c>
      <c r="CV43" t="s">
        <v>321</v>
      </c>
      <c r="CW43" t="s">
        <v>321</v>
      </c>
      <c r="CX43">
        <v>277913.88740000001</v>
      </c>
      <c r="CY43">
        <v>4925122.3940000003</v>
      </c>
      <c r="CZ43">
        <v>44.445307999999997</v>
      </c>
      <c r="DA43">
        <v>-95.790992000000003</v>
      </c>
      <c r="DB43" s="291">
        <v>41943.884027777778</v>
      </c>
      <c r="DC43" t="s">
        <v>231</v>
      </c>
      <c r="DD43" t="s">
        <v>429</v>
      </c>
      <c r="DE43" t="s">
        <v>430</v>
      </c>
      <c r="DF43" t="s">
        <v>430</v>
      </c>
      <c r="DG43" t="s">
        <v>1076</v>
      </c>
      <c r="DH43">
        <v>0</v>
      </c>
      <c r="DI43" t="s">
        <v>333</v>
      </c>
      <c r="DJ43">
        <v>100</v>
      </c>
      <c r="DK43">
        <v>6</v>
      </c>
    </row>
    <row r="44" spans="1:115" x14ac:dyDescent="0.25">
      <c r="A44">
        <v>43</v>
      </c>
      <c r="B44" t="s">
        <v>657</v>
      </c>
      <c r="C44">
        <v>2</v>
      </c>
      <c r="D44">
        <v>51</v>
      </c>
      <c r="E44">
        <v>781418</v>
      </c>
      <c r="F44" t="s">
        <v>464</v>
      </c>
      <c r="G44">
        <v>19</v>
      </c>
      <c r="H44">
        <v>34.622</v>
      </c>
      <c r="I44" t="s">
        <v>297</v>
      </c>
      <c r="J44" t="s">
        <v>299</v>
      </c>
      <c r="K44" t="s">
        <v>321</v>
      </c>
      <c r="L44" t="s">
        <v>406</v>
      </c>
      <c r="M44" t="s">
        <v>299</v>
      </c>
      <c r="N44" t="s">
        <v>321</v>
      </c>
      <c r="O44" t="s">
        <v>555</v>
      </c>
      <c r="P44">
        <v>200200050</v>
      </c>
      <c r="Q44" s="290">
        <v>44927</v>
      </c>
      <c r="R44">
        <v>20</v>
      </c>
      <c r="S44">
        <v>2020</v>
      </c>
      <c r="T44" t="s">
        <v>431</v>
      </c>
      <c r="U44">
        <v>9</v>
      </c>
      <c r="V44" t="s">
        <v>466</v>
      </c>
      <c r="W44" t="s">
        <v>320</v>
      </c>
      <c r="X44">
        <v>0</v>
      </c>
      <c r="Y44">
        <v>2</v>
      </c>
      <c r="Z44" t="s">
        <v>476</v>
      </c>
      <c r="AA44" t="s">
        <v>409</v>
      </c>
      <c r="AB44" t="s">
        <v>452</v>
      </c>
      <c r="AC44" t="s">
        <v>433</v>
      </c>
      <c r="AD44" t="s">
        <v>412</v>
      </c>
      <c r="AE44" t="s">
        <v>321</v>
      </c>
      <c r="AF44" t="s">
        <v>467</v>
      </c>
      <c r="AG44" t="s">
        <v>414</v>
      </c>
      <c r="AH44" t="s">
        <v>477</v>
      </c>
      <c r="AI44" t="s">
        <v>483</v>
      </c>
      <c r="AJ44" t="s">
        <v>471</v>
      </c>
      <c r="AK44" t="s">
        <v>447</v>
      </c>
      <c r="AL44" t="s">
        <v>417</v>
      </c>
      <c r="AM44" t="s">
        <v>425</v>
      </c>
      <c r="AN44" t="s">
        <v>448</v>
      </c>
      <c r="AO44" t="s">
        <v>480</v>
      </c>
      <c r="AP44">
        <v>56</v>
      </c>
      <c r="AQ44" t="s">
        <v>427</v>
      </c>
      <c r="AR44" t="s">
        <v>421</v>
      </c>
      <c r="AS44" t="s">
        <v>428</v>
      </c>
      <c r="AT44" t="s">
        <v>321</v>
      </c>
      <c r="AU44" t="s">
        <v>321</v>
      </c>
      <c r="AV44" t="s">
        <v>321</v>
      </c>
      <c r="AW44" t="s">
        <v>441</v>
      </c>
      <c r="AX44" t="s">
        <v>449</v>
      </c>
      <c r="AY44">
        <v>30</v>
      </c>
      <c r="AZ44" t="s">
        <v>423</v>
      </c>
      <c r="BA44" t="s">
        <v>424</v>
      </c>
      <c r="BB44" t="s">
        <v>417</v>
      </c>
      <c r="BC44" t="s">
        <v>425</v>
      </c>
      <c r="BD44" t="s">
        <v>448</v>
      </c>
      <c r="BE44" t="s">
        <v>426</v>
      </c>
      <c r="BF44">
        <v>17</v>
      </c>
      <c r="BG44" t="s">
        <v>427</v>
      </c>
      <c r="BH44" t="s">
        <v>421</v>
      </c>
      <c r="BI44" t="s">
        <v>428</v>
      </c>
      <c r="BJ44" t="s">
        <v>321</v>
      </c>
      <c r="BK44" t="s">
        <v>321</v>
      </c>
      <c r="BL44" t="s">
        <v>321</v>
      </c>
      <c r="BM44" t="s">
        <v>441</v>
      </c>
      <c r="BN44" t="s">
        <v>449</v>
      </c>
      <c r="BO44">
        <v>30</v>
      </c>
      <c r="BP44" t="s">
        <v>423</v>
      </c>
      <c r="BQ44" t="s">
        <v>424</v>
      </c>
      <c r="BR44" t="s">
        <v>321</v>
      </c>
      <c r="BS44" t="s">
        <v>321</v>
      </c>
      <c r="BT44" t="s">
        <v>321</v>
      </c>
      <c r="BU44" t="s">
        <v>321</v>
      </c>
      <c r="BV44" t="s">
        <v>321</v>
      </c>
      <c r="BW44" t="s">
        <v>321</v>
      </c>
      <c r="BX44" t="s">
        <v>321</v>
      </c>
      <c r="BY44" t="s">
        <v>321</v>
      </c>
      <c r="BZ44" t="s">
        <v>321</v>
      </c>
      <c r="CA44" t="s">
        <v>321</v>
      </c>
      <c r="CB44" t="s">
        <v>321</v>
      </c>
      <c r="CC44" t="s">
        <v>321</v>
      </c>
      <c r="CD44" t="s">
        <v>321</v>
      </c>
      <c r="CE44" t="s">
        <v>321</v>
      </c>
      <c r="CF44" t="s">
        <v>321</v>
      </c>
      <c r="CG44" t="s">
        <v>321</v>
      </c>
      <c r="CH44" t="s">
        <v>321</v>
      </c>
      <c r="CI44" t="s">
        <v>321</v>
      </c>
      <c r="CJ44" t="s">
        <v>321</v>
      </c>
      <c r="CK44" t="s">
        <v>321</v>
      </c>
      <c r="CL44" t="s">
        <v>321</v>
      </c>
      <c r="CM44" t="s">
        <v>321</v>
      </c>
      <c r="CN44" t="s">
        <v>321</v>
      </c>
      <c r="CO44" t="s">
        <v>321</v>
      </c>
      <c r="CP44" t="s">
        <v>321</v>
      </c>
      <c r="CQ44" t="s">
        <v>321</v>
      </c>
      <c r="CR44" t="s">
        <v>321</v>
      </c>
      <c r="CS44" t="s">
        <v>321</v>
      </c>
      <c r="CT44" t="s">
        <v>321</v>
      </c>
      <c r="CU44" t="s">
        <v>321</v>
      </c>
      <c r="CV44" t="s">
        <v>321</v>
      </c>
      <c r="CW44" t="s">
        <v>321</v>
      </c>
      <c r="CX44">
        <v>277916.97340000002</v>
      </c>
      <c r="CY44">
        <v>4925125.3550000004</v>
      </c>
      <c r="CZ44">
        <v>44.445335</v>
      </c>
      <c r="DA44">
        <v>-95.790954999999997</v>
      </c>
      <c r="DB44" s="291">
        <v>43850.40625</v>
      </c>
      <c r="DC44" t="s">
        <v>231</v>
      </c>
      <c r="DD44" t="s">
        <v>429</v>
      </c>
      <c r="DE44" t="s">
        <v>455</v>
      </c>
      <c r="DF44" t="s">
        <v>456</v>
      </c>
      <c r="DG44" t="s">
        <v>556</v>
      </c>
      <c r="DH44">
        <v>0</v>
      </c>
      <c r="DI44" t="s">
        <v>333</v>
      </c>
      <c r="DJ44">
        <v>100</v>
      </c>
      <c r="DK44">
        <v>6</v>
      </c>
    </row>
    <row r="45" spans="1:115" x14ac:dyDescent="0.25">
      <c r="A45">
        <v>44</v>
      </c>
      <c r="B45" t="s">
        <v>657</v>
      </c>
      <c r="C45">
        <v>1</v>
      </c>
      <c r="D45">
        <v>52</v>
      </c>
      <c r="E45">
        <v>696588</v>
      </c>
      <c r="F45" t="s">
        <v>464</v>
      </c>
      <c r="G45">
        <v>68</v>
      </c>
      <c r="H45">
        <v>39.234000000000002</v>
      </c>
      <c r="I45" t="s">
        <v>297</v>
      </c>
      <c r="J45" t="s">
        <v>299</v>
      </c>
      <c r="K45" t="s">
        <v>321</v>
      </c>
      <c r="L45" t="s">
        <v>406</v>
      </c>
      <c r="M45" t="s">
        <v>299</v>
      </c>
      <c r="N45" t="s">
        <v>321</v>
      </c>
      <c r="O45" s="290">
        <v>44930</v>
      </c>
      <c r="P45">
        <v>190690055</v>
      </c>
      <c r="Q45" s="290">
        <v>44988</v>
      </c>
      <c r="R45">
        <v>10</v>
      </c>
      <c r="S45">
        <v>2019</v>
      </c>
      <c r="T45" t="s">
        <v>489</v>
      </c>
      <c r="U45">
        <v>7</v>
      </c>
      <c r="V45" t="s">
        <v>495</v>
      </c>
      <c r="W45" t="s">
        <v>320</v>
      </c>
      <c r="X45">
        <v>0</v>
      </c>
      <c r="Y45">
        <v>1</v>
      </c>
      <c r="Z45" t="s">
        <v>321</v>
      </c>
      <c r="AA45" t="s">
        <v>557</v>
      </c>
      <c r="AB45" t="s">
        <v>452</v>
      </c>
      <c r="AC45" t="s">
        <v>510</v>
      </c>
      <c r="AD45" t="s">
        <v>412</v>
      </c>
      <c r="AE45" t="s">
        <v>321</v>
      </c>
      <c r="AF45" t="s">
        <v>467</v>
      </c>
      <c r="AG45" t="s">
        <v>414</v>
      </c>
      <c r="AH45" t="s">
        <v>558</v>
      </c>
      <c r="AI45" t="s">
        <v>477</v>
      </c>
      <c r="AJ45" t="s">
        <v>559</v>
      </c>
      <c r="AK45" t="s">
        <v>436</v>
      </c>
      <c r="AL45" t="s">
        <v>417</v>
      </c>
      <c r="AM45" t="s">
        <v>437</v>
      </c>
      <c r="AN45" t="s">
        <v>472</v>
      </c>
      <c r="AO45" t="s">
        <v>419</v>
      </c>
      <c r="AP45">
        <v>60</v>
      </c>
      <c r="AQ45" t="s">
        <v>420</v>
      </c>
      <c r="AR45" t="s">
        <v>421</v>
      </c>
      <c r="AS45" t="s">
        <v>462</v>
      </c>
      <c r="AT45" t="s">
        <v>321</v>
      </c>
      <c r="AU45" t="s">
        <v>321</v>
      </c>
      <c r="AV45" t="s">
        <v>321</v>
      </c>
      <c r="AW45" t="s">
        <v>544</v>
      </c>
      <c r="AX45" t="s">
        <v>449</v>
      </c>
      <c r="AY45">
        <v>30</v>
      </c>
      <c r="AZ45" t="s">
        <v>423</v>
      </c>
      <c r="BA45" t="s">
        <v>424</v>
      </c>
      <c r="BB45" t="s">
        <v>321</v>
      </c>
      <c r="BC45" t="s">
        <v>321</v>
      </c>
      <c r="BD45" t="s">
        <v>321</v>
      </c>
      <c r="BE45" t="s">
        <v>321</v>
      </c>
      <c r="BF45" t="s">
        <v>321</v>
      </c>
      <c r="BG45" t="s">
        <v>321</v>
      </c>
      <c r="BH45" t="s">
        <v>321</v>
      </c>
      <c r="BI45" t="s">
        <v>321</v>
      </c>
      <c r="BJ45" t="s">
        <v>321</v>
      </c>
      <c r="BK45" t="s">
        <v>321</v>
      </c>
      <c r="BL45" t="s">
        <v>321</v>
      </c>
      <c r="BM45" t="s">
        <v>321</v>
      </c>
      <c r="BN45" t="s">
        <v>321</v>
      </c>
      <c r="BO45" t="s">
        <v>321</v>
      </c>
      <c r="BP45" t="s">
        <v>321</v>
      </c>
      <c r="BQ45" t="s">
        <v>321</v>
      </c>
      <c r="BR45" t="s">
        <v>321</v>
      </c>
      <c r="BS45" t="s">
        <v>321</v>
      </c>
      <c r="BT45" t="s">
        <v>321</v>
      </c>
      <c r="BU45" t="s">
        <v>321</v>
      </c>
      <c r="BV45" t="s">
        <v>321</v>
      </c>
      <c r="BW45" t="s">
        <v>321</v>
      </c>
      <c r="BX45" t="s">
        <v>321</v>
      </c>
      <c r="BY45" t="s">
        <v>321</v>
      </c>
      <c r="BZ45" t="s">
        <v>321</v>
      </c>
      <c r="CA45" t="s">
        <v>321</v>
      </c>
      <c r="CB45" t="s">
        <v>321</v>
      </c>
      <c r="CC45" t="s">
        <v>321</v>
      </c>
      <c r="CD45" t="s">
        <v>321</v>
      </c>
      <c r="CE45" t="s">
        <v>321</v>
      </c>
      <c r="CF45" t="s">
        <v>321</v>
      </c>
      <c r="CG45" t="s">
        <v>321</v>
      </c>
      <c r="CH45" t="s">
        <v>321</v>
      </c>
      <c r="CI45" t="s">
        <v>321</v>
      </c>
      <c r="CJ45" t="s">
        <v>321</v>
      </c>
      <c r="CK45" t="s">
        <v>321</v>
      </c>
      <c r="CL45" t="s">
        <v>321</v>
      </c>
      <c r="CM45" t="s">
        <v>321</v>
      </c>
      <c r="CN45" t="s">
        <v>321</v>
      </c>
      <c r="CO45" t="s">
        <v>321</v>
      </c>
      <c r="CP45" t="s">
        <v>321</v>
      </c>
      <c r="CQ45" t="s">
        <v>321</v>
      </c>
      <c r="CR45" t="s">
        <v>321</v>
      </c>
      <c r="CS45" t="s">
        <v>321</v>
      </c>
      <c r="CT45" t="s">
        <v>321</v>
      </c>
      <c r="CU45" t="s">
        <v>321</v>
      </c>
      <c r="CV45" t="s">
        <v>321</v>
      </c>
      <c r="CW45" t="s">
        <v>321</v>
      </c>
      <c r="CX45">
        <v>278094.92629999999</v>
      </c>
      <c r="CY45">
        <v>4925300.3499999996</v>
      </c>
      <c r="CZ45">
        <v>44.446962999999997</v>
      </c>
      <c r="DA45">
        <v>-95.788796000000005</v>
      </c>
      <c r="DB45" s="291">
        <v>43534.322916666664</v>
      </c>
      <c r="DC45" t="s">
        <v>231</v>
      </c>
      <c r="DD45" t="s">
        <v>429</v>
      </c>
      <c r="DE45" t="s">
        <v>455</v>
      </c>
      <c r="DF45" t="s">
        <v>456</v>
      </c>
      <c r="DG45" t="s">
        <v>560</v>
      </c>
      <c r="DH45">
        <v>0</v>
      </c>
      <c r="DI45" t="s">
        <v>327</v>
      </c>
      <c r="DJ45">
        <v>100</v>
      </c>
      <c r="DK45">
        <v>9</v>
      </c>
    </row>
    <row r="46" spans="1:115" x14ac:dyDescent="0.25">
      <c r="A46">
        <v>45</v>
      </c>
      <c r="B46" t="s">
        <v>657</v>
      </c>
      <c r="C46">
        <v>2</v>
      </c>
      <c r="D46">
        <v>53</v>
      </c>
      <c r="E46">
        <v>381409</v>
      </c>
      <c r="F46" t="s">
        <v>464</v>
      </c>
      <c r="G46">
        <v>19</v>
      </c>
      <c r="H46">
        <v>34.634999999999998</v>
      </c>
      <c r="I46" t="s">
        <v>297</v>
      </c>
      <c r="J46" t="s">
        <v>299</v>
      </c>
      <c r="K46" t="s">
        <v>321</v>
      </c>
      <c r="L46" t="s">
        <v>406</v>
      </c>
      <c r="M46" t="s">
        <v>299</v>
      </c>
      <c r="N46" t="s">
        <v>321</v>
      </c>
      <c r="O46" s="292">
        <v>202000000000</v>
      </c>
      <c r="P46">
        <v>162670174</v>
      </c>
      <c r="Q46" s="290">
        <v>45178</v>
      </c>
      <c r="R46">
        <v>23</v>
      </c>
      <c r="S46">
        <v>2016</v>
      </c>
      <c r="T46" t="s">
        <v>485</v>
      </c>
      <c r="U46">
        <v>22</v>
      </c>
      <c r="V46" t="s">
        <v>459</v>
      </c>
      <c r="W46" t="s">
        <v>317</v>
      </c>
      <c r="X46">
        <v>0</v>
      </c>
      <c r="Y46">
        <v>1</v>
      </c>
      <c r="Z46" t="s">
        <v>321</v>
      </c>
      <c r="AA46" t="s">
        <v>528</v>
      </c>
      <c r="AB46" t="s">
        <v>452</v>
      </c>
      <c r="AC46" t="s">
        <v>411</v>
      </c>
      <c r="AD46" t="s">
        <v>446</v>
      </c>
      <c r="AE46" t="s">
        <v>321</v>
      </c>
      <c r="AF46" t="s">
        <v>523</v>
      </c>
      <c r="AG46" t="s">
        <v>414</v>
      </c>
      <c r="AH46" t="s">
        <v>477</v>
      </c>
      <c r="AI46" t="s">
        <v>483</v>
      </c>
      <c r="AJ46" t="s">
        <v>471</v>
      </c>
      <c r="AK46" t="s">
        <v>528</v>
      </c>
      <c r="AL46" t="s">
        <v>417</v>
      </c>
      <c r="AM46" t="s">
        <v>478</v>
      </c>
      <c r="AN46" t="s">
        <v>461</v>
      </c>
      <c r="AO46" t="s">
        <v>426</v>
      </c>
      <c r="AP46">
        <v>48</v>
      </c>
      <c r="AQ46" t="s">
        <v>420</v>
      </c>
      <c r="AR46" t="s">
        <v>1075</v>
      </c>
      <c r="AS46" t="s">
        <v>440</v>
      </c>
      <c r="AT46" t="s">
        <v>428</v>
      </c>
      <c r="AU46" t="s">
        <v>321</v>
      </c>
      <c r="AV46" t="s">
        <v>321</v>
      </c>
      <c r="AW46" t="s">
        <v>441</v>
      </c>
      <c r="AX46" t="s">
        <v>449</v>
      </c>
      <c r="AY46">
        <v>30</v>
      </c>
      <c r="AZ46" t="s">
        <v>423</v>
      </c>
      <c r="BA46" t="s">
        <v>424</v>
      </c>
      <c r="BB46" t="s">
        <v>528</v>
      </c>
      <c r="BC46" t="s">
        <v>321</v>
      </c>
      <c r="BD46" t="s">
        <v>321</v>
      </c>
      <c r="BE46" t="s">
        <v>321</v>
      </c>
      <c r="BF46">
        <v>38</v>
      </c>
      <c r="BG46" t="s">
        <v>420</v>
      </c>
      <c r="BH46" t="s">
        <v>561</v>
      </c>
      <c r="BI46" t="s">
        <v>538</v>
      </c>
      <c r="BJ46" t="s">
        <v>454</v>
      </c>
      <c r="BK46" t="s">
        <v>529</v>
      </c>
      <c r="BL46" t="s">
        <v>1074</v>
      </c>
      <c r="BM46" t="s">
        <v>321</v>
      </c>
      <c r="BN46" t="s">
        <v>321</v>
      </c>
      <c r="BO46" t="s">
        <v>321</v>
      </c>
      <c r="BP46" t="s">
        <v>321</v>
      </c>
      <c r="BQ46" t="s">
        <v>321</v>
      </c>
      <c r="BR46" t="s">
        <v>321</v>
      </c>
      <c r="BS46" t="s">
        <v>321</v>
      </c>
      <c r="BT46" t="s">
        <v>321</v>
      </c>
      <c r="BU46" t="s">
        <v>321</v>
      </c>
      <c r="BV46" t="s">
        <v>321</v>
      </c>
      <c r="BW46" t="s">
        <v>321</v>
      </c>
      <c r="BX46" t="s">
        <v>321</v>
      </c>
      <c r="BY46" t="s">
        <v>321</v>
      </c>
      <c r="BZ46" t="s">
        <v>321</v>
      </c>
      <c r="CA46" t="s">
        <v>321</v>
      </c>
      <c r="CB46" t="s">
        <v>321</v>
      </c>
      <c r="CC46" t="s">
        <v>321</v>
      </c>
      <c r="CD46" t="s">
        <v>321</v>
      </c>
      <c r="CE46" t="s">
        <v>321</v>
      </c>
      <c r="CF46" t="s">
        <v>321</v>
      </c>
      <c r="CG46" t="s">
        <v>321</v>
      </c>
      <c r="CH46" t="s">
        <v>321</v>
      </c>
      <c r="CI46" t="s">
        <v>321</v>
      </c>
      <c r="CJ46" t="s">
        <v>321</v>
      </c>
      <c r="CK46" t="s">
        <v>321</v>
      </c>
      <c r="CL46" t="s">
        <v>321</v>
      </c>
      <c r="CM46" t="s">
        <v>321</v>
      </c>
      <c r="CN46" t="s">
        <v>321</v>
      </c>
      <c r="CO46" t="s">
        <v>321</v>
      </c>
      <c r="CP46" t="s">
        <v>321</v>
      </c>
      <c r="CQ46" t="s">
        <v>321</v>
      </c>
      <c r="CR46" t="s">
        <v>321</v>
      </c>
      <c r="CS46" t="s">
        <v>321</v>
      </c>
      <c r="CT46" t="s">
        <v>321</v>
      </c>
      <c r="CU46" t="s">
        <v>321</v>
      </c>
      <c r="CV46" t="s">
        <v>321</v>
      </c>
      <c r="CW46" t="s">
        <v>321</v>
      </c>
      <c r="CX46">
        <v>277932.39649999997</v>
      </c>
      <c r="CY46">
        <v>4925140.1509999996</v>
      </c>
      <c r="CZ46">
        <v>44.445473</v>
      </c>
      <c r="DA46">
        <v>-95.790768</v>
      </c>
      <c r="DB46" s="291">
        <v>42636.932638888888</v>
      </c>
      <c r="DC46" t="s">
        <v>231</v>
      </c>
      <c r="DD46" t="s">
        <v>429</v>
      </c>
      <c r="DE46" t="s">
        <v>455</v>
      </c>
      <c r="DF46" t="s">
        <v>456</v>
      </c>
      <c r="DG46" t="s">
        <v>1073</v>
      </c>
      <c r="DH46">
        <v>0</v>
      </c>
      <c r="DI46" t="s">
        <v>333</v>
      </c>
      <c r="DJ46">
        <v>100</v>
      </c>
      <c r="DK46">
        <v>6</v>
      </c>
    </row>
    <row r="47" spans="1:115" x14ac:dyDescent="0.25">
      <c r="A47">
        <v>46</v>
      </c>
      <c r="B47" t="s">
        <v>657</v>
      </c>
      <c r="C47">
        <v>1</v>
      </c>
      <c r="D47">
        <v>54</v>
      </c>
      <c r="E47">
        <v>940962</v>
      </c>
      <c r="F47" t="s">
        <v>464</v>
      </c>
      <c r="G47">
        <v>19</v>
      </c>
      <c r="H47">
        <v>34.703000000000003</v>
      </c>
      <c r="I47" t="s">
        <v>297</v>
      </c>
      <c r="J47" t="s">
        <v>299</v>
      </c>
      <c r="K47" t="s">
        <v>321</v>
      </c>
      <c r="L47" t="s">
        <v>406</v>
      </c>
      <c r="M47" t="s">
        <v>299</v>
      </c>
      <c r="N47" t="s">
        <v>321</v>
      </c>
      <c r="O47" t="s">
        <v>562</v>
      </c>
      <c r="P47">
        <v>212510260</v>
      </c>
      <c r="Q47" s="290">
        <v>45178</v>
      </c>
      <c r="R47">
        <v>8</v>
      </c>
      <c r="S47">
        <v>2021</v>
      </c>
      <c r="T47" t="s">
        <v>494</v>
      </c>
      <c r="U47">
        <v>12</v>
      </c>
      <c r="V47" t="s">
        <v>422</v>
      </c>
      <c r="W47" t="s">
        <v>319</v>
      </c>
      <c r="X47">
        <v>0</v>
      </c>
      <c r="Y47">
        <v>3</v>
      </c>
      <c r="Z47" t="s">
        <v>476</v>
      </c>
      <c r="AA47" t="s">
        <v>409</v>
      </c>
      <c r="AB47" t="s">
        <v>410</v>
      </c>
      <c r="AC47" t="s">
        <v>433</v>
      </c>
      <c r="AD47" t="s">
        <v>412</v>
      </c>
      <c r="AE47" t="s">
        <v>321</v>
      </c>
      <c r="AF47" t="s">
        <v>434</v>
      </c>
      <c r="AG47" t="s">
        <v>414</v>
      </c>
      <c r="AH47" t="s">
        <v>477</v>
      </c>
      <c r="AI47" t="s">
        <v>563</v>
      </c>
      <c r="AJ47" t="s">
        <v>471</v>
      </c>
      <c r="AK47" t="s">
        <v>447</v>
      </c>
      <c r="AL47" t="s">
        <v>417</v>
      </c>
      <c r="AM47" t="s">
        <v>418</v>
      </c>
      <c r="AN47" t="s">
        <v>453</v>
      </c>
      <c r="AO47" t="s">
        <v>426</v>
      </c>
      <c r="AP47">
        <v>18</v>
      </c>
      <c r="AQ47" t="s">
        <v>420</v>
      </c>
      <c r="AR47" t="s">
        <v>421</v>
      </c>
      <c r="AS47" t="s">
        <v>479</v>
      </c>
      <c r="AT47" t="s">
        <v>532</v>
      </c>
      <c r="AU47" t="s">
        <v>321</v>
      </c>
      <c r="AV47" t="s">
        <v>321</v>
      </c>
      <c r="AW47" t="s">
        <v>441</v>
      </c>
      <c r="AX47" t="s">
        <v>422</v>
      </c>
      <c r="AY47">
        <v>30</v>
      </c>
      <c r="AZ47" t="s">
        <v>423</v>
      </c>
      <c r="BA47" t="s">
        <v>424</v>
      </c>
      <c r="BB47" t="s">
        <v>417</v>
      </c>
      <c r="BC47" t="s">
        <v>425</v>
      </c>
      <c r="BD47" t="s">
        <v>453</v>
      </c>
      <c r="BE47" t="s">
        <v>480</v>
      </c>
      <c r="BF47">
        <v>19</v>
      </c>
      <c r="BG47" t="s">
        <v>427</v>
      </c>
      <c r="BH47" t="s">
        <v>421</v>
      </c>
      <c r="BI47" t="s">
        <v>428</v>
      </c>
      <c r="BJ47" t="s">
        <v>321</v>
      </c>
      <c r="BK47" t="s">
        <v>321</v>
      </c>
      <c r="BL47" t="s">
        <v>321</v>
      </c>
      <c r="BM47" t="s">
        <v>441</v>
      </c>
      <c r="BN47" t="s">
        <v>422</v>
      </c>
      <c r="BO47">
        <v>30</v>
      </c>
      <c r="BP47" t="s">
        <v>423</v>
      </c>
      <c r="BQ47" t="s">
        <v>424</v>
      </c>
      <c r="BR47" t="s">
        <v>417</v>
      </c>
      <c r="BS47" t="s">
        <v>478</v>
      </c>
      <c r="BT47" t="s">
        <v>453</v>
      </c>
      <c r="BU47" t="s">
        <v>480</v>
      </c>
      <c r="BV47">
        <v>68</v>
      </c>
      <c r="BW47" t="s">
        <v>420</v>
      </c>
      <c r="BX47" t="s">
        <v>421</v>
      </c>
      <c r="BY47" t="s">
        <v>428</v>
      </c>
      <c r="BZ47" t="s">
        <v>321</v>
      </c>
      <c r="CA47" t="s">
        <v>321</v>
      </c>
      <c r="CB47" t="s">
        <v>321</v>
      </c>
      <c r="CC47" t="s">
        <v>441</v>
      </c>
      <c r="CD47" t="s">
        <v>422</v>
      </c>
      <c r="CE47">
        <v>30</v>
      </c>
      <c r="CF47" t="s">
        <v>423</v>
      </c>
      <c r="CG47" t="s">
        <v>424</v>
      </c>
      <c r="CH47" t="s">
        <v>321</v>
      </c>
      <c r="CI47" t="s">
        <v>321</v>
      </c>
      <c r="CJ47" t="s">
        <v>321</v>
      </c>
      <c r="CK47" t="s">
        <v>321</v>
      </c>
      <c r="CL47" t="s">
        <v>321</v>
      </c>
      <c r="CM47" t="s">
        <v>321</v>
      </c>
      <c r="CN47" t="s">
        <v>321</v>
      </c>
      <c r="CO47" t="s">
        <v>321</v>
      </c>
      <c r="CP47" t="s">
        <v>321</v>
      </c>
      <c r="CQ47" t="s">
        <v>321</v>
      </c>
      <c r="CR47" t="s">
        <v>321</v>
      </c>
      <c r="CS47" t="s">
        <v>321</v>
      </c>
      <c r="CT47" t="s">
        <v>321</v>
      </c>
      <c r="CU47" t="s">
        <v>321</v>
      </c>
      <c r="CV47" t="s">
        <v>321</v>
      </c>
      <c r="CW47" t="s">
        <v>321</v>
      </c>
      <c r="CX47">
        <v>278012.0062</v>
      </c>
      <c r="CY47">
        <v>4925216.51</v>
      </c>
      <c r="CZ47">
        <v>44.446184000000002</v>
      </c>
      <c r="DA47">
        <v>-95.789800999999997</v>
      </c>
      <c r="DB47" s="291">
        <v>44447.527777777781</v>
      </c>
      <c r="DC47" t="s">
        <v>231</v>
      </c>
      <c r="DD47" t="s">
        <v>429</v>
      </c>
      <c r="DE47" t="s">
        <v>455</v>
      </c>
      <c r="DF47" t="s">
        <v>456</v>
      </c>
      <c r="DG47" t="s">
        <v>564</v>
      </c>
      <c r="DH47">
        <v>0</v>
      </c>
      <c r="DI47" t="s">
        <v>329</v>
      </c>
      <c r="DJ47">
        <v>100</v>
      </c>
      <c r="DK47">
        <v>8</v>
      </c>
    </row>
    <row r="48" spans="1:115" x14ac:dyDescent="0.25">
      <c r="A48">
        <v>47</v>
      </c>
      <c r="B48" t="s">
        <v>657</v>
      </c>
      <c r="C48">
        <v>1</v>
      </c>
      <c r="D48">
        <v>55</v>
      </c>
      <c r="E48">
        <v>565929</v>
      </c>
      <c r="F48" t="s">
        <v>464</v>
      </c>
      <c r="G48">
        <v>19</v>
      </c>
      <c r="H48">
        <v>34.71</v>
      </c>
      <c r="I48" t="s">
        <v>297</v>
      </c>
      <c r="J48" t="s">
        <v>299</v>
      </c>
      <c r="K48" t="s">
        <v>321</v>
      </c>
      <c r="L48" t="s">
        <v>406</v>
      </c>
      <c r="M48" t="s">
        <v>299</v>
      </c>
      <c r="N48" t="s">
        <v>321</v>
      </c>
      <c r="O48" t="s">
        <v>1072</v>
      </c>
      <c r="P48">
        <v>180450109</v>
      </c>
      <c r="Q48" s="290">
        <v>44959</v>
      </c>
      <c r="R48">
        <v>14</v>
      </c>
      <c r="S48">
        <v>2018</v>
      </c>
      <c r="T48" t="s">
        <v>494</v>
      </c>
      <c r="U48">
        <v>15</v>
      </c>
      <c r="V48" t="s">
        <v>466</v>
      </c>
      <c r="W48" t="s">
        <v>320</v>
      </c>
      <c r="X48">
        <v>0</v>
      </c>
      <c r="Y48">
        <v>2</v>
      </c>
      <c r="Z48" t="s">
        <v>476</v>
      </c>
      <c r="AA48" t="s">
        <v>409</v>
      </c>
      <c r="AB48" t="s">
        <v>452</v>
      </c>
      <c r="AC48" t="s">
        <v>433</v>
      </c>
      <c r="AD48" t="s">
        <v>412</v>
      </c>
      <c r="AE48" t="s">
        <v>321</v>
      </c>
      <c r="AF48" t="s">
        <v>434</v>
      </c>
      <c r="AG48" t="s">
        <v>414</v>
      </c>
      <c r="AH48" t="s">
        <v>477</v>
      </c>
      <c r="AI48" t="s">
        <v>321</v>
      </c>
      <c r="AJ48" t="s">
        <v>471</v>
      </c>
      <c r="AK48" t="s">
        <v>447</v>
      </c>
      <c r="AL48" t="s">
        <v>417</v>
      </c>
      <c r="AM48" t="s">
        <v>425</v>
      </c>
      <c r="AN48" t="s">
        <v>448</v>
      </c>
      <c r="AO48" t="s">
        <v>426</v>
      </c>
      <c r="AP48">
        <v>16</v>
      </c>
      <c r="AQ48" t="s">
        <v>427</v>
      </c>
      <c r="AR48" t="s">
        <v>421</v>
      </c>
      <c r="AS48" t="s">
        <v>532</v>
      </c>
      <c r="AT48" t="s">
        <v>321</v>
      </c>
      <c r="AU48" t="s">
        <v>321</v>
      </c>
      <c r="AV48" t="s">
        <v>321</v>
      </c>
      <c r="AW48" t="s">
        <v>544</v>
      </c>
      <c r="AX48" t="s">
        <v>449</v>
      </c>
      <c r="AY48">
        <v>30</v>
      </c>
      <c r="AZ48" t="s">
        <v>423</v>
      </c>
      <c r="BA48" t="s">
        <v>424</v>
      </c>
      <c r="BB48" t="s">
        <v>417</v>
      </c>
      <c r="BC48" t="s">
        <v>418</v>
      </c>
      <c r="BD48" t="s">
        <v>448</v>
      </c>
      <c r="BE48" t="s">
        <v>426</v>
      </c>
      <c r="BF48">
        <v>36</v>
      </c>
      <c r="BG48" t="s">
        <v>427</v>
      </c>
      <c r="BH48" t="s">
        <v>421</v>
      </c>
      <c r="BI48" t="s">
        <v>428</v>
      </c>
      <c r="BJ48" t="s">
        <v>321</v>
      </c>
      <c r="BK48" t="s">
        <v>321</v>
      </c>
      <c r="BL48" t="s">
        <v>321</v>
      </c>
      <c r="BM48" t="s">
        <v>544</v>
      </c>
      <c r="BN48" t="s">
        <v>449</v>
      </c>
      <c r="BO48">
        <v>30</v>
      </c>
      <c r="BP48" t="s">
        <v>423</v>
      </c>
      <c r="BQ48" t="s">
        <v>424</v>
      </c>
      <c r="BR48" t="s">
        <v>321</v>
      </c>
      <c r="BS48" t="s">
        <v>321</v>
      </c>
      <c r="BT48" t="s">
        <v>321</v>
      </c>
      <c r="BU48" t="s">
        <v>321</v>
      </c>
      <c r="BV48" t="s">
        <v>321</v>
      </c>
      <c r="BW48" t="s">
        <v>321</v>
      </c>
      <c r="BX48" t="s">
        <v>321</v>
      </c>
      <c r="BY48" t="s">
        <v>321</v>
      </c>
      <c r="BZ48" t="s">
        <v>321</v>
      </c>
      <c r="CA48" t="s">
        <v>321</v>
      </c>
      <c r="CB48" t="s">
        <v>321</v>
      </c>
      <c r="CC48" t="s">
        <v>321</v>
      </c>
      <c r="CD48" t="s">
        <v>321</v>
      </c>
      <c r="CE48" t="s">
        <v>321</v>
      </c>
      <c r="CF48" t="s">
        <v>321</v>
      </c>
      <c r="CG48" t="s">
        <v>321</v>
      </c>
      <c r="CH48" t="s">
        <v>321</v>
      </c>
      <c r="CI48" t="s">
        <v>321</v>
      </c>
      <c r="CJ48" t="s">
        <v>321</v>
      </c>
      <c r="CK48" t="s">
        <v>321</v>
      </c>
      <c r="CL48" t="s">
        <v>321</v>
      </c>
      <c r="CM48" t="s">
        <v>321</v>
      </c>
      <c r="CN48" t="s">
        <v>321</v>
      </c>
      <c r="CO48" t="s">
        <v>321</v>
      </c>
      <c r="CP48" t="s">
        <v>321</v>
      </c>
      <c r="CQ48" t="s">
        <v>321</v>
      </c>
      <c r="CR48" t="s">
        <v>321</v>
      </c>
      <c r="CS48" t="s">
        <v>321</v>
      </c>
      <c r="CT48" t="s">
        <v>321</v>
      </c>
      <c r="CU48" t="s">
        <v>321</v>
      </c>
      <c r="CV48" t="s">
        <v>321</v>
      </c>
      <c r="CW48" t="s">
        <v>321</v>
      </c>
      <c r="CX48">
        <v>278019.16460000002</v>
      </c>
      <c r="CY48">
        <v>4925223.3609999996</v>
      </c>
      <c r="CZ48">
        <v>44.446247999999997</v>
      </c>
      <c r="DA48">
        <v>-95.789714000000004</v>
      </c>
      <c r="DB48" s="291">
        <v>43145.631944444445</v>
      </c>
      <c r="DC48" t="s">
        <v>231</v>
      </c>
      <c r="DD48" t="s">
        <v>429</v>
      </c>
      <c r="DE48" t="s">
        <v>455</v>
      </c>
      <c r="DF48" t="s">
        <v>456</v>
      </c>
      <c r="DG48" t="s">
        <v>1071</v>
      </c>
      <c r="DH48">
        <v>0</v>
      </c>
      <c r="DI48" t="s">
        <v>329</v>
      </c>
      <c r="DJ48">
        <v>100</v>
      </c>
      <c r="DK48">
        <v>8</v>
      </c>
    </row>
    <row r="49" spans="1:115" x14ac:dyDescent="0.25">
      <c r="A49">
        <v>48</v>
      </c>
      <c r="B49" t="s">
        <v>657</v>
      </c>
      <c r="C49">
        <v>1</v>
      </c>
      <c r="D49">
        <v>56</v>
      </c>
      <c r="E49">
        <v>11061301</v>
      </c>
      <c r="F49" t="s">
        <v>464</v>
      </c>
      <c r="G49">
        <v>19</v>
      </c>
      <c r="H49">
        <v>34.718000000000004</v>
      </c>
      <c r="I49" t="s">
        <v>297</v>
      </c>
      <c r="J49" t="s">
        <v>299</v>
      </c>
      <c r="K49" t="s">
        <v>321</v>
      </c>
      <c r="L49" t="s">
        <v>406</v>
      </c>
      <c r="M49" t="s">
        <v>299</v>
      </c>
      <c r="N49" t="s">
        <v>321</v>
      </c>
      <c r="O49" t="s">
        <v>1070</v>
      </c>
      <c r="P49">
        <v>152030230</v>
      </c>
      <c r="Q49" s="290">
        <v>45114</v>
      </c>
      <c r="R49">
        <v>22</v>
      </c>
      <c r="S49">
        <v>2015</v>
      </c>
      <c r="T49" t="s">
        <v>494</v>
      </c>
      <c r="U49">
        <v>17</v>
      </c>
      <c r="V49" t="s">
        <v>321</v>
      </c>
      <c r="W49" t="s">
        <v>320</v>
      </c>
      <c r="X49">
        <v>0</v>
      </c>
      <c r="Y49">
        <v>2</v>
      </c>
      <c r="Z49" t="s">
        <v>797</v>
      </c>
      <c r="AA49" t="s">
        <v>409</v>
      </c>
      <c r="AB49" t="s">
        <v>452</v>
      </c>
      <c r="AC49" t="s">
        <v>433</v>
      </c>
      <c r="AD49" t="s">
        <v>412</v>
      </c>
      <c r="AE49" t="s">
        <v>321</v>
      </c>
      <c r="AF49" t="s">
        <v>434</v>
      </c>
      <c r="AG49" t="s">
        <v>414</v>
      </c>
      <c r="AH49" t="s">
        <v>1064</v>
      </c>
      <c r="AI49" t="s">
        <v>1069</v>
      </c>
      <c r="AJ49" t="s">
        <v>471</v>
      </c>
      <c r="AK49" t="s">
        <v>447</v>
      </c>
      <c r="AL49" t="s">
        <v>417</v>
      </c>
      <c r="AM49" t="s">
        <v>425</v>
      </c>
      <c r="AN49" t="s">
        <v>448</v>
      </c>
      <c r="AO49" t="s">
        <v>426</v>
      </c>
      <c r="AP49">
        <v>21</v>
      </c>
      <c r="AQ49" t="s">
        <v>420</v>
      </c>
      <c r="AR49" t="s">
        <v>421</v>
      </c>
      <c r="AS49" t="s">
        <v>538</v>
      </c>
      <c r="AT49" t="s">
        <v>806</v>
      </c>
      <c r="AU49" t="s">
        <v>321</v>
      </c>
      <c r="AV49" t="s">
        <v>321</v>
      </c>
      <c r="AW49" t="s">
        <v>805</v>
      </c>
      <c r="AX49" t="s">
        <v>449</v>
      </c>
      <c r="AY49">
        <v>30</v>
      </c>
      <c r="AZ49" t="s">
        <v>423</v>
      </c>
      <c r="BA49" t="s">
        <v>424</v>
      </c>
      <c r="BB49" t="s">
        <v>417</v>
      </c>
      <c r="BC49" t="s">
        <v>418</v>
      </c>
      <c r="BD49" t="s">
        <v>448</v>
      </c>
      <c r="BE49" t="s">
        <v>426</v>
      </c>
      <c r="BF49">
        <v>38</v>
      </c>
      <c r="BG49" t="s">
        <v>427</v>
      </c>
      <c r="BH49" t="s">
        <v>421</v>
      </c>
      <c r="BI49" t="s">
        <v>428</v>
      </c>
      <c r="BJ49" t="s">
        <v>321</v>
      </c>
      <c r="BK49" t="s">
        <v>321</v>
      </c>
      <c r="BL49" t="s">
        <v>321</v>
      </c>
      <c r="BM49" t="s">
        <v>805</v>
      </c>
      <c r="BN49" t="s">
        <v>449</v>
      </c>
      <c r="BO49">
        <v>30</v>
      </c>
      <c r="BP49" t="s">
        <v>423</v>
      </c>
      <c r="BQ49" t="s">
        <v>424</v>
      </c>
      <c r="BR49" t="s">
        <v>321</v>
      </c>
      <c r="BS49" t="s">
        <v>321</v>
      </c>
      <c r="BT49" t="s">
        <v>321</v>
      </c>
      <c r="BU49" t="s">
        <v>321</v>
      </c>
      <c r="BV49" t="s">
        <v>321</v>
      </c>
      <c r="BW49" t="s">
        <v>321</v>
      </c>
      <c r="BX49" t="s">
        <v>321</v>
      </c>
      <c r="BY49" t="s">
        <v>321</v>
      </c>
      <c r="BZ49" t="s">
        <v>321</v>
      </c>
      <c r="CA49" t="s">
        <v>321</v>
      </c>
      <c r="CB49" t="s">
        <v>321</v>
      </c>
      <c r="CC49" t="s">
        <v>321</v>
      </c>
      <c r="CD49" t="s">
        <v>321</v>
      </c>
      <c r="CE49" t="s">
        <v>321</v>
      </c>
      <c r="CF49" t="s">
        <v>321</v>
      </c>
      <c r="CG49" t="s">
        <v>321</v>
      </c>
      <c r="CH49" t="s">
        <v>321</v>
      </c>
      <c r="CI49" t="s">
        <v>321</v>
      </c>
      <c r="CJ49" t="s">
        <v>321</v>
      </c>
      <c r="CK49" t="s">
        <v>321</v>
      </c>
      <c r="CL49" t="s">
        <v>321</v>
      </c>
      <c r="CM49" t="s">
        <v>321</v>
      </c>
      <c r="CN49" t="s">
        <v>321</v>
      </c>
      <c r="CO49" t="s">
        <v>321</v>
      </c>
      <c r="CP49" t="s">
        <v>321</v>
      </c>
      <c r="CQ49" t="s">
        <v>321</v>
      </c>
      <c r="CR49" t="s">
        <v>321</v>
      </c>
      <c r="CS49" t="s">
        <v>321</v>
      </c>
      <c r="CT49" t="s">
        <v>321</v>
      </c>
      <c r="CU49" t="s">
        <v>321</v>
      </c>
      <c r="CV49" t="s">
        <v>321</v>
      </c>
      <c r="CW49" t="s">
        <v>321</v>
      </c>
      <c r="CX49">
        <v>278028.88660000003</v>
      </c>
      <c r="CY49">
        <v>4925232.6660000002</v>
      </c>
      <c r="CZ49">
        <v>44.446334999999998</v>
      </c>
      <c r="DA49">
        <v>-95.789596000000003</v>
      </c>
      <c r="DB49" s="291">
        <v>42207.736111111109</v>
      </c>
      <c r="DC49" t="s">
        <v>231</v>
      </c>
      <c r="DD49" t="s">
        <v>429</v>
      </c>
      <c r="DE49" t="s">
        <v>430</v>
      </c>
      <c r="DF49" t="s">
        <v>430</v>
      </c>
      <c r="DG49" t="s">
        <v>1068</v>
      </c>
      <c r="DH49">
        <v>0</v>
      </c>
      <c r="DI49" t="s">
        <v>329</v>
      </c>
      <c r="DJ49">
        <v>100</v>
      </c>
      <c r="DK49">
        <v>8</v>
      </c>
    </row>
    <row r="50" spans="1:115" x14ac:dyDescent="0.25">
      <c r="A50">
        <v>49</v>
      </c>
      <c r="B50" t="s">
        <v>657</v>
      </c>
      <c r="C50">
        <v>1</v>
      </c>
      <c r="D50">
        <v>57</v>
      </c>
      <c r="E50">
        <v>11008096</v>
      </c>
      <c r="F50" t="s">
        <v>464</v>
      </c>
      <c r="G50">
        <v>19</v>
      </c>
      <c r="H50">
        <v>34.719000000000001</v>
      </c>
      <c r="I50" t="s">
        <v>297</v>
      </c>
      <c r="J50" t="s">
        <v>299</v>
      </c>
      <c r="K50" t="s">
        <v>321</v>
      </c>
      <c r="L50" t="s">
        <v>406</v>
      </c>
      <c r="M50" t="s">
        <v>299</v>
      </c>
      <c r="N50" t="s">
        <v>321</v>
      </c>
      <c r="O50" t="s">
        <v>1067</v>
      </c>
      <c r="P50">
        <v>143570189</v>
      </c>
      <c r="Q50" s="290">
        <v>45272</v>
      </c>
      <c r="R50">
        <v>23</v>
      </c>
      <c r="S50">
        <v>2014</v>
      </c>
      <c r="T50" t="s">
        <v>407</v>
      </c>
      <c r="U50">
        <v>13</v>
      </c>
      <c r="V50" t="s">
        <v>321</v>
      </c>
      <c r="W50" t="s">
        <v>320</v>
      </c>
      <c r="X50">
        <v>0</v>
      </c>
      <c r="Y50">
        <v>2</v>
      </c>
      <c r="Z50" t="s">
        <v>797</v>
      </c>
      <c r="AA50" t="s">
        <v>409</v>
      </c>
      <c r="AB50" t="s">
        <v>452</v>
      </c>
      <c r="AC50" t="s">
        <v>433</v>
      </c>
      <c r="AD50" t="s">
        <v>446</v>
      </c>
      <c r="AE50" t="s">
        <v>463</v>
      </c>
      <c r="AF50" t="s">
        <v>523</v>
      </c>
      <c r="AG50" t="s">
        <v>414</v>
      </c>
      <c r="AH50" t="s">
        <v>869</v>
      </c>
      <c r="AI50" t="s">
        <v>918</v>
      </c>
      <c r="AJ50" t="s">
        <v>471</v>
      </c>
      <c r="AK50" t="s">
        <v>447</v>
      </c>
      <c r="AL50" t="s">
        <v>417</v>
      </c>
      <c r="AM50" t="s">
        <v>425</v>
      </c>
      <c r="AN50" t="s">
        <v>1041</v>
      </c>
      <c r="AO50" t="s">
        <v>487</v>
      </c>
      <c r="AP50">
        <v>48</v>
      </c>
      <c r="AQ50" t="s">
        <v>427</v>
      </c>
      <c r="AR50" t="s">
        <v>421</v>
      </c>
      <c r="AS50" t="s">
        <v>538</v>
      </c>
      <c r="AT50" t="s">
        <v>806</v>
      </c>
      <c r="AU50" t="s">
        <v>321</v>
      </c>
      <c r="AV50" t="s">
        <v>321</v>
      </c>
      <c r="AW50" t="s">
        <v>321</v>
      </c>
      <c r="AX50" t="s">
        <v>449</v>
      </c>
      <c r="AY50">
        <v>30</v>
      </c>
      <c r="AZ50" t="s">
        <v>423</v>
      </c>
      <c r="BA50" t="s">
        <v>424</v>
      </c>
      <c r="BB50" t="s">
        <v>417</v>
      </c>
      <c r="BC50" t="s">
        <v>418</v>
      </c>
      <c r="BD50" t="s">
        <v>1041</v>
      </c>
      <c r="BE50" t="s">
        <v>487</v>
      </c>
      <c r="BF50">
        <v>18</v>
      </c>
      <c r="BG50" t="s">
        <v>427</v>
      </c>
      <c r="BH50" t="s">
        <v>421</v>
      </c>
      <c r="BI50" t="s">
        <v>428</v>
      </c>
      <c r="BJ50" t="s">
        <v>321</v>
      </c>
      <c r="BK50" t="s">
        <v>321</v>
      </c>
      <c r="BL50" t="s">
        <v>321</v>
      </c>
      <c r="BM50" t="s">
        <v>321</v>
      </c>
      <c r="BN50" t="s">
        <v>449</v>
      </c>
      <c r="BO50">
        <v>30</v>
      </c>
      <c r="BP50" t="s">
        <v>423</v>
      </c>
      <c r="BQ50" t="s">
        <v>424</v>
      </c>
      <c r="BR50" t="s">
        <v>321</v>
      </c>
      <c r="BS50" t="s">
        <v>321</v>
      </c>
      <c r="BT50" t="s">
        <v>321</v>
      </c>
      <c r="BU50" t="s">
        <v>321</v>
      </c>
      <c r="BV50" t="s">
        <v>321</v>
      </c>
      <c r="BW50" t="s">
        <v>321</v>
      </c>
      <c r="BX50" t="s">
        <v>321</v>
      </c>
      <c r="BY50" t="s">
        <v>321</v>
      </c>
      <c r="BZ50" t="s">
        <v>321</v>
      </c>
      <c r="CA50" t="s">
        <v>321</v>
      </c>
      <c r="CB50" t="s">
        <v>321</v>
      </c>
      <c r="CC50" t="s">
        <v>321</v>
      </c>
      <c r="CD50" t="s">
        <v>321</v>
      </c>
      <c r="CE50" t="s">
        <v>321</v>
      </c>
      <c r="CF50" t="s">
        <v>321</v>
      </c>
      <c r="CG50" t="s">
        <v>321</v>
      </c>
      <c r="CH50" t="s">
        <v>321</v>
      </c>
      <c r="CI50" t="s">
        <v>321</v>
      </c>
      <c r="CJ50" t="s">
        <v>321</v>
      </c>
      <c r="CK50" t="s">
        <v>321</v>
      </c>
      <c r="CL50" t="s">
        <v>321</v>
      </c>
      <c r="CM50" t="s">
        <v>321</v>
      </c>
      <c r="CN50" t="s">
        <v>321</v>
      </c>
      <c r="CO50" t="s">
        <v>321</v>
      </c>
      <c r="CP50" t="s">
        <v>321</v>
      </c>
      <c r="CQ50" t="s">
        <v>321</v>
      </c>
      <c r="CR50" t="s">
        <v>321</v>
      </c>
      <c r="CS50" t="s">
        <v>321</v>
      </c>
      <c r="CT50" t="s">
        <v>321</v>
      </c>
      <c r="CU50" t="s">
        <v>321</v>
      </c>
      <c r="CV50" t="s">
        <v>321</v>
      </c>
      <c r="CW50" t="s">
        <v>321</v>
      </c>
      <c r="CX50">
        <v>278030.04930000001</v>
      </c>
      <c r="CY50">
        <v>4925233.7779999999</v>
      </c>
      <c r="CZ50">
        <v>44.446345000000001</v>
      </c>
      <c r="DA50">
        <v>-95.789581999999996</v>
      </c>
      <c r="DB50" s="291">
        <v>41996.550694444442</v>
      </c>
      <c r="DC50" t="s">
        <v>231</v>
      </c>
      <c r="DD50" t="s">
        <v>429</v>
      </c>
      <c r="DE50" t="s">
        <v>430</v>
      </c>
      <c r="DF50" t="s">
        <v>430</v>
      </c>
      <c r="DG50" t="s">
        <v>1066</v>
      </c>
      <c r="DH50">
        <v>0</v>
      </c>
      <c r="DI50" t="s">
        <v>329</v>
      </c>
      <c r="DJ50">
        <v>100</v>
      </c>
      <c r="DK50">
        <v>8</v>
      </c>
    </row>
    <row r="51" spans="1:115" x14ac:dyDescent="0.25">
      <c r="A51">
        <v>50</v>
      </c>
      <c r="B51" t="s">
        <v>657</v>
      </c>
      <c r="C51">
        <v>1</v>
      </c>
      <c r="D51">
        <v>58</v>
      </c>
      <c r="E51">
        <v>11062816</v>
      </c>
      <c r="F51" t="s">
        <v>464</v>
      </c>
      <c r="G51">
        <v>19</v>
      </c>
      <c r="H51">
        <v>34.722000000000001</v>
      </c>
      <c r="I51" t="s">
        <v>297</v>
      </c>
      <c r="J51" t="s">
        <v>299</v>
      </c>
      <c r="K51" t="s">
        <v>321</v>
      </c>
      <c r="L51" t="s">
        <v>406</v>
      </c>
      <c r="M51" t="s">
        <v>299</v>
      </c>
      <c r="N51" t="s">
        <v>321</v>
      </c>
      <c r="O51" t="s">
        <v>1065</v>
      </c>
      <c r="P51">
        <v>152250121</v>
      </c>
      <c r="Q51" s="290">
        <v>45146</v>
      </c>
      <c r="R51">
        <v>13</v>
      </c>
      <c r="S51">
        <v>2015</v>
      </c>
      <c r="T51" t="s">
        <v>458</v>
      </c>
      <c r="U51">
        <v>12</v>
      </c>
      <c r="V51" t="s">
        <v>321</v>
      </c>
      <c r="W51" t="s">
        <v>320</v>
      </c>
      <c r="X51">
        <v>0</v>
      </c>
      <c r="Y51">
        <v>3</v>
      </c>
      <c r="Z51" t="s">
        <v>797</v>
      </c>
      <c r="AA51" t="s">
        <v>409</v>
      </c>
      <c r="AB51" t="s">
        <v>410</v>
      </c>
      <c r="AC51" t="s">
        <v>433</v>
      </c>
      <c r="AD51" t="s">
        <v>446</v>
      </c>
      <c r="AE51" t="s">
        <v>521</v>
      </c>
      <c r="AF51" t="s">
        <v>434</v>
      </c>
      <c r="AG51" t="s">
        <v>414</v>
      </c>
      <c r="AH51" t="s">
        <v>1064</v>
      </c>
      <c r="AI51" t="s">
        <v>808</v>
      </c>
      <c r="AJ51" t="s">
        <v>471</v>
      </c>
      <c r="AK51" t="s">
        <v>447</v>
      </c>
      <c r="AL51" t="s">
        <v>417</v>
      </c>
      <c r="AM51" t="s">
        <v>478</v>
      </c>
      <c r="AN51" t="s">
        <v>1041</v>
      </c>
      <c r="AO51" t="s">
        <v>426</v>
      </c>
      <c r="AP51">
        <v>51</v>
      </c>
      <c r="AQ51" t="s">
        <v>420</v>
      </c>
      <c r="AR51" t="s">
        <v>421</v>
      </c>
      <c r="AS51" t="s">
        <v>538</v>
      </c>
      <c r="AT51" t="s">
        <v>321</v>
      </c>
      <c r="AU51" t="s">
        <v>321</v>
      </c>
      <c r="AV51" t="s">
        <v>321</v>
      </c>
      <c r="AW51" t="s">
        <v>321</v>
      </c>
      <c r="AX51" t="s">
        <v>449</v>
      </c>
      <c r="AY51">
        <v>30</v>
      </c>
      <c r="AZ51" t="s">
        <v>423</v>
      </c>
      <c r="BA51" t="s">
        <v>424</v>
      </c>
      <c r="BB51" t="s">
        <v>417</v>
      </c>
      <c r="BC51" t="s">
        <v>418</v>
      </c>
      <c r="BD51" t="s">
        <v>1041</v>
      </c>
      <c r="BE51" t="s">
        <v>794</v>
      </c>
      <c r="BF51">
        <v>20</v>
      </c>
      <c r="BG51" t="s">
        <v>420</v>
      </c>
      <c r="BH51" t="s">
        <v>421</v>
      </c>
      <c r="BI51" t="s">
        <v>428</v>
      </c>
      <c r="BJ51" t="s">
        <v>321</v>
      </c>
      <c r="BK51" t="s">
        <v>321</v>
      </c>
      <c r="BL51" t="s">
        <v>321</v>
      </c>
      <c r="BM51" t="s">
        <v>321</v>
      </c>
      <c r="BN51" t="s">
        <v>449</v>
      </c>
      <c r="BO51">
        <v>30</v>
      </c>
      <c r="BP51" t="s">
        <v>423</v>
      </c>
      <c r="BQ51" t="s">
        <v>424</v>
      </c>
      <c r="BR51" t="s">
        <v>417</v>
      </c>
      <c r="BS51" t="s">
        <v>425</v>
      </c>
      <c r="BT51" t="s">
        <v>1041</v>
      </c>
      <c r="BU51" t="s">
        <v>794</v>
      </c>
      <c r="BV51">
        <v>20</v>
      </c>
      <c r="BW51" t="s">
        <v>420</v>
      </c>
      <c r="BX51" t="s">
        <v>421</v>
      </c>
      <c r="BY51" t="s">
        <v>428</v>
      </c>
      <c r="BZ51" t="s">
        <v>321</v>
      </c>
      <c r="CA51" t="s">
        <v>321</v>
      </c>
      <c r="CB51" t="s">
        <v>321</v>
      </c>
      <c r="CC51" t="s">
        <v>321</v>
      </c>
      <c r="CD51" t="s">
        <v>449</v>
      </c>
      <c r="CE51">
        <v>30</v>
      </c>
      <c r="CF51" t="s">
        <v>423</v>
      </c>
      <c r="CG51" t="s">
        <v>424</v>
      </c>
      <c r="CH51" t="s">
        <v>321</v>
      </c>
      <c r="CI51" t="s">
        <v>321</v>
      </c>
      <c r="CJ51" t="s">
        <v>321</v>
      </c>
      <c r="CK51" t="s">
        <v>321</v>
      </c>
      <c r="CL51" t="s">
        <v>321</v>
      </c>
      <c r="CM51" t="s">
        <v>321</v>
      </c>
      <c r="CN51" t="s">
        <v>321</v>
      </c>
      <c r="CO51" t="s">
        <v>321</v>
      </c>
      <c r="CP51" t="s">
        <v>321</v>
      </c>
      <c r="CQ51" t="s">
        <v>321</v>
      </c>
      <c r="CR51" t="s">
        <v>321</v>
      </c>
      <c r="CS51" t="s">
        <v>321</v>
      </c>
      <c r="CT51" t="s">
        <v>321</v>
      </c>
      <c r="CU51" t="s">
        <v>321</v>
      </c>
      <c r="CV51" t="s">
        <v>321</v>
      </c>
      <c r="CW51" t="s">
        <v>321</v>
      </c>
      <c r="CX51">
        <v>278033.53730000003</v>
      </c>
      <c r="CY51">
        <v>4925237.1169999996</v>
      </c>
      <c r="CZ51">
        <v>44.446376000000001</v>
      </c>
      <c r="DA51">
        <v>-95.789540000000002</v>
      </c>
      <c r="DB51" s="291">
        <v>42229.510416666664</v>
      </c>
      <c r="DC51" t="s">
        <v>231</v>
      </c>
      <c r="DD51" t="s">
        <v>429</v>
      </c>
      <c r="DE51" t="s">
        <v>430</v>
      </c>
      <c r="DF51" t="s">
        <v>430</v>
      </c>
      <c r="DG51" t="s">
        <v>1063</v>
      </c>
      <c r="DH51">
        <v>0</v>
      </c>
      <c r="DI51" t="s">
        <v>329</v>
      </c>
      <c r="DJ51">
        <v>100</v>
      </c>
      <c r="DK51">
        <v>8</v>
      </c>
    </row>
    <row r="52" spans="1:115" x14ac:dyDescent="0.25">
      <c r="A52">
        <v>51</v>
      </c>
      <c r="B52" t="s">
        <v>657</v>
      </c>
      <c r="C52">
        <v>1</v>
      </c>
      <c r="D52">
        <v>60</v>
      </c>
      <c r="E52">
        <v>728684</v>
      </c>
      <c r="F52" t="s">
        <v>464</v>
      </c>
      <c r="G52">
        <v>68</v>
      </c>
      <c r="H52">
        <v>39.234000000000002</v>
      </c>
      <c r="I52" t="s">
        <v>297</v>
      </c>
      <c r="J52" t="s">
        <v>299</v>
      </c>
      <c r="K52" t="s">
        <v>321</v>
      </c>
      <c r="L52" t="s">
        <v>406</v>
      </c>
      <c r="M52" t="s">
        <v>299</v>
      </c>
      <c r="N52" t="s">
        <v>321</v>
      </c>
      <c r="O52" t="s">
        <v>565</v>
      </c>
      <c r="P52">
        <v>191720202</v>
      </c>
      <c r="Q52" s="290">
        <v>45083</v>
      </c>
      <c r="R52">
        <v>21</v>
      </c>
      <c r="S52">
        <v>2019</v>
      </c>
      <c r="T52" t="s">
        <v>485</v>
      </c>
      <c r="U52">
        <v>19</v>
      </c>
      <c r="V52" t="s">
        <v>450</v>
      </c>
      <c r="W52" t="s">
        <v>320</v>
      </c>
      <c r="X52">
        <v>0</v>
      </c>
      <c r="Y52">
        <v>1</v>
      </c>
      <c r="Z52" t="s">
        <v>321</v>
      </c>
      <c r="AA52" t="s">
        <v>566</v>
      </c>
      <c r="AB52" t="s">
        <v>452</v>
      </c>
      <c r="AC52" t="s">
        <v>433</v>
      </c>
      <c r="AD52" t="s">
        <v>412</v>
      </c>
      <c r="AE52" t="s">
        <v>321</v>
      </c>
      <c r="AF52" t="s">
        <v>434</v>
      </c>
      <c r="AG52" t="s">
        <v>414</v>
      </c>
      <c r="AH52" t="s">
        <v>558</v>
      </c>
      <c r="AI52" t="s">
        <v>477</v>
      </c>
      <c r="AJ52" t="s">
        <v>559</v>
      </c>
      <c r="AK52" t="s">
        <v>436</v>
      </c>
      <c r="AL52" t="s">
        <v>417</v>
      </c>
      <c r="AM52" t="s">
        <v>478</v>
      </c>
      <c r="AN52" t="s">
        <v>453</v>
      </c>
      <c r="AO52" t="s">
        <v>419</v>
      </c>
      <c r="AP52">
        <v>61</v>
      </c>
      <c r="AQ52" t="s">
        <v>420</v>
      </c>
      <c r="AR52" t="s">
        <v>421</v>
      </c>
      <c r="AS52" t="s">
        <v>430</v>
      </c>
      <c r="AT52" t="s">
        <v>321</v>
      </c>
      <c r="AU52" t="s">
        <v>321</v>
      </c>
      <c r="AV52" t="s">
        <v>321</v>
      </c>
      <c r="AW52" t="s">
        <v>441</v>
      </c>
      <c r="AX52" t="s">
        <v>449</v>
      </c>
      <c r="AY52">
        <v>30</v>
      </c>
      <c r="AZ52" t="s">
        <v>423</v>
      </c>
      <c r="BA52" t="s">
        <v>424</v>
      </c>
      <c r="BB52" t="s">
        <v>321</v>
      </c>
      <c r="BC52" t="s">
        <v>321</v>
      </c>
      <c r="BD52" t="s">
        <v>321</v>
      </c>
      <c r="BE52" t="s">
        <v>321</v>
      </c>
      <c r="BF52" t="s">
        <v>321</v>
      </c>
      <c r="BG52" t="s">
        <v>321</v>
      </c>
      <c r="BH52" t="s">
        <v>321</v>
      </c>
      <c r="BI52" t="s">
        <v>321</v>
      </c>
      <c r="BJ52" t="s">
        <v>321</v>
      </c>
      <c r="BK52" t="s">
        <v>321</v>
      </c>
      <c r="BL52" t="s">
        <v>321</v>
      </c>
      <c r="BM52" t="s">
        <v>321</v>
      </c>
      <c r="BN52" t="s">
        <v>321</v>
      </c>
      <c r="BO52" t="s">
        <v>321</v>
      </c>
      <c r="BP52" t="s">
        <v>321</v>
      </c>
      <c r="BQ52" t="s">
        <v>321</v>
      </c>
      <c r="BR52" t="s">
        <v>321</v>
      </c>
      <c r="BS52" t="s">
        <v>321</v>
      </c>
      <c r="BT52" t="s">
        <v>321</v>
      </c>
      <c r="BU52" t="s">
        <v>321</v>
      </c>
      <c r="BV52" t="s">
        <v>321</v>
      </c>
      <c r="BW52" t="s">
        <v>321</v>
      </c>
      <c r="BX52" t="s">
        <v>321</v>
      </c>
      <c r="BY52" t="s">
        <v>321</v>
      </c>
      <c r="BZ52" t="s">
        <v>321</v>
      </c>
      <c r="CA52" t="s">
        <v>321</v>
      </c>
      <c r="CB52" t="s">
        <v>321</v>
      </c>
      <c r="CC52" t="s">
        <v>321</v>
      </c>
      <c r="CD52" t="s">
        <v>321</v>
      </c>
      <c r="CE52" t="s">
        <v>321</v>
      </c>
      <c r="CF52" t="s">
        <v>321</v>
      </c>
      <c r="CG52" t="s">
        <v>321</v>
      </c>
      <c r="CH52" t="s">
        <v>321</v>
      </c>
      <c r="CI52" t="s">
        <v>321</v>
      </c>
      <c r="CJ52" t="s">
        <v>321</v>
      </c>
      <c r="CK52" t="s">
        <v>321</v>
      </c>
      <c r="CL52" t="s">
        <v>321</v>
      </c>
      <c r="CM52" t="s">
        <v>321</v>
      </c>
      <c r="CN52" t="s">
        <v>321</v>
      </c>
      <c r="CO52" t="s">
        <v>321</v>
      </c>
      <c r="CP52" t="s">
        <v>321</v>
      </c>
      <c r="CQ52" t="s">
        <v>321</v>
      </c>
      <c r="CR52" t="s">
        <v>321</v>
      </c>
      <c r="CS52" t="s">
        <v>321</v>
      </c>
      <c r="CT52" t="s">
        <v>321</v>
      </c>
      <c r="CU52" t="s">
        <v>321</v>
      </c>
      <c r="CV52" t="s">
        <v>321</v>
      </c>
      <c r="CW52" t="s">
        <v>321</v>
      </c>
      <c r="CX52">
        <v>278095.33230000001</v>
      </c>
      <c r="CY52">
        <v>4925299.9280000003</v>
      </c>
      <c r="CZ52">
        <v>44.446959999999997</v>
      </c>
      <c r="DA52">
        <v>-95.788791000000003</v>
      </c>
      <c r="DB52" s="291">
        <v>43637.823611111111</v>
      </c>
      <c r="DC52" t="s">
        <v>231</v>
      </c>
      <c r="DD52" t="s">
        <v>429</v>
      </c>
      <c r="DE52" t="s">
        <v>455</v>
      </c>
      <c r="DF52" t="s">
        <v>456</v>
      </c>
      <c r="DG52" t="s">
        <v>567</v>
      </c>
      <c r="DH52">
        <v>0</v>
      </c>
      <c r="DI52" t="s">
        <v>327</v>
      </c>
      <c r="DJ52">
        <v>100</v>
      </c>
      <c r="DK52">
        <v>9</v>
      </c>
    </row>
    <row r="53" spans="1:115" x14ac:dyDescent="0.25">
      <c r="A53">
        <v>52</v>
      </c>
      <c r="B53" t="s">
        <v>657</v>
      </c>
      <c r="C53">
        <v>1</v>
      </c>
      <c r="D53">
        <v>61</v>
      </c>
      <c r="E53">
        <v>524776</v>
      </c>
      <c r="F53" t="s">
        <v>464</v>
      </c>
      <c r="G53">
        <v>19</v>
      </c>
      <c r="H53">
        <v>34.768999999999998</v>
      </c>
      <c r="I53" t="s">
        <v>297</v>
      </c>
      <c r="J53" t="s">
        <v>299</v>
      </c>
      <c r="K53" t="s">
        <v>321</v>
      </c>
      <c r="L53" t="s">
        <v>406</v>
      </c>
      <c r="M53" t="s">
        <v>299</v>
      </c>
      <c r="N53" t="s">
        <v>321</v>
      </c>
      <c r="O53" t="s">
        <v>1062</v>
      </c>
      <c r="P53">
        <v>173470266</v>
      </c>
      <c r="Q53" s="290">
        <v>45272</v>
      </c>
      <c r="R53">
        <v>13</v>
      </c>
      <c r="S53">
        <v>2017</v>
      </c>
      <c r="T53" t="s">
        <v>494</v>
      </c>
      <c r="U53">
        <v>18</v>
      </c>
      <c r="V53" t="s">
        <v>495</v>
      </c>
      <c r="W53" t="s">
        <v>320</v>
      </c>
      <c r="X53">
        <v>0</v>
      </c>
      <c r="Y53">
        <v>2</v>
      </c>
      <c r="Z53" t="s">
        <v>568</v>
      </c>
      <c r="AA53" t="s">
        <v>409</v>
      </c>
      <c r="AB53" t="s">
        <v>452</v>
      </c>
      <c r="AC53" t="s">
        <v>411</v>
      </c>
      <c r="AD53" t="s">
        <v>412</v>
      </c>
      <c r="AE53" t="s">
        <v>321</v>
      </c>
      <c r="AF53" t="s">
        <v>434</v>
      </c>
      <c r="AG53" t="s">
        <v>414</v>
      </c>
      <c r="AH53" t="s">
        <v>477</v>
      </c>
      <c r="AI53" t="s">
        <v>435</v>
      </c>
      <c r="AJ53" t="s">
        <v>471</v>
      </c>
      <c r="AK53" t="s">
        <v>447</v>
      </c>
      <c r="AL53" t="s">
        <v>417</v>
      </c>
      <c r="AM53" t="s">
        <v>425</v>
      </c>
      <c r="AN53" t="s">
        <v>472</v>
      </c>
      <c r="AO53" t="s">
        <v>426</v>
      </c>
      <c r="AP53">
        <v>56</v>
      </c>
      <c r="AQ53" t="s">
        <v>427</v>
      </c>
      <c r="AR53" t="s">
        <v>421</v>
      </c>
      <c r="AS53" t="s">
        <v>440</v>
      </c>
      <c r="AT53" t="s">
        <v>321</v>
      </c>
      <c r="AU53" t="s">
        <v>321</v>
      </c>
      <c r="AV53" t="s">
        <v>321</v>
      </c>
      <c r="AW53" t="s">
        <v>441</v>
      </c>
      <c r="AX53" t="s">
        <v>449</v>
      </c>
      <c r="AY53">
        <v>30</v>
      </c>
      <c r="AZ53" t="s">
        <v>423</v>
      </c>
      <c r="BA53" t="s">
        <v>424</v>
      </c>
      <c r="BB53" t="s">
        <v>417</v>
      </c>
      <c r="BC53" t="s">
        <v>425</v>
      </c>
      <c r="BD53" t="s">
        <v>472</v>
      </c>
      <c r="BE53" t="s">
        <v>480</v>
      </c>
      <c r="BF53">
        <v>63</v>
      </c>
      <c r="BG53" t="s">
        <v>420</v>
      </c>
      <c r="BH53" t="s">
        <v>421</v>
      </c>
      <c r="BI53" t="s">
        <v>428</v>
      </c>
      <c r="BJ53" t="s">
        <v>321</v>
      </c>
      <c r="BK53" t="s">
        <v>321</v>
      </c>
      <c r="BL53" t="s">
        <v>321</v>
      </c>
      <c r="BM53" t="s">
        <v>441</v>
      </c>
      <c r="BN53" t="s">
        <v>449</v>
      </c>
      <c r="BO53">
        <v>30</v>
      </c>
      <c r="BP53" t="s">
        <v>423</v>
      </c>
      <c r="BQ53" t="s">
        <v>424</v>
      </c>
      <c r="BR53" t="s">
        <v>321</v>
      </c>
      <c r="BS53" t="s">
        <v>321</v>
      </c>
      <c r="BT53" t="s">
        <v>321</v>
      </c>
      <c r="BU53" t="s">
        <v>321</v>
      </c>
      <c r="BV53" t="s">
        <v>321</v>
      </c>
      <c r="BW53" t="s">
        <v>321</v>
      </c>
      <c r="BX53" t="s">
        <v>321</v>
      </c>
      <c r="BY53" t="s">
        <v>321</v>
      </c>
      <c r="BZ53" t="s">
        <v>321</v>
      </c>
      <c r="CA53" t="s">
        <v>321</v>
      </c>
      <c r="CB53" t="s">
        <v>321</v>
      </c>
      <c r="CC53" t="s">
        <v>321</v>
      </c>
      <c r="CD53" t="s">
        <v>321</v>
      </c>
      <c r="CE53" t="s">
        <v>321</v>
      </c>
      <c r="CF53" t="s">
        <v>321</v>
      </c>
      <c r="CG53" t="s">
        <v>321</v>
      </c>
      <c r="CH53" t="s">
        <v>321</v>
      </c>
      <c r="CI53" t="s">
        <v>321</v>
      </c>
      <c r="CJ53" t="s">
        <v>321</v>
      </c>
      <c r="CK53" t="s">
        <v>321</v>
      </c>
      <c r="CL53" t="s">
        <v>321</v>
      </c>
      <c r="CM53" t="s">
        <v>321</v>
      </c>
      <c r="CN53" t="s">
        <v>321</v>
      </c>
      <c r="CO53" t="s">
        <v>321</v>
      </c>
      <c r="CP53" t="s">
        <v>321</v>
      </c>
      <c r="CQ53" t="s">
        <v>321</v>
      </c>
      <c r="CR53" t="s">
        <v>321</v>
      </c>
      <c r="CS53" t="s">
        <v>321</v>
      </c>
      <c r="CT53" t="s">
        <v>321</v>
      </c>
      <c r="CU53" t="s">
        <v>321</v>
      </c>
      <c r="CV53" t="s">
        <v>321</v>
      </c>
      <c r="CW53" t="s">
        <v>321</v>
      </c>
      <c r="CX53">
        <v>278088.48050000001</v>
      </c>
      <c r="CY53">
        <v>4925289.6720000003</v>
      </c>
      <c r="CZ53">
        <v>44.446865000000003</v>
      </c>
      <c r="DA53">
        <v>-95.788871999999998</v>
      </c>
      <c r="DB53" s="291">
        <v>43082.777777777781</v>
      </c>
      <c r="DC53" t="s">
        <v>231</v>
      </c>
      <c r="DD53" t="s">
        <v>429</v>
      </c>
      <c r="DE53" t="s">
        <v>455</v>
      </c>
      <c r="DF53" t="s">
        <v>456</v>
      </c>
      <c r="DG53" t="s">
        <v>1061</v>
      </c>
      <c r="DH53">
        <v>0</v>
      </c>
      <c r="DI53" t="s">
        <v>327</v>
      </c>
      <c r="DJ53">
        <v>100</v>
      </c>
      <c r="DK53">
        <v>9</v>
      </c>
    </row>
    <row r="54" spans="1:115" x14ac:dyDescent="0.25">
      <c r="A54">
        <v>53</v>
      </c>
      <c r="B54" t="s">
        <v>657</v>
      </c>
      <c r="C54">
        <v>1</v>
      </c>
      <c r="D54">
        <v>62</v>
      </c>
      <c r="E54">
        <v>519660</v>
      </c>
      <c r="F54" t="s">
        <v>464</v>
      </c>
      <c r="G54">
        <v>19</v>
      </c>
      <c r="H54">
        <v>34.771999999999998</v>
      </c>
      <c r="I54" t="s">
        <v>297</v>
      </c>
      <c r="J54" t="s">
        <v>299</v>
      </c>
      <c r="K54" t="s">
        <v>321</v>
      </c>
      <c r="L54" t="s">
        <v>406</v>
      </c>
      <c r="M54" t="s">
        <v>299</v>
      </c>
      <c r="N54" t="s">
        <v>321</v>
      </c>
      <c r="O54" t="s">
        <v>1060</v>
      </c>
      <c r="P54">
        <v>173290045</v>
      </c>
      <c r="Q54" s="290">
        <v>45241</v>
      </c>
      <c r="R54">
        <v>25</v>
      </c>
      <c r="S54">
        <v>2017</v>
      </c>
      <c r="T54" t="s">
        <v>506</v>
      </c>
      <c r="U54">
        <v>13</v>
      </c>
      <c r="V54" t="s">
        <v>422</v>
      </c>
      <c r="W54" t="s">
        <v>320</v>
      </c>
      <c r="X54">
        <v>0</v>
      </c>
      <c r="Y54">
        <v>2</v>
      </c>
      <c r="Z54" t="s">
        <v>451</v>
      </c>
      <c r="AA54" t="s">
        <v>409</v>
      </c>
      <c r="AB54" t="s">
        <v>460</v>
      </c>
      <c r="AC54" t="s">
        <v>433</v>
      </c>
      <c r="AD54" t="s">
        <v>412</v>
      </c>
      <c r="AE54" t="s">
        <v>321</v>
      </c>
      <c r="AF54" t="s">
        <v>434</v>
      </c>
      <c r="AG54" t="s">
        <v>414</v>
      </c>
      <c r="AH54" t="s">
        <v>477</v>
      </c>
      <c r="AI54" t="s">
        <v>321</v>
      </c>
      <c r="AJ54" t="s">
        <v>471</v>
      </c>
      <c r="AK54" t="s">
        <v>463</v>
      </c>
      <c r="AL54" t="s">
        <v>417</v>
      </c>
      <c r="AM54" t="s">
        <v>425</v>
      </c>
      <c r="AN54" t="s">
        <v>472</v>
      </c>
      <c r="AO54" t="s">
        <v>502</v>
      </c>
      <c r="AP54">
        <v>37</v>
      </c>
      <c r="AQ54" t="s">
        <v>420</v>
      </c>
      <c r="AR54" t="s">
        <v>421</v>
      </c>
      <c r="AS54" t="s">
        <v>462</v>
      </c>
      <c r="AT54" t="s">
        <v>321</v>
      </c>
      <c r="AU54" t="s">
        <v>321</v>
      </c>
      <c r="AV54" t="s">
        <v>321</v>
      </c>
      <c r="AW54" t="s">
        <v>441</v>
      </c>
      <c r="AX54" t="s">
        <v>422</v>
      </c>
      <c r="AY54">
        <v>30</v>
      </c>
      <c r="AZ54" t="s">
        <v>423</v>
      </c>
      <c r="BA54" t="s">
        <v>424</v>
      </c>
      <c r="BB54" t="s">
        <v>417</v>
      </c>
      <c r="BC54" t="s">
        <v>425</v>
      </c>
      <c r="BD54" t="s">
        <v>472</v>
      </c>
      <c r="BE54" t="s">
        <v>487</v>
      </c>
      <c r="BF54">
        <v>83</v>
      </c>
      <c r="BG54" t="s">
        <v>427</v>
      </c>
      <c r="BH54" t="s">
        <v>421</v>
      </c>
      <c r="BI54" t="s">
        <v>428</v>
      </c>
      <c r="BJ54" t="s">
        <v>321</v>
      </c>
      <c r="BK54" t="s">
        <v>321</v>
      </c>
      <c r="BL54" t="s">
        <v>321</v>
      </c>
      <c r="BM54" t="s">
        <v>441</v>
      </c>
      <c r="BN54" t="s">
        <v>422</v>
      </c>
      <c r="BO54">
        <v>30</v>
      </c>
      <c r="BP54" t="s">
        <v>423</v>
      </c>
      <c r="BQ54" t="s">
        <v>424</v>
      </c>
      <c r="BR54" t="s">
        <v>321</v>
      </c>
      <c r="BS54" t="s">
        <v>321</v>
      </c>
      <c r="BT54" t="s">
        <v>321</v>
      </c>
      <c r="BU54" t="s">
        <v>321</v>
      </c>
      <c r="BV54" t="s">
        <v>321</v>
      </c>
      <c r="BW54" t="s">
        <v>321</v>
      </c>
      <c r="BX54" t="s">
        <v>321</v>
      </c>
      <c r="BY54" t="s">
        <v>321</v>
      </c>
      <c r="BZ54" t="s">
        <v>321</v>
      </c>
      <c r="CA54" t="s">
        <v>321</v>
      </c>
      <c r="CB54" t="s">
        <v>321</v>
      </c>
      <c r="CC54" t="s">
        <v>321</v>
      </c>
      <c r="CD54" t="s">
        <v>321</v>
      </c>
      <c r="CE54" t="s">
        <v>321</v>
      </c>
      <c r="CF54" t="s">
        <v>321</v>
      </c>
      <c r="CG54" t="s">
        <v>321</v>
      </c>
      <c r="CH54" t="s">
        <v>321</v>
      </c>
      <c r="CI54" t="s">
        <v>321</v>
      </c>
      <c r="CJ54" t="s">
        <v>321</v>
      </c>
      <c r="CK54" t="s">
        <v>321</v>
      </c>
      <c r="CL54" t="s">
        <v>321</v>
      </c>
      <c r="CM54" t="s">
        <v>321</v>
      </c>
      <c r="CN54" t="s">
        <v>321</v>
      </c>
      <c r="CO54" t="s">
        <v>321</v>
      </c>
      <c r="CP54" t="s">
        <v>321</v>
      </c>
      <c r="CQ54" t="s">
        <v>321</v>
      </c>
      <c r="CR54" t="s">
        <v>321</v>
      </c>
      <c r="CS54" t="s">
        <v>321</v>
      </c>
      <c r="CT54" t="s">
        <v>321</v>
      </c>
      <c r="CU54" t="s">
        <v>321</v>
      </c>
      <c r="CV54" t="s">
        <v>321</v>
      </c>
      <c r="CW54" t="s">
        <v>321</v>
      </c>
      <c r="CX54">
        <v>278091.86359999998</v>
      </c>
      <c r="CY54">
        <v>4925292.9079999998</v>
      </c>
      <c r="CZ54">
        <v>44.446896000000002</v>
      </c>
      <c r="DA54">
        <v>-95.788831000000002</v>
      </c>
      <c r="DB54" s="291">
        <v>43064.5625</v>
      </c>
      <c r="DC54" t="s">
        <v>231</v>
      </c>
      <c r="DD54" t="s">
        <v>429</v>
      </c>
      <c r="DE54" t="s">
        <v>455</v>
      </c>
      <c r="DF54" t="s">
        <v>456</v>
      </c>
      <c r="DG54" t="s">
        <v>1059</v>
      </c>
      <c r="DH54">
        <v>0</v>
      </c>
      <c r="DI54" t="s">
        <v>327</v>
      </c>
      <c r="DJ54">
        <v>100</v>
      </c>
      <c r="DK54">
        <v>9</v>
      </c>
    </row>
    <row r="55" spans="1:115" x14ac:dyDescent="0.25">
      <c r="A55">
        <v>54</v>
      </c>
      <c r="B55" t="s">
        <v>657</v>
      </c>
      <c r="C55">
        <v>1</v>
      </c>
      <c r="D55">
        <v>63</v>
      </c>
      <c r="E55">
        <v>760199</v>
      </c>
      <c r="F55" t="s">
        <v>464</v>
      </c>
      <c r="G55">
        <v>68</v>
      </c>
      <c r="H55">
        <v>39.234000000000002</v>
      </c>
      <c r="I55" t="s">
        <v>297</v>
      </c>
      <c r="J55" t="s">
        <v>299</v>
      </c>
      <c r="K55" t="s">
        <v>321</v>
      </c>
      <c r="L55" t="s">
        <v>406</v>
      </c>
      <c r="M55" t="s">
        <v>299</v>
      </c>
      <c r="N55" t="s">
        <v>321</v>
      </c>
      <c r="O55" s="292">
        <v>202000000000</v>
      </c>
      <c r="P55">
        <v>193100224</v>
      </c>
      <c r="Q55" s="290">
        <v>45241</v>
      </c>
      <c r="R55">
        <v>6</v>
      </c>
      <c r="S55">
        <v>2019</v>
      </c>
      <c r="T55" t="s">
        <v>494</v>
      </c>
      <c r="U55">
        <v>11</v>
      </c>
      <c r="V55" t="s">
        <v>495</v>
      </c>
      <c r="W55" t="s">
        <v>320</v>
      </c>
      <c r="X55">
        <v>0</v>
      </c>
      <c r="Y55">
        <v>2</v>
      </c>
      <c r="Z55" t="s">
        <v>476</v>
      </c>
      <c r="AA55" t="s">
        <v>409</v>
      </c>
      <c r="AB55" t="s">
        <v>452</v>
      </c>
      <c r="AC55" t="s">
        <v>433</v>
      </c>
      <c r="AD55" t="s">
        <v>446</v>
      </c>
      <c r="AE55" t="s">
        <v>321</v>
      </c>
      <c r="AF55" t="s">
        <v>523</v>
      </c>
      <c r="AG55" t="s">
        <v>414</v>
      </c>
      <c r="AH55" t="s">
        <v>558</v>
      </c>
      <c r="AI55" t="s">
        <v>477</v>
      </c>
      <c r="AJ55" t="s">
        <v>559</v>
      </c>
      <c r="AK55" t="s">
        <v>447</v>
      </c>
      <c r="AL55" t="s">
        <v>417</v>
      </c>
      <c r="AM55" t="s">
        <v>425</v>
      </c>
      <c r="AN55" t="s">
        <v>472</v>
      </c>
      <c r="AO55" t="s">
        <v>426</v>
      </c>
      <c r="AP55">
        <v>63</v>
      </c>
      <c r="AQ55" t="s">
        <v>427</v>
      </c>
      <c r="AR55" t="s">
        <v>421</v>
      </c>
      <c r="AS55" t="s">
        <v>428</v>
      </c>
      <c r="AT55" t="s">
        <v>321</v>
      </c>
      <c r="AU55" t="s">
        <v>321</v>
      </c>
      <c r="AV55" t="s">
        <v>321</v>
      </c>
      <c r="AW55" t="s">
        <v>441</v>
      </c>
      <c r="AX55" t="s">
        <v>449</v>
      </c>
      <c r="AY55">
        <v>30</v>
      </c>
      <c r="AZ55" t="s">
        <v>423</v>
      </c>
      <c r="BA55" t="s">
        <v>424</v>
      </c>
      <c r="BB55" t="s">
        <v>504</v>
      </c>
      <c r="BC55" t="s">
        <v>478</v>
      </c>
      <c r="BD55" t="s">
        <v>472</v>
      </c>
      <c r="BE55" t="s">
        <v>426</v>
      </c>
      <c r="BF55" t="s">
        <v>321</v>
      </c>
      <c r="BG55" t="s">
        <v>321</v>
      </c>
      <c r="BH55" t="s">
        <v>321</v>
      </c>
      <c r="BI55" t="s">
        <v>321</v>
      </c>
      <c r="BJ55" t="s">
        <v>321</v>
      </c>
      <c r="BK55" t="s">
        <v>321</v>
      </c>
      <c r="BL55" t="s">
        <v>321</v>
      </c>
      <c r="BM55" t="s">
        <v>441</v>
      </c>
      <c r="BN55" t="s">
        <v>449</v>
      </c>
      <c r="BO55">
        <v>30</v>
      </c>
      <c r="BP55" t="s">
        <v>423</v>
      </c>
      <c r="BQ55" t="s">
        <v>424</v>
      </c>
      <c r="BR55" t="s">
        <v>321</v>
      </c>
      <c r="BS55" t="s">
        <v>321</v>
      </c>
      <c r="BT55" t="s">
        <v>321</v>
      </c>
      <c r="BU55" t="s">
        <v>321</v>
      </c>
      <c r="BV55" t="s">
        <v>321</v>
      </c>
      <c r="BW55" t="s">
        <v>321</v>
      </c>
      <c r="BX55" t="s">
        <v>321</v>
      </c>
      <c r="BY55" t="s">
        <v>321</v>
      </c>
      <c r="BZ55" t="s">
        <v>321</v>
      </c>
      <c r="CA55" t="s">
        <v>321</v>
      </c>
      <c r="CB55" t="s">
        <v>321</v>
      </c>
      <c r="CC55" t="s">
        <v>321</v>
      </c>
      <c r="CD55" t="s">
        <v>321</v>
      </c>
      <c r="CE55" t="s">
        <v>321</v>
      </c>
      <c r="CF55" t="s">
        <v>321</v>
      </c>
      <c r="CG55" t="s">
        <v>321</v>
      </c>
      <c r="CH55" t="s">
        <v>321</v>
      </c>
      <c r="CI55" t="s">
        <v>321</v>
      </c>
      <c r="CJ55" t="s">
        <v>321</v>
      </c>
      <c r="CK55" t="s">
        <v>321</v>
      </c>
      <c r="CL55" t="s">
        <v>321</v>
      </c>
      <c r="CM55" t="s">
        <v>321</v>
      </c>
      <c r="CN55" t="s">
        <v>321</v>
      </c>
      <c r="CO55" t="s">
        <v>321</v>
      </c>
      <c r="CP55" t="s">
        <v>321</v>
      </c>
      <c r="CQ55" t="s">
        <v>321</v>
      </c>
      <c r="CR55" t="s">
        <v>321</v>
      </c>
      <c r="CS55" t="s">
        <v>321</v>
      </c>
      <c r="CT55" t="s">
        <v>321</v>
      </c>
      <c r="CU55" t="s">
        <v>321</v>
      </c>
      <c r="CV55" t="s">
        <v>321</v>
      </c>
      <c r="CW55" t="s">
        <v>321</v>
      </c>
      <c r="CX55">
        <v>278095.94569999998</v>
      </c>
      <c r="CY55">
        <v>4925299.29</v>
      </c>
      <c r="CZ55">
        <v>44.446953999999998</v>
      </c>
      <c r="DA55">
        <v>-95.788782999999995</v>
      </c>
      <c r="DB55" s="291">
        <v>43775.46875</v>
      </c>
      <c r="DC55" t="s">
        <v>231</v>
      </c>
      <c r="DD55" t="s">
        <v>429</v>
      </c>
      <c r="DE55" t="s">
        <v>455</v>
      </c>
      <c r="DF55" t="s">
        <v>456</v>
      </c>
      <c r="DG55" t="s">
        <v>569</v>
      </c>
      <c r="DH55">
        <v>0</v>
      </c>
      <c r="DI55" t="s">
        <v>327</v>
      </c>
      <c r="DJ55">
        <v>100</v>
      </c>
      <c r="DK55">
        <v>9</v>
      </c>
    </row>
    <row r="56" spans="1:115" x14ac:dyDescent="0.25">
      <c r="A56">
        <v>55</v>
      </c>
      <c r="B56" t="s">
        <v>657</v>
      </c>
      <c r="C56">
        <v>1</v>
      </c>
      <c r="D56">
        <v>64</v>
      </c>
      <c r="E56">
        <v>593745</v>
      </c>
      <c r="F56" t="s">
        <v>464</v>
      </c>
      <c r="G56">
        <v>19</v>
      </c>
      <c r="H56">
        <v>34.776000000000003</v>
      </c>
      <c r="I56" t="s">
        <v>297</v>
      </c>
      <c r="J56" t="s">
        <v>299</v>
      </c>
      <c r="K56" t="s">
        <v>321</v>
      </c>
      <c r="L56" t="s">
        <v>406</v>
      </c>
      <c r="M56" t="s">
        <v>299</v>
      </c>
      <c r="N56" t="s">
        <v>321</v>
      </c>
      <c r="O56" t="s">
        <v>1058</v>
      </c>
      <c r="P56">
        <v>181170029</v>
      </c>
      <c r="Q56" s="290">
        <v>45020</v>
      </c>
      <c r="R56">
        <v>27</v>
      </c>
      <c r="S56">
        <v>2018</v>
      </c>
      <c r="T56" t="s">
        <v>485</v>
      </c>
      <c r="U56">
        <v>11</v>
      </c>
      <c r="V56" t="s">
        <v>495</v>
      </c>
      <c r="W56" t="s">
        <v>320</v>
      </c>
      <c r="X56">
        <v>0</v>
      </c>
      <c r="Y56">
        <v>1</v>
      </c>
      <c r="Z56" t="s">
        <v>321</v>
      </c>
      <c r="AA56" t="s">
        <v>566</v>
      </c>
      <c r="AB56" t="s">
        <v>452</v>
      </c>
      <c r="AC56" t="s">
        <v>433</v>
      </c>
      <c r="AD56" t="s">
        <v>412</v>
      </c>
      <c r="AE56" t="s">
        <v>321</v>
      </c>
      <c r="AF56" t="s">
        <v>434</v>
      </c>
      <c r="AG56" t="s">
        <v>414</v>
      </c>
      <c r="AH56" t="s">
        <v>477</v>
      </c>
      <c r="AI56" t="s">
        <v>321</v>
      </c>
      <c r="AJ56" t="s">
        <v>471</v>
      </c>
      <c r="AK56" t="s">
        <v>436</v>
      </c>
      <c r="AL56" t="s">
        <v>417</v>
      </c>
      <c r="AM56" t="s">
        <v>437</v>
      </c>
      <c r="AN56" t="s">
        <v>472</v>
      </c>
      <c r="AO56" t="s">
        <v>419</v>
      </c>
      <c r="AP56">
        <v>56</v>
      </c>
      <c r="AQ56" t="s">
        <v>420</v>
      </c>
      <c r="AR56" t="s">
        <v>421</v>
      </c>
      <c r="AS56" t="s">
        <v>428</v>
      </c>
      <c r="AT56" t="s">
        <v>321</v>
      </c>
      <c r="AU56" t="s">
        <v>321</v>
      </c>
      <c r="AV56" t="s">
        <v>321</v>
      </c>
      <c r="AW56" t="s">
        <v>441</v>
      </c>
      <c r="AX56" t="s">
        <v>449</v>
      </c>
      <c r="AY56">
        <v>30</v>
      </c>
      <c r="AZ56" t="s">
        <v>423</v>
      </c>
      <c r="BA56" t="s">
        <v>424</v>
      </c>
      <c r="BB56" t="s">
        <v>321</v>
      </c>
      <c r="BC56" t="s">
        <v>321</v>
      </c>
      <c r="BD56" t="s">
        <v>321</v>
      </c>
      <c r="BE56" t="s">
        <v>321</v>
      </c>
      <c r="BF56" t="s">
        <v>321</v>
      </c>
      <c r="BG56" t="s">
        <v>321</v>
      </c>
      <c r="BH56" t="s">
        <v>321</v>
      </c>
      <c r="BI56" t="s">
        <v>321</v>
      </c>
      <c r="BJ56" t="s">
        <v>321</v>
      </c>
      <c r="BK56" t="s">
        <v>321</v>
      </c>
      <c r="BL56" t="s">
        <v>321</v>
      </c>
      <c r="BM56" t="s">
        <v>321</v>
      </c>
      <c r="BN56" t="s">
        <v>321</v>
      </c>
      <c r="BO56" t="s">
        <v>321</v>
      </c>
      <c r="BP56" t="s">
        <v>321</v>
      </c>
      <c r="BQ56" t="s">
        <v>321</v>
      </c>
      <c r="BR56" t="s">
        <v>321</v>
      </c>
      <c r="BS56" t="s">
        <v>321</v>
      </c>
      <c r="BT56" t="s">
        <v>321</v>
      </c>
      <c r="BU56" t="s">
        <v>321</v>
      </c>
      <c r="BV56" t="s">
        <v>321</v>
      </c>
      <c r="BW56" t="s">
        <v>321</v>
      </c>
      <c r="BX56" t="s">
        <v>321</v>
      </c>
      <c r="BY56" t="s">
        <v>321</v>
      </c>
      <c r="BZ56" t="s">
        <v>321</v>
      </c>
      <c r="CA56" t="s">
        <v>321</v>
      </c>
      <c r="CB56" t="s">
        <v>321</v>
      </c>
      <c r="CC56" t="s">
        <v>321</v>
      </c>
      <c r="CD56" t="s">
        <v>321</v>
      </c>
      <c r="CE56" t="s">
        <v>321</v>
      </c>
      <c r="CF56" t="s">
        <v>321</v>
      </c>
      <c r="CG56" t="s">
        <v>321</v>
      </c>
      <c r="CH56" t="s">
        <v>321</v>
      </c>
      <c r="CI56" t="s">
        <v>321</v>
      </c>
      <c r="CJ56" t="s">
        <v>321</v>
      </c>
      <c r="CK56" t="s">
        <v>321</v>
      </c>
      <c r="CL56" t="s">
        <v>321</v>
      </c>
      <c r="CM56" t="s">
        <v>321</v>
      </c>
      <c r="CN56" t="s">
        <v>321</v>
      </c>
      <c r="CO56" t="s">
        <v>321</v>
      </c>
      <c r="CP56" t="s">
        <v>321</v>
      </c>
      <c r="CQ56" t="s">
        <v>321</v>
      </c>
      <c r="CR56" t="s">
        <v>321</v>
      </c>
      <c r="CS56" t="s">
        <v>321</v>
      </c>
      <c r="CT56" t="s">
        <v>321</v>
      </c>
      <c r="CU56" t="s">
        <v>321</v>
      </c>
      <c r="CV56" t="s">
        <v>321</v>
      </c>
      <c r="CW56" t="s">
        <v>321</v>
      </c>
      <c r="CX56">
        <v>278096.15759999998</v>
      </c>
      <c r="CY56">
        <v>4925297.0149999997</v>
      </c>
      <c r="CZ56">
        <v>44.446933999999999</v>
      </c>
      <c r="DA56">
        <v>-95.788779000000005</v>
      </c>
      <c r="DB56" s="291">
        <v>43217.461805555555</v>
      </c>
      <c r="DC56" t="s">
        <v>231</v>
      </c>
      <c r="DD56" t="s">
        <v>429</v>
      </c>
      <c r="DE56" t="s">
        <v>455</v>
      </c>
      <c r="DF56" t="s">
        <v>456</v>
      </c>
      <c r="DG56" t="s">
        <v>1057</v>
      </c>
      <c r="DH56">
        <v>0</v>
      </c>
      <c r="DI56" t="s">
        <v>327</v>
      </c>
      <c r="DJ56">
        <v>100</v>
      </c>
      <c r="DK56">
        <v>9</v>
      </c>
    </row>
    <row r="57" spans="1:115" x14ac:dyDescent="0.25">
      <c r="A57">
        <v>56</v>
      </c>
      <c r="B57" t="s">
        <v>657</v>
      </c>
      <c r="C57">
        <v>1</v>
      </c>
      <c r="D57">
        <v>65</v>
      </c>
      <c r="E57">
        <v>374529</v>
      </c>
      <c r="F57" t="s">
        <v>464</v>
      </c>
      <c r="G57">
        <v>19</v>
      </c>
      <c r="H57">
        <v>34.776000000000003</v>
      </c>
      <c r="I57" t="s">
        <v>297</v>
      </c>
      <c r="J57" t="s">
        <v>299</v>
      </c>
      <c r="K57" t="s">
        <v>321</v>
      </c>
      <c r="L57" t="s">
        <v>406</v>
      </c>
      <c r="M57" t="s">
        <v>299</v>
      </c>
      <c r="N57" t="s">
        <v>321</v>
      </c>
      <c r="O57" t="s">
        <v>1056</v>
      </c>
      <c r="P57">
        <v>162390156</v>
      </c>
      <c r="Q57" s="290">
        <v>45146</v>
      </c>
      <c r="R57">
        <v>26</v>
      </c>
      <c r="S57">
        <v>2016</v>
      </c>
      <c r="T57" t="s">
        <v>485</v>
      </c>
      <c r="U57">
        <v>20</v>
      </c>
      <c r="V57" t="s">
        <v>450</v>
      </c>
      <c r="W57" t="s">
        <v>318</v>
      </c>
      <c r="X57">
        <v>0</v>
      </c>
      <c r="Y57">
        <v>2</v>
      </c>
      <c r="Z57" t="s">
        <v>451</v>
      </c>
      <c r="AA57" t="s">
        <v>409</v>
      </c>
      <c r="AB57" t="s">
        <v>452</v>
      </c>
      <c r="AC57" t="s">
        <v>547</v>
      </c>
      <c r="AD57" t="s">
        <v>412</v>
      </c>
      <c r="AE57" t="s">
        <v>321</v>
      </c>
      <c r="AF57" t="s">
        <v>434</v>
      </c>
      <c r="AG57" t="s">
        <v>414</v>
      </c>
      <c r="AH57" t="s">
        <v>477</v>
      </c>
      <c r="AI57" t="s">
        <v>321</v>
      </c>
      <c r="AJ57" t="s">
        <v>471</v>
      </c>
      <c r="AK57" t="s">
        <v>486</v>
      </c>
      <c r="AL57" t="s">
        <v>417</v>
      </c>
      <c r="AM57" t="s">
        <v>418</v>
      </c>
      <c r="AN57" t="s">
        <v>453</v>
      </c>
      <c r="AO57" t="s">
        <v>426</v>
      </c>
      <c r="AP57">
        <v>54</v>
      </c>
      <c r="AQ57" t="s">
        <v>420</v>
      </c>
      <c r="AR57" t="s">
        <v>421</v>
      </c>
      <c r="AS57" t="s">
        <v>428</v>
      </c>
      <c r="AT57" t="s">
        <v>321</v>
      </c>
      <c r="AU57" t="s">
        <v>321</v>
      </c>
      <c r="AV57" t="s">
        <v>321</v>
      </c>
      <c r="AW57" t="s">
        <v>441</v>
      </c>
      <c r="AX57" t="s">
        <v>449</v>
      </c>
      <c r="AY57">
        <v>30</v>
      </c>
      <c r="AZ57" t="s">
        <v>423</v>
      </c>
      <c r="BA57" t="s">
        <v>424</v>
      </c>
      <c r="BB57" t="s">
        <v>417</v>
      </c>
      <c r="BC57" t="s">
        <v>425</v>
      </c>
      <c r="BD57" t="s">
        <v>472</v>
      </c>
      <c r="BE57" t="s">
        <v>487</v>
      </c>
      <c r="BF57">
        <v>18</v>
      </c>
      <c r="BG57" t="s">
        <v>427</v>
      </c>
      <c r="BH57" t="s">
        <v>421</v>
      </c>
      <c r="BI57" t="s">
        <v>454</v>
      </c>
      <c r="BJ57" t="s">
        <v>321</v>
      </c>
      <c r="BK57" t="s">
        <v>321</v>
      </c>
      <c r="BL57" t="s">
        <v>321</v>
      </c>
      <c r="BM57" t="s">
        <v>441</v>
      </c>
      <c r="BN57" t="s">
        <v>449</v>
      </c>
      <c r="BO57">
        <v>30</v>
      </c>
      <c r="BP57" t="s">
        <v>423</v>
      </c>
      <c r="BQ57" t="s">
        <v>424</v>
      </c>
      <c r="BR57" t="s">
        <v>321</v>
      </c>
      <c r="BS57" t="s">
        <v>321</v>
      </c>
      <c r="BT57" t="s">
        <v>321</v>
      </c>
      <c r="BU57" t="s">
        <v>321</v>
      </c>
      <c r="BV57" t="s">
        <v>321</v>
      </c>
      <c r="BW57" t="s">
        <v>321</v>
      </c>
      <c r="BX57" t="s">
        <v>321</v>
      </c>
      <c r="BY57" t="s">
        <v>321</v>
      </c>
      <c r="BZ57" t="s">
        <v>321</v>
      </c>
      <c r="CA57" t="s">
        <v>321</v>
      </c>
      <c r="CB57" t="s">
        <v>321</v>
      </c>
      <c r="CC57" t="s">
        <v>321</v>
      </c>
      <c r="CD57" t="s">
        <v>321</v>
      </c>
      <c r="CE57" t="s">
        <v>321</v>
      </c>
      <c r="CF57" t="s">
        <v>321</v>
      </c>
      <c r="CG57" t="s">
        <v>321</v>
      </c>
      <c r="CH57" t="s">
        <v>321</v>
      </c>
      <c r="CI57" t="s">
        <v>321</v>
      </c>
      <c r="CJ57" t="s">
        <v>321</v>
      </c>
      <c r="CK57" t="s">
        <v>321</v>
      </c>
      <c r="CL57" t="s">
        <v>321</v>
      </c>
      <c r="CM57" t="s">
        <v>321</v>
      </c>
      <c r="CN57" t="s">
        <v>321</v>
      </c>
      <c r="CO57" t="s">
        <v>321</v>
      </c>
      <c r="CP57" t="s">
        <v>321</v>
      </c>
      <c r="CQ57" t="s">
        <v>321</v>
      </c>
      <c r="CR57" t="s">
        <v>321</v>
      </c>
      <c r="CS57" t="s">
        <v>321</v>
      </c>
      <c r="CT57" t="s">
        <v>321</v>
      </c>
      <c r="CU57" t="s">
        <v>321</v>
      </c>
      <c r="CV57" t="s">
        <v>321</v>
      </c>
      <c r="CW57" t="s">
        <v>321</v>
      </c>
      <c r="CX57">
        <v>278096.88</v>
      </c>
      <c r="CY57">
        <v>4925297.7060000002</v>
      </c>
      <c r="CZ57">
        <v>44.446939999999998</v>
      </c>
      <c r="DA57">
        <v>-95.78877</v>
      </c>
      <c r="DB57" s="291">
        <v>42608.869444444441</v>
      </c>
      <c r="DC57" t="s">
        <v>231</v>
      </c>
      <c r="DD57" t="s">
        <v>429</v>
      </c>
      <c r="DE57" t="s">
        <v>455</v>
      </c>
      <c r="DF57" t="s">
        <v>456</v>
      </c>
      <c r="DG57" t="s">
        <v>1055</v>
      </c>
      <c r="DH57">
        <v>0</v>
      </c>
      <c r="DI57" t="s">
        <v>327</v>
      </c>
      <c r="DJ57">
        <v>100</v>
      </c>
      <c r="DK57">
        <v>9</v>
      </c>
    </row>
    <row r="58" spans="1:115" x14ac:dyDescent="0.25">
      <c r="A58">
        <v>57</v>
      </c>
      <c r="B58" t="s">
        <v>657</v>
      </c>
      <c r="C58">
        <v>1</v>
      </c>
      <c r="D58">
        <v>67</v>
      </c>
      <c r="E58">
        <v>11047675</v>
      </c>
      <c r="F58" t="s">
        <v>464</v>
      </c>
      <c r="G58">
        <v>19</v>
      </c>
      <c r="H58">
        <v>34.777000000000001</v>
      </c>
      <c r="I58" t="s">
        <v>297</v>
      </c>
      <c r="J58" t="s">
        <v>299</v>
      </c>
      <c r="K58" t="s">
        <v>321</v>
      </c>
      <c r="L58" t="s">
        <v>406</v>
      </c>
      <c r="M58" t="s">
        <v>299</v>
      </c>
      <c r="N58" t="s">
        <v>321</v>
      </c>
      <c r="O58">
        <v>15003519</v>
      </c>
      <c r="P58">
        <v>150600093</v>
      </c>
      <c r="Q58" s="290">
        <v>44988</v>
      </c>
      <c r="R58">
        <v>1</v>
      </c>
      <c r="S58">
        <v>2015</v>
      </c>
      <c r="T58" t="s">
        <v>489</v>
      </c>
      <c r="U58">
        <v>17</v>
      </c>
      <c r="V58" t="s">
        <v>321</v>
      </c>
      <c r="W58" t="s">
        <v>320</v>
      </c>
      <c r="X58">
        <v>0</v>
      </c>
      <c r="Y58">
        <v>2</v>
      </c>
      <c r="Z58" t="s">
        <v>451</v>
      </c>
      <c r="AA58" t="s">
        <v>409</v>
      </c>
      <c r="AB58" t="s">
        <v>452</v>
      </c>
      <c r="AC58" t="s">
        <v>433</v>
      </c>
      <c r="AD58" t="s">
        <v>412</v>
      </c>
      <c r="AE58" t="s">
        <v>321</v>
      </c>
      <c r="AF58" t="s">
        <v>434</v>
      </c>
      <c r="AG58" t="s">
        <v>414</v>
      </c>
      <c r="AH58" t="s">
        <v>896</v>
      </c>
      <c r="AI58" t="s">
        <v>951</v>
      </c>
      <c r="AJ58" t="s">
        <v>471</v>
      </c>
      <c r="AK58" t="s">
        <v>451</v>
      </c>
      <c r="AL58" t="s">
        <v>417</v>
      </c>
      <c r="AM58" t="s">
        <v>418</v>
      </c>
      <c r="AN58" t="s">
        <v>1041</v>
      </c>
      <c r="AO58" t="s">
        <v>426</v>
      </c>
      <c r="AP58">
        <v>32</v>
      </c>
      <c r="AQ58" t="s">
        <v>427</v>
      </c>
      <c r="AR58" t="s">
        <v>421</v>
      </c>
      <c r="AS58" t="s">
        <v>428</v>
      </c>
      <c r="AT58" t="s">
        <v>321</v>
      </c>
      <c r="AU58" t="s">
        <v>321</v>
      </c>
      <c r="AV58" t="s">
        <v>321</v>
      </c>
      <c r="AW58" t="s">
        <v>850</v>
      </c>
      <c r="AX58" t="s">
        <v>449</v>
      </c>
      <c r="AY58">
        <v>30</v>
      </c>
      <c r="AZ58" t="s">
        <v>423</v>
      </c>
      <c r="BA58" t="s">
        <v>424</v>
      </c>
      <c r="BB58" t="s">
        <v>417</v>
      </c>
      <c r="BC58" t="s">
        <v>425</v>
      </c>
      <c r="BD58" t="s">
        <v>922</v>
      </c>
      <c r="BE58" t="s">
        <v>426</v>
      </c>
      <c r="BF58">
        <v>20</v>
      </c>
      <c r="BG58" t="s">
        <v>427</v>
      </c>
      <c r="BH58" t="s">
        <v>421</v>
      </c>
      <c r="BI58" t="s">
        <v>428</v>
      </c>
      <c r="BJ58" t="s">
        <v>321</v>
      </c>
      <c r="BK58" t="s">
        <v>321</v>
      </c>
      <c r="BL58" t="s">
        <v>321</v>
      </c>
      <c r="BM58" t="s">
        <v>850</v>
      </c>
      <c r="BN58" t="s">
        <v>449</v>
      </c>
      <c r="BO58">
        <v>30</v>
      </c>
      <c r="BP58" t="s">
        <v>423</v>
      </c>
      <c r="BQ58" t="s">
        <v>424</v>
      </c>
      <c r="BR58" t="s">
        <v>321</v>
      </c>
      <c r="BS58" t="s">
        <v>321</v>
      </c>
      <c r="BT58" t="s">
        <v>321</v>
      </c>
      <c r="BU58" t="s">
        <v>321</v>
      </c>
      <c r="BV58" t="s">
        <v>321</v>
      </c>
      <c r="BW58" t="s">
        <v>321</v>
      </c>
      <c r="BX58" t="s">
        <v>321</v>
      </c>
      <c r="BY58" t="s">
        <v>321</v>
      </c>
      <c r="BZ58" t="s">
        <v>321</v>
      </c>
      <c r="CA58" t="s">
        <v>321</v>
      </c>
      <c r="CB58" t="s">
        <v>321</v>
      </c>
      <c r="CC58" t="s">
        <v>321</v>
      </c>
      <c r="CD58" t="s">
        <v>321</v>
      </c>
      <c r="CE58" t="s">
        <v>321</v>
      </c>
      <c r="CF58" t="s">
        <v>321</v>
      </c>
      <c r="CG58" t="s">
        <v>321</v>
      </c>
      <c r="CH58" t="s">
        <v>321</v>
      </c>
      <c r="CI58" t="s">
        <v>321</v>
      </c>
      <c r="CJ58" t="s">
        <v>321</v>
      </c>
      <c r="CK58" t="s">
        <v>321</v>
      </c>
      <c r="CL58" t="s">
        <v>321</v>
      </c>
      <c r="CM58" t="s">
        <v>321</v>
      </c>
      <c r="CN58" t="s">
        <v>321</v>
      </c>
      <c r="CO58" t="s">
        <v>321</v>
      </c>
      <c r="CP58" t="s">
        <v>321</v>
      </c>
      <c r="CQ58" t="s">
        <v>321</v>
      </c>
      <c r="CR58" t="s">
        <v>321</v>
      </c>
      <c r="CS58" t="s">
        <v>321</v>
      </c>
      <c r="CT58" t="s">
        <v>321</v>
      </c>
      <c r="CU58" t="s">
        <v>321</v>
      </c>
      <c r="CV58" t="s">
        <v>321</v>
      </c>
      <c r="CW58" t="s">
        <v>321</v>
      </c>
      <c r="CX58">
        <v>278097.49910000002</v>
      </c>
      <c r="CY58">
        <v>4925298.3020000001</v>
      </c>
      <c r="CZ58">
        <v>44.446945999999997</v>
      </c>
      <c r="DA58">
        <v>-95.788763000000003</v>
      </c>
      <c r="DB58" s="291">
        <v>42064.73333333333</v>
      </c>
      <c r="DC58" t="s">
        <v>231</v>
      </c>
      <c r="DD58" t="s">
        <v>429</v>
      </c>
      <c r="DE58" t="s">
        <v>430</v>
      </c>
      <c r="DF58" t="s">
        <v>430</v>
      </c>
      <c r="DG58" t="s">
        <v>1054</v>
      </c>
      <c r="DH58">
        <v>0</v>
      </c>
      <c r="DI58" t="s">
        <v>327</v>
      </c>
      <c r="DJ58">
        <v>100</v>
      </c>
      <c r="DK58">
        <v>9</v>
      </c>
    </row>
    <row r="59" spans="1:115" x14ac:dyDescent="0.25">
      <c r="A59">
        <v>58</v>
      </c>
      <c r="B59" t="s">
        <v>657</v>
      </c>
      <c r="C59">
        <v>1</v>
      </c>
      <c r="D59">
        <v>68</v>
      </c>
      <c r="E59">
        <v>841303</v>
      </c>
      <c r="F59" t="s">
        <v>464</v>
      </c>
      <c r="G59">
        <v>19</v>
      </c>
      <c r="H59">
        <v>34.777999999999999</v>
      </c>
      <c r="I59" t="s">
        <v>297</v>
      </c>
      <c r="J59" t="s">
        <v>299</v>
      </c>
      <c r="K59" t="s">
        <v>321</v>
      </c>
      <c r="L59" t="s">
        <v>321</v>
      </c>
      <c r="M59" t="s">
        <v>299</v>
      </c>
      <c r="N59" t="s">
        <v>321</v>
      </c>
      <c r="O59" t="s">
        <v>574</v>
      </c>
      <c r="P59">
        <v>202610095</v>
      </c>
      <c r="Q59" s="290">
        <v>45178</v>
      </c>
      <c r="R59">
        <v>17</v>
      </c>
      <c r="S59">
        <v>2020</v>
      </c>
      <c r="T59" t="s">
        <v>458</v>
      </c>
      <c r="U59">
        <v>18</v>
      </c>
      <c r="V59" t="s">
        <v>422</v>
      </c>
      <c r="W59" t="s">
        <v>319</v>
      </c>
      <c r="X59">
        <v>0</v>
      </c>
      <c r="Y59">
        <v>2</v>
      </c>
      <c r="Z59" t="s">
        <v>476</v>
      </c>
      <c r="AA59" t="s">
        <v>409</v>
      </c>
      <c r="AB59" t="s">
        <v>460</v>
      </c>
      <c r="AC59" t="s">
        <v>433</v>
      </c>
      <c r="AD59" t="s">
        <v>446</v>
      </c>
      <c r="AE59" t="s">
        <v>321</v>
      </c>
      <c r="AF59" t="s">
        <v>434</v>
      </c>
      <c r="AG59" t="s">
        <v>414</v>
      </c>
      <c r="AH59" t="s">
        <v>477</v>
      </c>
      <c r="AI59" t="s">
        <v>321</v>
      </c>
      <c r="AJ59" t="s">
        <v>471</v>
      </c>
      <c r="AK59" t="s">
        <v>447</v>
      </c>
      <c r="AL59" t="s">
        <v>417</v>
      </c>
      <c r="AM59" t="s">
        <v>514</v>
      </c>
      <c r="AN59" t="s">
        <v>453</v>
      </c>
      <c r="AO59" t="s">
        <v>426</v>
      </c>
      <c r="AP59">
        <v>75</v>
      </c>
      <c r="AQ59" t="s">
        <v>420</v>
      </c>
      <c r="AR59" t="s">
        <v>421</v>
      </c>
      <c r="AS59" t="s">
        <v>516</v>
      </c>
      <c r="AT59" t="s">
        <v>321</v>
      </c>
      <c r="AU59" t="s">
        <v>321</v>
      </c>
      <c r="AV59" t="s">
        <v>321</v>
      </c>
      <c r="AW59" t="s">
        <v>441</v>
      </c>
      <c r="AX59" t="s">
        <v>449</v>
      </c>
      <c r="AY59">
        <v>30</v>
      </c>
      <c r="AZ59" t="s">
        <v>423</v>
      </c>
      <c r="BA59" t="s">
        <v>424</v>
      </c>
      <c r="BB59" t="s">
        <v>417</v>
      </c>
      <c r="BC59" t="s">
        <v>514</v>
      </c>
      <c r="BD59" t="s">
        <v>453</v>
      </c>
      <c r="BE59" t="s">
        <v>480</v>
      </c>
      <c r="BF59">
        <v>66</v>
      </c>
      <c r="BG59" t="s">
        <v>420</v>
      </c>
      <c r="BH59" t="s">
        <v>421</v>
      </c>
      <c r="BI59" t="s">
        <v>428</v>
      </c>
      <c r="BJ59" t="s">
        <v>321</v>
      </c>
      <c r="BK59" t="s">
        <v>321</v>
      </c>
      <c r="BL59" t="s">
        <v>321</v>
      </c>
      <c r="BM59" t="s">
        <v>441</v>
      </c>
      <c r="BN59" t="s">
        <v>449</v>
      </c>
      <c r="BO59">
        <v>30</v>
      </c>
      <c r="BP59" t="s">
        <v>423</v>
      </c>
      <c r="BQ59" t="s">
        <v>424</v>
      </c>
      <c r="BR59" t="s">
        <v>321</v>
      </c>
      <c r="BS59" t="s">
        <v>321</v>
      </c>
      <c r="BT59" t="s">
        <v>321</v>
      </c>
      <c r="BU59" t="s">
        <v>321</v>
      </c>
      <c r="BV59" t="s">
        <v>321</v>
      </c>
      <c r="BW59" t="s">
        <v>321</v>
      </c>
      <c r="BX59" t="s">
        <v>321</v>
      </c>
      <c r="BY59" t="s">
        <v>321</v>
      </c>
      <c r="BZ59" t="s">
        <v>321</v>
      </c>
      <c r="CA59" t="s">
        <v>321</v>
      </c>
      <c r="CB59" t="s">
        <v>321</v>
      </c>
      <c r="CC59" t="s">
        <v>321</v>
      </c>
      <c r="CD59" t="s">
        <v>321</v>
      </c>
      <c r="CE59" t="s">
        <v>321</v>
      </c>
      <c r="CF59" t="s">
        <v>321</v>
      </c>
      <c r="CG59" t="s">
        <v>321</v>
      </c>
      <c r="CH59" t="s">
        <v>321</v>
      </c>
      <c r="CI59" t="s">
        <v>321</v>
      </c>
      <c r="CJ59" t="s">
        <v>321</v>
      </c>
      <c r="CK59" t="s">
        <v>321</v>
      </c>
      <c r="CL59" t="s">
        <v>321</v>
      </c>
      <c r="CM59" t="s">
        <v>321</v>
      </c>
      <c r="CN59" t="s">
        <v>321</v>
      </c>
      <c r="CO59" t="s">
        <v>321</v>
      </c>
      <c r="CP59" t="s">
        <v>321</v>
      </c>
      <c r="CQ59" t="s">
        <v>321</v>
      </c>
      <c r="CR59" t="s">
        <v>321</v>
      </c>
      <c r="CS59" t="s">
        <v>321</v>
      </c>
      <c r="CT59" t="s">
        <v>321</v>
      </c>
      <c r="CU59" t="s">
        <v>321</v>
      </c>
      <c r="CV59" t="s">
        <v>321</v>
      </c>
      <c r="CW59" t="s">
        <v>321</v>
      </c>
      <c r="CX59">
        <v>278098.80099999998</v>
      </c>
      <c r="CY59">
        <v>4925298.24</v>
      </c>
      <c r="CZ59">
        <v>44.446938000000003</v>
      </c>
      <c r="DA59">
        <v>-95.788737999999995</v>
      </c>
      <c r="DB59" s="291">
        <v>44091.756944444445</v>
      </c>
      <c r="DC59" t="s">
        <v>575</v>
      </c>
      <c r="DD59" t="s">
        <v>429</v>
      </c>
      <c r="DE59" t="s">
        <v>455</v>
      </c>
      <c r="DF59" t="s">
        <v>456</v>
      </c>
      <c r="DG59" t="s">
        <v>576</v>
      </c>
      <c r="DH59">
        <v>0</v>
      </c>
      <c r="DI59" t="s">
        <v>327</v>
      </c>
      <c r="DJ59">
        <v>100</v>
      </c>
      <c r="DK59">
        <v>9</v>
      </c>
    </row>
    <row r="60" spans="1:115" x14ac:dyDescent="0.25">
      <c r="A60">
        <v>59</v>
      </c>
      <c r="B60" t="s">
        <v>657</v>
      </c>
      <c r="C60">
        <v>1</v>
      </c>
      <c r="D60">
        <v>69</v>
      </c>
      <c r="E60">
        <v>684201</v>
      </c>
      <c r="F60" t="s">
        <v>570</v>
      </c>
      <c r="G60">
        <v>107</v>
      </c>
      <c r="H60">
        <v>0.75600000000000001</v>
      </c>
      <c r="I60" t="s">
        <v>297</v>
      </c>
      <c r="J60" t="s">
        <v>299</v>
      </c>
      <c r="K60" t="s">
        <v>321</v>
      </c>
      <c r="L60" t="s">
        <v>406</v>
      </c>
      <c r="M60" t="s">
        <v>299</v>
      </c>
      <c r="N60" t="s">
        <v>321</v>
      </c>
      <c r="O60" t="s">
        <v>577</v>
      </c>
      <c r="P60">
        <v>190370207</v>
      </c>
      <c r="Q60" s="290">
        <v>44959</v>
      </c>
      <c r="R60">
        <v>6</v>
      </c>
      <c r="S60">
        <v>2019</v>
      </c>
      <c r="T60" t="s">
        <v>494</v>
      </c>
      <c r="U60">
        <v>15</v>
      </c>
      <c r="V60" t="s">
        <v>450</v>
      </c>
      <c r="W60" t="s">
        <v>320</v>
      </c>
      <c r="X60">
        <v>0</v>
      </c>
      <c r="Y60">
        <v>2</v>
      </c>
      <c r="Z60" t="s">
        <v>568</v>
      </c>
      <c r="AA60" t="s">
        <v>409</v>
      </c>
      <c r="AB60" t="s">
        <v>460</v>
      </c>
      <c r="AC60" t="s">
        <v>433</v>
      </c>
      <c r="AD60" t="s">
        <v>467</v>
      </c>
      <c r="AE60" t="s">
        <v>321</v>
      </c>
      <c r="AF60" t="s">
        <v>467</v>
      </c>
      <c r="AG60" t="s">
        <v>414</v>
      </c>
      <c r="AH60" t="s">
        <v>571</v>
      </c>
      <c r="AI60" t="s">
        <v>477</v>
      </c>
      <c r="AJ60" t="s">
        <v>572</v>
      </c>
      <c r="AK60" t="s">
        <v>578</v>
      </c>
      <c r="AL60" t="s">
        <v>417</v>
      </c>
      <c r="AM60" t="s">
        <v>425</v>
      </c>
      <c r="AN60" t="s">
        <v>472</v>
      </c>
      <c r="AO60" t="s">
        <v>426</v>
      </c>
      <c r="AP60">
        <v>39</v>
      </c>
      <c r="AQ60" t="s">
        <v>427</v>
      </c>
      <c r="AR60" t="s">
        <v>421</v>
      </c>
      <c r="AS60" t="s">
        <v>428</v>
      </c>
      <c r="AT60" t="s">
        <v>321</v>
      </c>
      <c r="AU60" t="s">
        <v>321</v>
      </c>
      <c r="AV60" t="s">
        <v>321</v>
      </c>
      <c r="AW60" t="s">
        <v>441</v>
      </c>
      <c r="AX60" t="s">
        <v>449</v>
      </c>
      <c r="AY60">
        <v>30</v>
      </c>
      <c r="AZ60" t="s">
        <v>423</v>
      </c>
      <c r="BA60" t="s">
        <v>424</v>
      </c>
      <c r="BB60" t="s">
        <v>417</v>
      </c>
      <c r="BC60" t="s">
        <v>478</v>
      </c>
      <c r="BD60" t="s">
        <v>453</v>
      </c>
      <c r="BE60" t="s">
        <v>487</v>
      </c>
      <c r="BF60">
        <v>71</v>
      </c>
      <c r="BG60" t="s">
        <v>420</v>
      </c>
      <c r="BH60" t="s">
        <v>421</v>
      </c>
      <c r="BI60" t="s">
        <v>454</v>
      </c>
      <c r="BJ60" t="s">
        <v>321</v>
      </c>
      <c r="BK60" t="s">
        <v>321</v>
      </c>
      <c r="BL60" t="s">
        <v>321</v>
      </c>
      <c r="BM60" t="s">
        <v>441</v>
      </c>
      <c r="BN60" t="s">
        <v>449</v>
      </c>
      <c r="BO60">
        <v>30</v>
      </c>
      <c r="BP60" t="s">
        <v>423</v>
      </c>
      <c r="BQ60" t="s">
        <v>424</v>
      </c>
      <c r="BR60" t="s">
        <v>321</v>
      </c>
      <c r="BS60" t="s">
        <v>321</v>
      </c>
      <c r="BT60" t="s">
        <v>321</v>
      </c>
      <c r="BU60" t="s">
        <v>321</v>
      </c>
      <c r="BV60" t="s">
        <v>321</v>
      </c>
      <c r="BW60" t="s">
        <v>321</v>
      </c>
      <c r="BX60" t="s">
        <v>321</v>
      </c>
      <c r="BY60" t="s">
        <v>321</v>
      </c>
      <c r="BZ60" t="s">
        <v>321</v>
      </c>
      <c r="CA60" t="s">
        <v>321</v>
      </c>
      <c r="CB60" t="s">
        <v>321</v>
      </c>
      <c r="CC60" t="s">
        <v>321</v>
      </c>
      <c r="CD60" t="s">
        <v>321</v>
      </c>
      <c r="CE60" t="s">
        <v>321</v>
      </c>
      <c r="CF60" t="s">
        <v>321</v>
      </c>
      <c r="CG60" t="s">
        <v>321</v>
      </c>
      <c r="CH60" t="s">
        <v>321</v>
      </c>
      <c r="CI60" t="s">
        <v>321</v>
      </c>
      <c r="CJ60" t="s">
        <v>321</v>
      </c>
      <c r="CK60" t="s">
        <v>321</v>
      </c>
      <c r="CL60" t="s">
        <v>321</v>
      </c>
      <c r="CM60" t="s">
        <v>321</v>
      </c>
      <c r="CN60" t="s">
        <v>321</v>
      </c>
      <c r="CO60" t="s">
        <v>321</v>
      </c>
      <c r="CP60" t="s">
        <v>321</v>
      </c>
      <c r="CQ60" t="s">
        <v>321</v>
      </c>
      <c r="CR60" t="s">
        <v>321</v>
      </c>
      <c r="CS60" t="s">
        <v>321</v>
      </c>
      <c r="CT60" t="s">
        <v>321</v>
      </c>
      <c r="CU60" t="s">
        <v>321</v>
      </c>
      <c r="CV60" t="s">
        <v>321</v>
      </c>
      <c r="CW60" t="s">
        <v>321</v>
      </c>
      <c r="CX60">
        <v>279106.82169999997</v>
      </c>
      <c r="CY60">
        <v>4925643.9529999997</v>
      </c>
      <c r="CZ60">
        <v>44.450363000000003</v>
      </c>
      <c r="DA60">
        <v>-95.776240000000001</v>
      </c>
      <c r="DB60" s="291">
        <v>43502.631944444445</v>
      </c>
      <c r="DC60" t="s">
        <v>231</v>
      </c>
      <c r="DD60" t="s">
        <v>429</v>
      </c>
      <c r="DE60" t="s">
        <v>455</v>
      </c>
      <c r="DF60" t="s">
        <v>456</v>
      </c>
      <c r="DG60" t="s">
        <v>579</v>
      </c>
      <c r="DH60">
        <v>0</v>
      </c>
      <c r="DI60" t="s">
        <v>322</v>
      </c>
      <c r="DJ60">
        <v>100</v>
      </c>
      <c r="DK60">
        <v>15</v>
      </c>
    </row>
    <row r="61" spans="1:115" x14ac:dyDescent="0.25">
      <c r="A61">
        <v>60</v>
      </c>
      <c r="B61" t="s">
        <v>657</v>
      </c>
      <c r="C61">
        <v>1</v>
      </c>
      <c r="D61">
        <v>70</v>
      </c>
      <c r="E61">
        <v>765493</v>
      </c>
      <c r="F61" t="s">
        <v>570</v>
      </c>
      <c r="G61">
        <v>107</v>
      </c>
      <c r="H61">
        <v>0.75700000000000001</v>
      </c>
      <c r="I61" t="s">
        <v>297</v>
      </c>
      <c r="J61" t="s">
        <v>299</v>
      </c>
      <c r="K61" t="s">
        <v>321</v>
      </c>
      <c r="L61" t="s">
        <v>406</v>
      </c>
      <c r="M61" t="s">
        <v>299</v>
      </c>
      <c r="N61" t="s">
        <v>321</v>
      </c>
      <c r="O61" s="292">
        <v>202000000000</v>
      </c>
      <c r="P61">
        <v>193300234</v>
      </c>
      <c r="Q61" s="290">
        <v>45241</v>
      </c>
      <c r="R61">
        <v>26</v>
      </c>
      <c r="S61">
        <v>2019</v>
      </c>
      <c r="T61" t="s">
        <v>407</v>
      </c>
      <c r="U61">
        <v>18</v>
      </c>
      <c r="V61" t="s">
        <v>459</v>
      </c>
      <c r="W61" t="s">
        <v>320</v>
      </c>
      <c r="X61">
        <v>0</v>
      </c>
      <c r="Y61">
        <v>2</v>
      </c>
      <c r="Z61" t="s">
        <v>525</v>
      </c>
      <c r="AA61" t="s">
        <v>409</v>
      </c>
      <c r="AB61" t="s">
        <v>452</v>
      </c>
      <c r="AC61" t="s">
        <v>411</v>
      </c>
      <c r="AD61" t="s">
        <v>467</v>
      </c>
      <c r="AE61" t="s">
        <v>522</v>
      </c>
      <c r="AF61" t="s">
        <v>413</v>
      </c>
      <c r="AG61" t="s">
        <v>414</v>
      </c>
      <c r="AH61" t="s">
        <v>571</v>
      </c>
      <c r="AI61" t="s">
        <v>321</v>
      </c>
      <c r="AJ61" t="s">
        <v>572</v>
      </c>
      <c r="AK61" t="s">
        <v>526</v>
      </c>
      <c r="AL61" t="s">
        <v>417</v>
      </c>
      <c r="AM61" t="s">
        <v>418</v>
      </c>
      <c r="AN61" t="s">
        <v>461</v>
      </c>
      <c r="AO61" t="s">
        <v>487</v>
      </c>
      <c r="AP61">
        <v>33</v>
      </c>
      <c r="AQ61" t="s">
        <v>427</v>
      </c>
      <c r="AR61" t="s">
        <v>421</v>
      </c>
      <c r="AS61" t="s">
        <v>454</v>
      </c>
      <c r="AT61" t="s">
        <v>321</v>
      </c>
      <c r="AU61" t="s">
        <v>321</v>
      </c>
      <c r="AV61" t="s">
        <v>321</v>
      </c>
      <c r="AW61" t="s">
        <v>544</v>
      </c>
      <c r="AX61" t="s">
        <v>449</v>
      </c>
      <c r="AY61">
        <v>30</v>
      </c>
      <c r="AZ61" t="s">
        <v>423</v>
      </c>
      <c r="BA61" t="s">
        <v>424</v>
      </c>
      <c r="BB61" t="s">
        <v>417</v>
      </c>
      <c r="BC61" t="s">
        <v>425</v>
      </c>
      <c r="BD61" t="s">
        <v>448</v>
      </c>
      <c r="BE61" t="s">
        <v>426</v>
      </c>
      <c r="BF61">
        <v>19</v>
      </c>
      <c r="BG61" t="s">
        <v>427</v>
      </c>
      <c r="BH61" t="s">
        <v>421</v>
      </c>
      <c r="BI61" t="s">
        <v>428</v>
      </c>
      <c r="BJ61" t="s">
        <v>321</v>
      </c>
      <c r="BK61" t="s">
        <v>321</v>
      </c>
      <c r="BL61" t="s">
        <v>321</v>
      </c>
      <c r="BM61" t="s">
        <v>544</v>
      </c>
      <c r="BN61" t="s">
        <v>449</v>
      </c>
      <c r="BO61">
        <v>30</v>
      </c>
      <c r="BP61" t="s">
        <v>423</v>
      </c>
      <c r="BQ61" t="s">
        <v>424</v>
      </c>
      <c r="BR61" t="s">
        <v>321</v>
      </c>
      <c r="BS61" t="s">
        <v>321</v>
      </c>
      <c r="BT61" t="s">
        <v>321</v>
      </c>
      <c r="BU61" t="s">
        <v>321</v>
      </c>
      <c r="BV61" t="s">
        <v>321</v>
      </c>
      <c r="BW61" t="s">
        <v>321</v>
      </c>
      <c r="BX61" t="s">
        <v>321</v>
      </c>
      <c r="BY61" t="s">
        <v>321</v>
      </c>
      <c r="BZ61" t="s">
        <v>321</v>
      </c>
      <c r="CA61" t="s">
        <v>321</v>
      </c>
      <c r="CB61" t="s">
        <v>321</v>
      </c>
      <c r="CC61" t="s">
        <v>321</v>
      </c>
      <c r="CD61" t="s">
        <v>321</v>
      </c>
      <c r="CE61" t="s">
        <v>321</v>
      </c>
      <c r="CF61" t="s">
        <v>321</v>
      </c>
      <c r="CG61" t="s">
        <v>321</v>
      </c>
      <c r="CH61" t="s">
        <v>321</v>
      </c>
      <c r="CI61" t="s">
        <v>321</v>
      </c>
      <c r="CJ61" t="s">
        <v>321</v>
      </c>
      <c r="CK61" t="s">
        <v>321</v>
      </c>
      <c r="CL61" t="s">
        <v>321</v>
      </c>
      <c r="CM61" t="s">
        <v>321</v>
      </c>
      <c r="CN61" t="s">
        <v>321</v>
      </c>
      <c r="CO61" t="s">
        <v>321</v>
      </c>
      <c r="CP61" t="s">
        <v>321</v>
      </c>
      <c r="CQ61" t="s">
        <v>321</v>
      </c>
      <c r="CR61" t="s">
        <v>321</v>
      </c>
      <c r="CS61" t="s">
        <v>321</v>
      </c>
      <c r="CT61" t="s">
        <v>321</v>
      </c>
      <c r="CU61" t="s">
        <v>321</v>
      </c>
      <c r="CV61" t="s">
        <v>321</v>
      </c>
      <c r="CW61" t="s">
        <v>321</v>
      </c>
      <c r="CX61">
        <v>279106.86170000001</v>
      </c>
      <c r="CY61">
        <v>4925646.5130000003</v>
      </c>
      <c r="CZ61">
        <v>44.450386000000002</v>
      </c>
      <c r="DA61">
        <v>-95.776240999999999</v>
      </c>
      <c r="DB61" s="291">
        <v>43795.777777777781</v>
      </c>
      <c r="DC61" t="s">
        <v>231</v>
      </c>
      <c r="DD61" t="s">
        <v>429</v>
      </c>
      <c r="DE61" t="s">
        <v>455</v>
      </c>
      <c r="DF61" t="s">
        <v>456</v>
      </c>
      <c r="DG61" t="s">
        <v>580</v>
      </c>
      <c r="DH61">
        <v>0</v>
      </c>
      <c r="DI61" t="s">
        <v>322</v>
      </c>
      <c r="DJ61">
        <v>100</v>
      </c>
      <c r="DK61">
        <v>15</v>
      </c>
    </row>
    <row r="62" spans="1:115" x14ac:dyDescent="0.25">
      <c r="A62">
        <v>61</v>
      </c>
      <c r="B62" t="s">
        <v>657</v>
      </c>
      <c r="C62">
        <v>1</v>
      </c>
      <c r="D62">
        <v>71</v>
      </c>
      <c r="E62">
        <v>10974966</v>
      </c>
      <c r="F62" t="s">
        <v>464</v>
      </c>
      <c r="G62">
        <v>19</v>
      </c>
      <c r="H62">
        <v>34.780999999999999</v>
      </c>
      <c r="I62" t="s">
        <v>297</v>
      </c>
      <c r="J62" t="s">
        <v>299</v>
      </c>
      <c r="K62" t="s">
        <v>321</v>
      </c>
      <c r="L62" t="s">
        <v>406</v>
      </c>
      <c r="M62" t="s">
        <v>299</v>
      </c>
      <c r="N62" t="s">
        <v>321</v>
      </c>
      <c r="O62" s="292">
        <v>201000000000</v>
      </c>
      <c r="P62">
        <v>141550114</v>
      </c>
      <c r="Q62" s="290">
        <v>45083</v>
      </c>
      <c r="R62">
        <v>4</v>
      </c>
      <c r="S62">
        <v>2014</v>
      </c>
      <c r="T62" t="s">
        <v>494</v>
      </c>
      <c r="U62">
        <v>11</v>
      </c>
      <c r="V62" t="s">
        <v>321</v>
      </c>
      <c r="W62" t="s">
        <v>320</v>
      </c>
      <c r="X62">
        <v>0</v>
      </c>
      <c r="Y62">
        <v>1</v>
      </c>
      <c r="Z62" t="s">
        <v>463</v>
      </c>
      <c r="AA62" t="s">
        <v>492</v>
      </c>
      <c r="AB62" t="s">
        <v>452</v>
      </c>
      <c r="AC62" t="s">
        <v>433</v>
      </c>
      <c r="AD62" t="s">
        <v>412</v>
      </c>
      <c r="AE62" t="s">
        <v>321</v>
      </c>
      <c r="AF62" t="s">
        <v>434</v>
      </c>
      <c r="AG62" t="s">
        <v>414</v>
      </c>
      <c r="AH62" t="s">
        <v>852</v>
      </c>
      <c r="AI62" t="s">
        <v>918</v>
      </c>
      <c r="AJ62" t="s">
        <v>471</v>
      </c>
      <c r="AK62" t="s">
        <v>436</v>
      </c>
      <c r="AL62" t="s">
        <v>417</v>
      </c>
      <c r="AM62" t="s">
        <v>1044</v>
      </c>
      <c r="AN62" t="s">
        <v>892</v>
      </c>
      <c r="AO62" t="s">
        <v>419</v>
      </c>
      <c r="AP62">
        <v>56</v>
      </c>
      <c r="AQ62" t="s">
        <v>420</v>
      </c>
      <c r="AR62" t="s">
        <v>421</v>
      </c>
      <c r="AS62" t="s">
        <v>462</v>
      </c>
      <c r="AT62" t="s">
        <v>321</v>
      </c>
      <c r="AU62" t="s">
        <v>321</v>
      </c>
      <c r="AV62" t="s">
        <v>321</v>
      </c>
      <c r="AW62" t="s">
        <v>850</v>
      </c>
      <c r="AX62" t="s">
        <v>449</v>
      </c>
      <c r="AY62">
        <v>30</v>
      </c>
      <c r="AZ62" t="s">
        <v>423</v>
      </c>
      <c r="BA62" t="s">
        <v>424</v>
      </c>
      <c r="BB62" t="s">
        <v>321</v>
      </c>
      <c r="BC62" t="s">
        <v>321</v>
      </c>
      <c r="BD62" t="s">
        <v>321</v>
      </c>
      <c r="BE62" t="s">
        <v>321</v>
      </c>
      <c r="BF62" t="s">
        <v>321</v>
      </c>
      <c r="BG62" t="s">
        <v>321</v>
      </c>
      <c r="BH62" t="s">
        <v>321</v>
      </c>
      <c r="BI62" t="s">
        <v>321</v>
      </c>
      <c r="BJ62" t="s">
        <v>321</v>
      </c>
      <c r="BK62" t="s">
        <v>321</v>
      </c>
      <c r="BL62" t="s">
        <v>321</v>
      </c>
      <c r="BM62" t="s">
        <v>321</v>
      </c>
      <c r="BN62" t="s">
        <v>321</v>
      </c>
      <c r="BO62" t="s">
        <v>321</v>
      </c>
      <c r="BP62" t="s">
        <v>321</v>
      </c>
      <c r="BQ62" t="s">
        <v>321</v>
      </c>
      <c r="BR62" t="s">
        <v>321</v>
      </c>
      <c r="BS62" t="s">
        <v>321</v>
      </c>
      <c r="BT62" t="s">
        <v>321</v>
      </c>
      <c r="BU62" t="s">
        <v>321</v>
      </c>
      <c r="BV62" t="s">
        <v>321</v>
      </c>
      <c r="BW62" t="s">
        <v>321</v>
      </c>
      <c r="BX62" t="s">
        <v>321</v>
      </c>
      <c r="BY62" t="s">
        <v>321</v>
      </c>
      <c r="BZ62" t="s">
        <v>321</v>
      </c>
      <c r="CA62" t="s">
        <v>321</v>
      </c>
      <c r="CB62" t="s">
        <v>321</v>
      </c>
      <c r="CC62" t="s">
        <v>321</v>
      </c>
      <c r="CD62" t="s">
        <v>321</v>
      </c>
      <c r="CE62" t="s">
        <v>321</v>
      </c>
      <c r="CF62" t="s">
        <v>321</v>
      </c>
      <c r="CG62" t="s">
        <v>321</v>
      </c>
      <c r="CH62" t="s">
        <v>321</v>
      </c>
      <c r="CI62" t="s">
        <v>321</v>
      </c>
      <c r="CJ62" t="s">
        <v>321</v>
      </c>
      <c r="CK62" t="s">
        <v>321</v>
      </c>
      <c r="CL62" t="s">
        <v>321</v>
      </c>
      <c r="CM62" t="s">
        <v>321</v>
      </c>
      <c r="CN62" t="s">
        <v>321</v>
      </c>
      <c r="CO62" t="s">
        <v>321</v>
      </c>
      <c r="CP62" t="s">
        <v>321</v>
      </c>
      <c r="CQ62" t="s">
        <v>321</v>
      </c>
      <c r="CR62" t="s">
        <v>321</v>
      </c>
      <c r="CS62" t="s">
        <v>321</v>
      </c>
      <c r="CT62" t="s">
        <v>321</v>
      </c>
      <c r="CU62" t="s">
        <v>321</v>
      </c>
      <c r="CV62" t="s">
        <v>321</v>
      </c>
      <c r="CW62" t="s">
        <v>321</v>
      </c>
      <c r="CX62">
        <v>278102.12310000003</v>
      </c>
      <c r="CY62">
        <v>4925302.78</v>
      </c>
      <c r="CZ62">
        <v>44.446987</v>
      </c>
      <c r="DA62">
        <v>-95.788707000000002</v>
      </c>
      <c r="DB62" s="291">
        <v>41794.479166666664</v>
      </c>
      <c r="DC62" t="s">
        <v>231</v>
      </c>
      <c r="DD62" t="s">
        <v>429</v>
      </c>
      <c r="DE62" t="s">
        <v>430</v>
      </c>
      <c r="DF62" t="s">
        <v>430</v>
      </c>
      <c r="DG62" t="s">
        <v>1053</v>
      </c>
      <c r="DH62">
        <v>0</v>
      </c>
      <c r="DI62" t="s">
        <v>327</v>
      </c>
      <c r="DJ62">
        <v>100</v>
      </c>
      <c r="DK62">
        <v>9</v>
      </c>
    </row>
    <row r="63" spans="1:115" x14ac:dyDescent="0.25">
      <c r="A63">
        <v>62</v>
      </c>
      <c r="B63" t="s">
        <v>657</v>
      </c>
      <c r="C63">
        <v>1</v>
      </c>
      <c r="D63">
        <v>72</v>
      </c>
      <c r="E63">
        <v>592413</v>
      </c>
      <c r="F63" t="s">
        <v>464</v>
      </c>
      <c r="G63">
        <v>19</v>
      </c>
      <c r="H63">
        <v>34.783000000000001</v>
      </c>
      <c r="I63" t="s">
        <v>297</v>
      </c>
      <c r="J63" t="s">
        <v>299</v>
      </c>
      <c r="K63" t="s">
        <v>321</v>
      </c>
      <c r="L63" t="s">
        <v>406</v>
      </c>
      <c r="M63" t="s">
        <v>299</v>
      </c>
      <c r="N63" t="s">
        <v>321</v>
      </c>
      <c r="O63" t="s">
        <v>1052</v>
      </c>
      <c r="P63">
        <v>181100018</v>
      </c>
      <c r="Q63" s="290">
        <v>45020</v>
      </c>
      <c r="R63">
        <v>20</v>
      </c>
      <c r="S63">
        <v>2018</v>
      </c>
      <c r="T63" t="s">
        <v>485</v>
      </c>
      <c r="U63">
        <v>8</v>
      </c>
      <c r="V63" t="s">
        <v>321</v>
      </c>
      <c r="W63" t="s">
        <v>320</v>
      </c>
      <c r="X63">
        <v>0</v>
      </c>
      <c r="Y63">
        <v>2</v>
      </c>
      <c r="Z63" t="s">
        <v>463</v>
      </c>
      <c r="AA63" t="s">
        <v>409</v>
      </c>
      <c r="AB63" t="s">
        <v>452</v>
      </c>
      <c r="AC63" t="s">
        <v>433</v>
      </c>
      <c r="AD63" t="s">
        <v>412</v>
      </c>
      <c r="AE63" t="s">
        <v>321</v>
      </c>
      <c r="AF63" t="s">
        <v>434</v>
      </c>
      <c r="AG63" t="s">
        <v>414</v>
      </c>
      <c r="AH63" t="s">
        <v>477</v>
      </c>
      <c r="AI63" t="s">
        <v>321</v>
      </c>
      <c r="AJ63" t="s">
        <v>471</v>
      </c>
      <c r="AK63" t="s">
        <v>463</v>
      </c>
      <c r="AL63" t="s">
        <v>417</v>
      </c>
      <c r="AM63" t="s">
        <v>437</v>
      </c>
      <c r="AN63" t="s">
        <v>461</v>
      </c>
      <c r="AO63" t="s">
        <v>426</v>
      </c>
      <c r="AP63">
        <v>59</v>
      </c>
      <c r="AQ63" t="s">
        <v>420</v>
      </c>
      <c r="AR63" t="s">
        <v>421</v>
      </c>
      <c r="AS63" t="s">
        <v>516</v>
      </c>
      <c r="AT63" t="s">
        <v>321</v>
      </c>
      <c r="AU63" t="s">
        <v>321</v>
      </c>
      <c r="AV63" t="s">
        <v>321</v>
      </c>
      <c r="AW63" t="s">
        <v>441</v>
      </c>
      <c r="AX63" t="s">
        <v>449</v>
      </c>
      <c r="AY63">
        <v>30</v>
      </c>
      <c r="AZ63" t="s">
        <v>423</v>
      </c>
      <c r="BA63" t="s">
        <v>424</v>
      </c>
      <c r="BB63" t="s">
        <v>417</v>
      </c>
      <c r="BC63" t="s">
        <v>425</v>
      </c>
      <c r="BD63" t="s">
        <v>472</v>
      </c>
      <c r="BE63" t="s">
        <v>426</v>
      </c>
      <c r="BF63">
        <v>36</v>
      </c>
      <c r="BG63" t="s">
        <v>420</v>
      </c>
      <c r="BH63" t="s">
        <v>421</v>
      </c>
      <c r="BI63" t="s">
        <v>430</v>
      </c>
      <c r="BJ63" t="s">
        <v>321</v>
      </c>
      <c r="BK63" t="s">
        <v>321</v>
      </c>
      <c r="BL63" t="s">
        <v>321</v>
      </c>
      <c r="BM63" t="s">
        <v>441</v>
      </c>
      <c r="BN63" t="s">
        <v>449</v>
      </c>
      <c r="BO63">
        <v>30</v>
      </c>
      <c r="BP63" t="s">
        <v>423</v>
      </c>
      <c r="BQ63" t="s">
        <v>424</v>
      </c>
      <c r="BR63" t="s">
        <v>321</v>
      </c>
      <c r="BS63" t="s">
        <v>321</v>
      </c>
      <c r="BT63" t="s">
        <v>321</v>
      </c>
      <c r="BU63" t="s">
        <v>321</v>
      </c>
      <c r="BV63" t="s">
        <v>321</v>
      </c>
      <c r="BW63" t="s">
        <v>321</v>
      </c>
      <c r="BX63" t="s">
        <v>321</v>
      </c>
      <c r="BY63" t="s">
        <v>321</v>
      </c>
      <c r="BZ63" t="s">
        <v>321</v>
      </c>
      <c r="CA63" t="s">
        <v>321</v>
      </c>
      <c r="CB63" t="s">
        <v>321</v>
      </c>
      <c r="CC63" t="s">
        <v>321</v>
      </c>
      <c r="CD63" t="s">
        <v>321</v>
      </c>
      <c r="CE63" t="s">
        <v>321</v>
      </c>
      <c r="CF63" t="s">
        <v>321</v>
      </c>
      <c r="CG63" t="s">
        <v>321</v>
      </c>
      <c r="CH63" t="s">
        <v>321</v>
      </c>
      <c r="CI63" t="s">
        <v>321</v>
      </c>
      <c r="CJ63" t="s">
        <v>321</v>
      </c>
      <c r="CK63" t="s">
        <v>321</v>
      </c>
      <c r="CL63" t="s">
        <v>321</v>
      </c>
      <c r="CM63" t="s">
        <v>321</v>
      </c>
      <c r="CN63" t="s">
        <v>321</v>
      </c>
      <c r="CO63" t="s">
        <v>321</v>
      </c>
      <c r="CP63" t="s">
        <v>321</v>
      </c>
      <c r="CQ63" t="s">
        <v>321</v>
      </c>
      <c r="CR63" t="s">
        <v>321</v>
      </c>
      <c r="CS63" t="s">
        <v>321</v>
      </c>
      <c r="CT63" t="s">
        <v>321</v>
      </c>
      <c r="CU63" t="s">
        <v>321</v>
      </c>
      <c r="CV63" t="s">
        <v>321</v>
      </c>
      <c r="CW63" t="s">
        <v>321</v>
      </c>
      <c r="CX63">
        <v>278104.30060000002</v>
      </c>
      <c r="CY63">
        <v>4925304.8899999997</v>
      </c>
      <c r="CZ63">
        <v>44.447006999999999</v>
      </c>
      <c r="DA63">
        <v>-95.788679999999999</v>
      </c>
      <c r="DB63" s="291">
        <v>43210.361805555556</v>
      </c>
      <c r="DC63" t="s">
        <v>231</v>
      </c>
      <c r="DD63" t="s">
        <v>429</v>
      </c>
      <c r="DE63" t="s">
        <v>455</v>
      </c>
      <c r="DF63" t="s">
        <v>456</v>
      </c>
      <c r="DG63" t="s">
        <v>1051</v>
      </c>
      <c r="DH63">
        <v>0</v>
      </c>
      <c r="DI63" t="s">
        <v>327</v>
      </c>
      <c r="DJ63">
        <v>100</v>
      </c>
      <c r="DK63">
        <v>9</v>
      </c>
    </row>
    <row r="64" spans="1:115" x14ac:dyDescent="0.25">
      <c r="A64">
        <v>63</v>
      </c>
      <c r="B64" t="s">
        <v>657</v>
      </c>
      <c r="C64">
        <v>1</v>
      </c>
      <c r="D64">
        <v>73</v>
      </c>
      <c r="E64">
        <v>10974838</v>
      </c>
      <c r="F64" t="s">
        <v>464</v>
      </c>
      <c r="G64">
        <v>19</v>
      </c>
      <c r="H64">
        <v>34.792000000000002</v>
      </c>
      <c r="I64" t="s">
        <v>297</v>
      </c>
      <c r="J64" t="s">
        <v>299</v>
      </c>
      <c r="K64" t="s">
        <v>321</v>
      </c>
      <c r="L64" t="s">
        <v>406</v>
      </c>
      <c r="M64" t="s">
        <v>299</v>
      </c>
      <c r="N64" t="s">
        <v>321</v>
      </c>
      <c r="O64" t="s">
        <v>1050</v>
      </c>
      <c r="P64">
        <v>141530154</v>
      </c>
      <c r="Q64" s="290">
        <v>45083</v>
      </c>
      <c r="R64">
        <v>2</v>
      </c>
      <c r="S64">
        <v>2014</v>
      </c>
      <c r="T64" t="s">
        <v>431</v>
      </c>
      <c r="U64">
        <v>18</v>
      </c>
      <c r="V64" t="s">
        <v>321</v>
      </c>
      <c r="W64" t="s">
        <v>320</v>
      </c>
      <c r="X64">
        <v>0</v>
      </c>
      <c r="Y64">
        <v>2</v>
      </c>
      <c r="Z64" t="s">
        <v>797</v>
      </c>
      <c r="AA64" t="s">
        <v>409</v>
      </c>
      <c r="AB64" t="s">
        <v>410</v>
      </c>
      <c r="AC64" t="s">
        <v>433</v>
      </c>
      <c r="AD64" t="s">
        <v>446</v>
      </c>
      <c r="AE64" t="s">
        <v>321</v>
      </c>
      <c r="AF64" t="s">
        <v>434</v>
      </c>
      <c r="AG64" t="s">
        <v>414</v>
      </c>
      <c r="AH64" t="s">
        <v>809</v>
      </c>
      <c r="AI64" t="s">
        <v>1049</v>
      </c>
      <c r="AJ64" t="s">
        <v>471</v>
      </c>
      <c r="AK64" t="s">
        <v>447</v>
      </c>
      <c r="AL64" t="s">
        <v>417</v>
      </c>
      <c r="AM64" t="s">
        <v>418</v>
      </c>
      <c r="AN64" t="s">
        <v>1041</v>
      </c>
      <c r="AO64" t="s">
        <v>426</v>
      </c>
      <c r="AP64">
        <v>61</v>
      </c>
      <c r="AQ64" t="s">
        <v>427</v>
      </c>
      <c r="AR64" t="s">
        <v>421</v>
      </c>
      <c r="AS64" t="s">
        <v>321</v>
      </c>
      <c r="AT64" t="s">
        <v>321</v>
      </c>
      <c r="AU64" t="s">
        <v>321</v>
      </c>
      <c r="AV64" t="s">
        <v>321</v>
      </c>
      <c r="AW64" t="s">
        <v>816</v>
      </c>
      <c r="AX64" t="s">
        <v>422</v>
      </c>
      <c r="AY64">
        <v>15</v>
      </c>
      <c r="AZ64" t="s">
        <v>423</v>
      </c>
      <c r="BA64" t="s">
        <v>424</v>
      </c>
      <c r="BB64" t="s">
        <v>417</v>
      </c>
      <c r="BC64" t="s">
        <v>418</v>
      </c>
      <c r="BD64" t="s">
        <v>1041</v>
      </c>
      <c r="BE64" t="s">
        <v>426</v>
      </c>
      <c r="BF64">
        <v>92</v>
      </c>
      <c r="BG64" t="s">
        <v>420</v>
      </c>
      <c r="BH64" t="s">
        <v>421</v>
      </c>
      <c r="BI64" t="s">
        <v>926</v>
      </c>
      <c r="BJ64" t="s">
        <v>321</v>
      </c>
      <c r="BK64" t="s">
        <v>321</v>
      </c>
      <c r="BL64" t="s">
        <v>321</v>
      </c>
      <c r="BM64" t="s">
        <v>816</v>
      </c>
      <c r="BN64" t="s">
        <v>422</v>
      </c>
      <c r="BO64">
        <v>15</v>
      </c>
      <c r="BP64" t="s">
        <v>423</v>
      </c>
      <c r="BQ64" t="s">
        <v>424</v>
      </c>
      <c r="BR64" t="s">
        <v>321</v>
      </c>
      <c r="BS64" t="s">
        <v>321</v>
      </c>
      <c r="BT64" t="s">
        <v>321</v>
      </c>
      <c r="BU64" t="s">
        <v>321</v>
      </c>
      <c r="BV64" t="s">
        <v>321</v>
      </c>
      <c r="BW64" t="s">
        <v>321</v>
      </c>
      <c r="BX64" t="s">
        <v>321</v>
      </c>
      <c r="BY64" t="s">
        <v>321</v>
      </c>
      <c r="BZ64" t="s">
        <v>321</v>
      </c>
      <c r="CA64" t="s">
        <v>321</v>
      </c>
      <c r="CB64" t="s">
        <v>321</v>
      </c>
      <c r="CC64" t="s">
        <v>321</v>
      </c>
      <c r="CD64" t="s">
        <v>321</v>
      </c>
      <c r="CE64" t="s">
        <v>321</v>
      </c>
      <c r="CF64" t="s">
        <v>321</v>
      </c>
      <c r="CG64" t="s">
        <v>321</v>
      </c>
      <c r="CH64" t="s">
        <v>321</v>
      </c>
      <c r="CI64" t="s">
        <v>321</v>
      </c>
      <c r="CJ64" t="s">
        <v>321</v>
      </c>
      <c r="CK64" t="s">
        <v>321</v>
      </c>
      <c r="CL64" t="s">
        <v>321</v>
      </c>
      <c r="CM64" t="s">
        <v>321</v>
      </c>
      <c r="CN64" t="s">
        <v>321</v>
      </c>
      <c r="CO64" t="s">
        <v>321</v>
      </c>
      <c r="CP64" t="s">
        <v>321</v>
      </c>
      <c r="CQ64" t="s">
        <v>321</v>
      </c>
      <c r="CR64" t="s">
        <v>321</v>
      </c>
      <c r="CS64" t="s">
        <v>321</v>
      </c>
      <c r="CT64" t="s">
        <v>321</v>
      </c>
      <c r="CU64" t="s">
        <v>321</v>
      </c>
      <c r="CV64" t="s">
        <v>321</v>
      </c>
      <c r="CW64" t="s">
        <v>321</v>
      </c>
      <c r="CX64">
        <v>278114.83919999999</v>
      </c>
      <c r="CY64">
        <v>4925315.0970000001</v>
      </c>
      <c r="CZ64">
        <v>44.447102000000001</v>
      </c>
      <c r="DA64">
        <v>-95.788551999999996</v>
      </c>
      <c r="DB64" s="291">
        <v>41792.756944444445</v>
      </c>
      <c r="DC64" t="s">
        <v>231</v>
      </c>
      <c r="DD64" t="s">
        <v>429</v>
      </c>
      <c r="DE64" t="s">
        <v>430</v>
      </c>
      <c r="DF64" t="s">
        <v>430</v>
      </c>
      <c r="DG64" t="s">
        <v>1048</v>
      </c>
      <c r="DH64">
        <v>0</v>
      </c>
      <c r="DI64" t="s">
        <v>327</v>
      </c>
      <c r="DJ64">
        <v>100</v>
      </c>
      <c r="DK64">
        <v>9</v>
      </c>
    </row>
    <row r="65" spans="1:115" x14ac:dyDescent="0.25">
      <c r="A65">
        <v>64</v>
      </c>
      <c r="B65" t="s">
        <v>657</v>
      </c>
      <c r="C65">
        <v>1</v>
      </c>
      <c r="D65">
        <v>75</v>
      </c>
      <c r="E65">
        <v>620407</v>
      </c>
      <c r="F65" t="s">
        <v>464</v>
      </c>
      <c r="G65">
        <v>19</v>
      </c>
      <c r="H65">
        <v>34.844000000000001</v>
      </c>
      <c r="I65" t="s">
        <v>297</v>
      </c>
      <c r="J65" t="s">
        <v>299</v>
      </c>
      <c r="K65" t="s">
        <v>321</v>
      </c>
      <c r="L65" t="s">
        <v>406</v>
      </c>
      <c r="M65" t="s">
        <v>299</v>
      </c>
      <c r="N65" t="s">
        <v>321</v>
      </c>
      <c r="O65" s="292">
        <v>202000000000</v>
      </c>
      <c r="P65">
        <v>181930098</v>
      </c>
      <c r="Q65" s="290">
        <v>45114</v>
      </c>
      <c r="R65">
        <v>12</v>
      </c>
      <c r="S65">
        <v>2018</v>
      </c>
      <c r="T65" t="s">
        <v>458</v>
      </c>
      <c r="U65">
        <v>18</v>
      </c>
      <c r="V65" t="s">
        <v>459</v>
      </c>
      <c r="W65" t="s">
        <v>320</v>
      </c>
      <c r="X65">
        <v>0</v>
      </c>
      <c r="Y65">
        <v>2</v>
      </c>
      <c r="Z65" t="s">
        <v>568</v>
      </c>
      <c r="AA65" t="s">
        <v>409</v>
      </c>
      <c r="AB65" t="s">
        <v>452</v>
      </c>
      <c r="AC65" t="s">
        <v>433</v>
      </c>
      <c r="AD65" t="s">
        <v>446</v>
      </c>
      <c r="AE65" t="s">
        <v>321</v>
      </c>
      <c r="AF65" t="s">
        <v>434</v>
      </c>
      <c r="AG65" t="s">
        <v>414</v>
      </c>
      <c r="AH65" t="s">
        <v>477</v>
      </c>
      <c r="AI65" t="s">
        <v>321</v>
      </c>
      <c r="AJ65" t="s">
        <v>471</v>
      </c>
      <c r="AK65" t="s">
        <v>578</v>
      </c>
      <c r="AL65" t="s">
        <v>417</v>
      </c>
      <c r="AM65" t="s">
        <v>418</v>
      </c>
      <c r="AN65" t="s">
        <v>461</v>
      </c>
      <c r="AO65" t="s">
        <v>426</v>
      </c>
      <c r="AP65">
        <v>51</v>
      </c>
      <c r="AQ65" t="s">
        <v>427</v>
      </c>
      <c r="AR65" t="s">
        <v>421</v>
      </c>
      <c r="AS65" t="s">
        <v>428</v>
      </c>
      <c r="AT65" t="s">
        <v>321</v>
      </c>
      <c r="AU65" t="s">
        <v>321</v>
      </c>
      <c r="AV65" t="s">
        <v>321</v>
      </c>
      <c r="AW65" t="s">
        <v>441</v>
      </c>
      <c r="AX65" t="s">
        <v>449</v>
      </c>
      <c r="AY65">
        <v>30</v>
      </c>
      <c r="AZ65" t="s">
        <v>423</v>
      </c>
      <c r="BA65" t="s">
        <v>424</v>
      </c>
      <c r="BB65" t="s">
        <v>417</v>
      </c>
      <c r="BC65" t="s">
        <v>425</v>
      </c>
      <c r="BD65" t="s">
        <v>448</v>
      </c>
      <c r="BE65" t="s">
        <v>487</v>
      </c>
      <c r="BF65">
        <v>22</v>
      </c>
      <c r="BG65" t="s">
        <v>427</v>
      </c>
      <c r="BH65" t="s">
        <v>421</v>
      </c>
      <c r="BI65" t="s">
        <v>454</v>
      </c>
      <c r="BJ65" t="s">
        <v>321</v>
      </c>
      <c r="BK65" t="s">
        <v>321</v>
      </c>
      <c r="BL65" t="s">
        <v>321</v>
      </c>
      <c r="BM65" t="s">
        <v>441</v>
      </c>
      <c r="BN65" t="s">
        <v>449</v>
      </c>
      <c r="BO65">
        <v>30</v>
      </c>
      <c r="BP65" t="s">
        <v>423</v>
      </c>
      <c r="BQ65" t="s">
        <v>424</v>
      </c>
      <c r="BR65" t="s">
        <v>321</v>
      </c>
      <c r="BS65" t="s">
        <v>321</v>
      </c>
      <c r="BT65" t="s">
        <v>321</v>
      </c>
      <c r="BU65" t="s">
        <v>321</v>
      </c>
      <c r="BV65" t="s">
        <v>321</v>
      </c>
      <c r="BW65" t="s">
        <v>321</v>
      </c>
      <c r="BX65" t="s">
        <v>321</v>
      </c>
      <c r="BY65" t="s">
        <v>321</v>
      </c>
      <c r="BZ65" t="s">
        <v>321</v>
      </c>
      <c r="CA65" t="s">
        <v>321</v>
      </c>
      <c r="CB65" t="s">
        <v>321</v>
      </c>
      <c r="CC65" t="s">
        <v>321</v>
      </c>
      <c r="CD65" t="s">
        <v>321</v>
      </c>
      <c r="CE65" t="s">
        <v>321</v>
      </c>
      <c r="CF65" t="s">
        <v>321</v>
      </c>
      <c r="CG65" t="s">
        <v>321</v>
      </c>
      <c r="CH65" t="s">
        <v>321</v>
      </c>
      <c r="CI65" t="s">
        <v>321</v>
      </c>
      <c r="CJ65" t="s">
        <v>321</v>
      </c>
      <c r="CK65" t="s">
        <v>321</v>
      </c>
      <c r="CL65" t="s">
        <v>321</v>
      </c>
      <c r="CM65" t="s">
        <v>321</v>
      </c>
      <c r="CN65" t="s">
        <v>321</v>
      </c>
      <c r="CO65" t="s">
        <v>321</v>
      </c>
      <c r="CP65" t="s">
        <v>321</v>
      </c>
      <c r="CQ65" t="s">
        <v>321</v>
      </c>
      <c r="CR65" t="s">
        <v>321</v>
      </c>
      <c r="CS65" t="s">
        <v>321</v>
      </c>
      <c r="CT65" t="s">
        <v>321</v>
      </c>
      <c r="CU65" t="s">
        <v>321</v>
      </c>
      <c r="CV65" t="s">
        <v>321</v>
      </c>
      <c r="CW65" t="s">
        <v>321</v>
      </c>
      <c r="CX65">
        <v>278174.86080000002</v>
      </c>
      <c r="CY65">
        <v>4925373.2319999998</v>
      </c>
      <c r="CZ65">
        <v>44.447642999999999</v>
      </c>
      <c r="DA65">
        <v>-95.787824000000001</v>
      </c>
      <c r="DB65" s="291">
        <v>43293.776388888888</v>
      </c>
      <c r="DC65" t="s">
        <v>231</v>
      </c>
      <c r="DD65" t="s">
        <v>429</v>
      </c>
      <c r="DE65" t="s">
        <v>455</v>
      </c>
      <c r="DF65" t="s">
        <v>456</v>
      </c>
      <c r="DG65" t="s">
        <v>1047</v>
      </c>
      <c r="DH65">
        <v>0</v>
      </c>
      <c r="DI65" t="s">
        <v>326</v>
      </c>
      <c r="DJ65">
        <v>100</v>
      </c>
      <c r="DK65">
        <v>10</v>
      </c>
    </row>
    <row r="66" spans="1:115" x14ac:dyDescent="0.25">
      <c r="A66">
        <v>65</v>
      </c>
      <c r="B66" t="s">
        <v>657</v>
      </c>
      <c r="C66">
        <v>1</v>
      </c>
      <c r="D66">
        <v>76</v>
      </c>
      <c r="E66">
        <v>909171</v>
      </c>
      <c r="F66" t="s">
        <v>464</v>
      </c>
      <c r="G66">
        <v>19</v>
      </c>
      <c r="H66">
        <v>34.843000000000004</v>
      </c>
      <c r="I66" t="s">
        <v>297</v>
      </c>
      <c r="J66" t="s">
        <v>299</v>
      </c>
      <c r="K66" t="s">
        <v>321</v>
      </c>
      <c r="L66" t="s">
        <v>406</v>
      </c>
      <c r="M66" t="s">
        <v>299</v>
      </c>
      <c r="N66" t="s">
        <v>321</v>
      </c>
      <c r="O66">
        <v>21300839</v>
      </c>
      <c r="P66">
        <v>211470280</v>
      </c>
      <c r="Q66" s="290">
        <v>45051</v>
      </c>
      <c r="R66">
        <v>27</v>
      </c>
      <c r="S66">
        <v>2021</v>
      </c>
      <c r="T66" t="s">
        <v>458</v>
      </c>
      <c r="U66">
        <v>17</v>
      </c>
      <c r="V66" t="s">
        <v>321</v>
      </c>
      <c r="W66" t="s">
        <v>320</v>
      </c>
      <c r="X66">
        <v>0</v>
      </c>
      <c r="Y66">
        <v>2</v>
      </c>
      <c r="Z66" t="s">
        <v>476</v>
      </c>
      <c r="AA66" t="s">
        <v>409</v>
      </c>
      <c r="AB66" t="s">
        <v>410</v>
      </c>
      <c r="AC66" t="s">
        <v>433</v>
      </c>
      <c r="AD66" t="s">
        <v>521</v>
      </c>
      <c r="AE66" t="s">
        <v>446</v>
      </c>
      <c r="AF66" t="s">
        <v>523</v>
      </c>
      <c r="AG66" t="s">
        <v>414</v>
      </c>
      <c r="AH66" t="s">
        <v>477</v>
      </c>
      <c r="AI66" t="s">
        <v>321</v>
      </c>
      <c r="AJ66" t="s">
        <v>471</v>
      </c>
      <c r="AK66" t="s">
        <v>447</v>
      </c>
      <c r="AL66" t="s">
        <v>417</v>
      </c>
      <c r="AM66" t="s">
        <v>425</v>
      </c>
      <c r="AN66" t="s">
        <v>453</v>
      </c>
      <c r="AO66" t="s">
        <v>426</v>
      </c>
      <c r="AP66">
        <v>30</v>
      </c>
      <c r="AQ66" t="s">
        <v>420</v>
      </c>
      <c r="AR66" t="s">
        <v>421</v>
      </c>
      <c r="AS66" t="s">
        <v>440</v>
      </c>
      <c r="AT66" t="s">
        <v>321</v>
      </c>
      <c r="AU66" t="s">
        <v>321</v>
      </c>
      <c r="AV66" t="s">
        <v>321</v>
      </c>
      <c r="AW66" t="s">
        <v>441</v>
      </c>
      <c r="AX66" t="s">
        <v>581</v>
      </c>
      <c r="AY66">
        <v>30</v>
      </c>
      <c r="AZ66" t="s">
        <v>423</v>
      </c>
      <c r="BA66" t="s">
        <v>424</v>
      </c>
      <c r="BB66" t="s">
        <v>417</v>
      </c>
      <c r="BC66" t="s">
        <v>425</v>
      </c>
      <c r="BD66" t="s">
        <v>453</v>
      </c>
      <c r="BE66" t="s">
        <v>426</v>
      </c>
      <c r="BF66">
        <v>35</v>
      </c>
      <c r="BG66" t="s">
        <v>420</v>
      </c>
      <c r="BH66" t="s">
        <v>582</v>
      </c>
      <c r="BI66" t="s">
        <v>440</v>
      </c>
      <c r="BJ66" t="s">
        <v>321</v>
      </c>
      <c r="BK66" t="s">
        <v>321</v>
      </c>
      <c r="BL66" t="s">
        <v>321</v>
      </c>
      <c r="BM66" t="s">
        <v>441</v>
      </c>
      <c r="BN66" t="s">
        <v>581</v>
      </c>
      <c r="BO66">
        <v>30</v>
      </c>
      <c r="BP66" t="s">
        <v>423</v>
      </c>
      <c r="BQ66" t="s">
        <v>424</v>
      </c>
      <c r="BR66" t="s">
        <v>321</v>
      </c>
      <c r="BS66" t="s">
        <v>321</v>
      </c>
      <c r="BT66" t="s">
        <v>321</v>
      </c>
      <c r="BU66" t="s">
        <v>321</v>
      </c>
      <c r="BV66" t="s">
        <v>321</v>
      </c>
      <c r="BW66" t="s">
        <v>321</v>
      </c>
      <c r="BX66" t="s">
        <v>321</v>
      </c>
      <c r="BY66" t="s">
        <v>321</v>
      </c>
      <c r="BZ66" t="s">
        <v>321</v>
      </c>
      <c r="CA66" t="s">
        <v>321</v>
      </c>
      <c r="CB66" t="s">
        <v>321</v>
      </c>
      <c r="CC66" t="s">
        <v>321</v>
      </c>
      <c r="CD66" t="s">
        <v>321</v>
      </c>
      <c r="CE66" t="s">
        <v>321</v>
      </c>
      <c r="CF66" t="s">
        <v>321</v>
      </c>
      <c r="CG66" t="s">
        <v>321</v>
      </c>
      <c r="CH66" t="s">
        <v>321</v>
      </c>
      <c r="CI66" t="s">
        <v>321</v>
      </c>
      <c r="CJ66" t="s">
        <v>321</v>
      </c>
      <c r="CK66" t="s">
        <v>321</v>
      </c>
      <c r="CL66" t="s">
        <v>321</v>
      </c>
      <c r="CM66" t="s">
        <v>321</v>
      </c>
      <c r="CN66" t="s">
        <v>321</v>
      </c>
      <c r="CO66" t="s">
        <v>321</v>
      </c>
      <c r="CP66" t="s">
        <v>321</v>
      </c>
      <c r="CQ66" t="s">
        <v>321</v>
      </c>
      <c r="CR66" t="s">
        <v>321</v>
      </c>
      <c r="CS66" t="s">
        <v>321</v>
      </c>
      <c r="CT66" t="s">
        <v>321</v>
      </c>
      <c r="CU66" t="s">
        <v>321</v>
      </c>
      <c r="CV66" t="s">
        <v>321</v>
      </c>
      <c r="CW66" t="s">
        <v>321</v>
      </c>
      <c r="CX66">
        <v>278173.89039999997</v>
      </c>
      <c r="CY66">
        <v>4925372.2920000004</v>
      </c>
      <c r="CZ66">
        <v>44.447634999999998</v>
      </c>
      <c r="DA66">
        <v>-95.787835999999999</v>
      </c>
      <c r="DB66" s="291">
        <v>44343.739583333336</v>
      </c>
      <c r="DC66" t="s">
        <v>231</v>
      </c>
      <c r="DD66" t="s">
        <v>429</v>
      </c>
      <c r="DE66" t="s">
        <v>583</v>
      </c>
      <c r="DF66" t="s">
        <v>444</v>
      </c>
      <c r="DG66" t="s">
        <v>584</v>
      </c>
      <c r="DH66">
        <v>0</v>
      </c>
      <c r="DI66" t="s">
        <v>326</v>
      </c>
      <c r="DJ66">
        <v>100</v>
      </c>
      <c r="DK66">
        <v>10</v>
      </c>
    </row>
    <row r="67" spans="1:115" x14ac:dyDescent="0.25">
      <c r="A67">
        <v>66</v>
      </c>
      <c r="B67" t="s">
        <v>657</v>
      </c>
      <c r="C67">
        <v>1</v>
      </c>
      <c r="D67">
        <v>77</v>
      </c>
      <c r="E67">
        <v>802963</v>
      </c>
      <c r="F67" t="s">
        <v>464</v>
      </c>
      <c r="G67">
        <v>19</v>
      </c>
      <c r="H67">
        <v>34.844999999999999</v>
      </c>
      <c r="I67" t="s">
        <v>297</v>
      </c>
      <c r="J67" t="s">
        <v>299</v>
      </c>
      <c r="K67" t="s">
        <v>321</v>
      </c>
      <c r="L67" t="s">
        <v>406</v>
      </c>
      <c r="M67" t="s">
        <v>299</v>
      </c>
      <c r="N67" t="s">
        <v>321</v>
      </c>
      <c r="O67" s="292">
        <v>202000000000</v>
      </c>
      <c r="P67">
        <v>200680029</v>
      </c>
      <c r="Q67" s="290">
        <v>44988</v>
      </c>
      <c r="R67">
        <v>8</v>
      </c>
      <c r="S67">
        <v>2020</v>
      </c>
      <c r="T67" t="s">
        <v>489</v>
      </c>
      <c r="U67">
        <v>14</v>
      </c>
      <c r="V67" t="s">
        <v>466</v>
      </c>
      <c r="W67" t="s">
        <v>320</v>
      </c>
      <c r="X67">
        <v>0</v>
      </c>
      <c r="Y67">
        <v>2</v>
      </c>
      <c r="Z67" t="s">
        <v>476</v>
      </c>
      <c r="AA67" t="s">
        <v>409</v>
      </c>
      <c r="AB67" t="s">
        <v>452</v>
      </c>
      <c r="AC67" t="s">
        <v>433</v>
      </c>
      <c r="AD67" t="s">
        <v>412</v>
      </c>
      <c r="AE67" t="s">
        <v>321</v>
      </c>
      <c r="AF67" t="s">
        <v>434</v>
      </c>
      <c r="AG67" t="s">
        <v>414</v>
      </c>
      <c r="AH67" t="s">
        <v>477</v>
      </c>
      <c r="AI67" t="s">
        <v>585</v>
      </c>
      <c r="AJ67" t="s">
        <v>471</v>
      </c>
      <c r="AK67" t="s">
        <v>447</v>
      </c>
      <c r="AL67" t="s">
        <v>417</v>
      </c>
      <c r="AM67" t="s">
        <v>514</v>
      </c>
      <c r="AN67" t="s">
        <v>448</v>
      </c>
      <c r="AO67" t="s">
        <v>480</v>
      </c>
      <c r="AP67">
        <v>31</v>
      </c>
      <c r="AQ67" t="s">
        <v>420</v>
      </c>
      <c r="AR67" t="s">
        <v>421</v>
      </c>
      <c r="AS67" t="s">
        <v>428</v>
      </c>
      <c r="AT67" t="s">
        <v>321</v>
      </c>
      <c r="AU67" t="s">
        <v>321</v>
      </c>
      <c r="AV67" t="s">
        <v>321</v>
      </c>
      <c r="AW67" t="s">
        <v>441</v>
      </c>
      <c r="AX67" t="s">
        <v>449</v>
      </c>
      <c r="AY67">
        <v>30</v>
      </c>
      <c r="AZ67" t="s">
        <v>423</v>
      </c>
      <c r="BA67" t="s">
        <v>424</v>
      </c>
      <c r="BB67" t="s">
        <v>417</v>
      </c>
      <c r="BC67" t="s">
        <v>478</v>
      </c>
      <c r="BD67" t="s">
        <v>448</v>
      </c>
      <c r="BE67" t="s">
        <v>426</v>
      </c>
      <c r="BF67">
        <v>16</v>
      </c>
      <c r="BG67" t="s">
        <v>427</v>
      </c>
      <c r="BH67" t="s">
        <v>421</v>
      </c>
      <c r="BI67" t="s">
        <v>532</v>
      </c>
      <c r="BJ67" t="s">
        <v>321</v>
      </c>
      <c r="BK67" t="s">
        <v>321</v>
      </c>
      <c r="BL67" t="s">
        <v>321</v>
      </c>
      <c r="BM67" t="s">
        <v>441</v>
      </c>
      <c r="BN67" t="s">
        <v>449</v>
      </c>
      <c r="BO67">
        <v>30</v>
      </c>
      <c r="BP67" t="s">
        <v>423</v>
      </c>
      <c r="BQ67" t="s">
        <v>424</v>
      </c>
      <c r="BR67" t="s">
        <v>321</v>
      </c>
      <c r="BS67" t="s">
        <v>321</v>
      </c>
      <c r="BT67" t="s">
        <v>321</v>
      </c>
      <c r="BU67" t="s">
        <v>321</v>
      </c>
      <c r="BV67" t="s">
        <v>321</v>
      </c>
      <c r="BW67" t="s">
        <v>321</v>
      </c>
      <c r="BX67" t="s">
        <v>321</v>
      </c>
      <c r="BY67" t="s">
        <v>321</v>
      </c>
      <c r="BZ67" t="s">
        <v>321</v>
      </c>
      <c r="CA67" t="s">
        <v>321</v>
      </c>
      <c r="CB67" t="s">
        <v>321</v>
      </c>
      <c r="CC67" t="s">
        <v>321</v>
      </c>
      <c r="CD67" t="s">
        <v>321</v>
      </c>
      <c r="CE67" t="s">
        <v>321</v>
      </c>
      <c r="CF67" t="s">
        <v>321</v>
      </c>
      <c r="CG67" t="s">
        <v>321</v>
      </c>
      <c r="CH67" t="s">
        <v>321</v>
      </c>
      <c r="CI67" t="s">
        <v>321</v>
      </c>
      <c r="CJ67" t="s">
        <v>321</v>
      </c>
      <c r="CK67" t="s">
        <v>321</v>
      </c>
      <c r="CL67" t="s">
        <v>321</v>
      </c>
      <c r="CM67" t="s">
        <v>321</v>
      </c>
      <c r="CN67" t="s">
        <v>321</v>
      </c>
      <c r="CO67" t="s">
        <v>321</v>
      </c>
      <c r="CP67" t="s">
        <v>321</v>
      </c>
      <c r="CQ67" t="s">
        <v>321</v>
      </c>
      <c r="CR67" t="s">
        <v>321</v>
      </c>
      <c r="CS67" t="s">
        <v>321</v>
      </c>
      <c r="CT67" t="s">
        <v>321</v>
      </c>
      <c r="CU67" t="s">
        <v>321</v>
      </c>
      <c r="CV67" t="s">
        <v>321</v>
      </c>
      <c r="CW67" t="s">
        <v>321</v>
      </c>
      <c r="CX67">
        <v>278175.79310000001</v>
      </c>
      <c r="CY67">
        <v>4925374.1349999998</v>
      </c>
      <c r="CZ67">
        <v>44.447651999999998</v>
      </c>
      <c r="DA67">
        <v>-95.787813</v>
      </c>
      <c r="DB67" s="291">
        <v>43898.615277777775</v>
      </c>
      <c r="DC67" t="s">
        <v>231</v>
      </c>
      <c r="DD67" t="s">
        <v>429</v>
      </c>
      <c r="DE67" t="s">
        <v>455</v>
      </c>
      <c r="DF67" t="s">
        <v>456</v>
      </c>
      <c r="DG67" t="s">
        <v>586</v>
      </c>
      <c r="DH67">
        <v>0</v>
      </c>
      <c r="DI67" t="s">
        <v>326</v>
      </c>
      <c r="DJ67">
        <v>100</v>
      </c>
      <c r="DK67">
        <v>10</v>
      </c>
    </row>
    <row r="68" spans="1:115" x14ac:dyDescent="0.25">
      <c r="A68">
        <v>67</v>
      </c>
      <c r="B68" t="s">
        <v>657</v>
      </c>
      <c r="C68">
        <v>1</v>
      </c>
      <c r="D68">
        <v>78</v>
      </c>
      <c r="E68">
        <v>847235</v>
      </c>
      <c r="F68" t="s">
        <v>464</v>
      </c>
      <c r="G68">
        <v>19</v>
      </c>
      <c r="H68">
        <v>34.844000000000001</v>
      </c>
      <c r="I68" t="s">
        <v>297</v>
      </c>
      <c r="J68" t="s">
        <v>299</v>
      </c>
      <c r="K68" t="s">
        <v>321</v>
      </c>
      <c r="L68" t="s">
        <v>406</v>
      </c>
      <c r="M68" t="s">
        <v>299</v>
      </c>
      <c r="N68" t="s">
        <v>321</v>
      </c>
      <c r="O68" s="292">
        <v>202000000000</v>
      </c>
      <c r="P68">
        <v>202930040</v>
      </c>
      <c r="Q68" s="290">
        <v>45209</v>
      </c>
      <c r="R68">
        <v>19</v>
      </c>
      <c r="S68">
        <v>2020</v>
      </c>
      <c r="T68" t="s">
        <v>431</v>
      </c>
      <c r="U68">
        <v>10</v>
      </c>
      <c r="V68" t="s">
        <v>321</v>
      </c>
      <c r="W68" t="s">
        <v>320</v>
      </c>
      <c r="X68">
        <v>0</v>
      </c>
      <c r="Y68">
        <v>2</v>
      </c>
      <c r="Z68" t="s">
        <v>476</v>
      </c>
      <c r="AA68" t="s">
        <v>409</v>
      </c>
      <c r="AB68" t="s">
        <v>452</v>
      </c>
      <c r="AC68" t="s">
        <v>433</v>
      </c>
      <c r="AD68" t="s">
        <v>446</v>
      </c>
      <c r="AE68" t="s">
        <v>321</v>
      </c>
      <c r="AF68" t="s">
        <v>523</v>
      </c>
      <c r="AG68" t="s">
        <v>414</v>
      </c>
      <c r="AH68" t="s">
        <v>477</v>
      </c>
      <c r="AI68" t="s">
        <v>321</v>
      </c>
      <c r="AJ68" t="s">
        <v>471</v>
      </c>
      <c r="AK68" t="s">
        <v>447</v>
      </c>
      <c r="AL68" t="s">
        <v>417</v>
      </c>
      <c r="AM68" t="s">
        <v>425</v>
      </c>
      <c r="AN68" t="s">
        <v>448</v>
      </c>
      <c r="AO68" t="s">
        <v>480</v>
      </c>
      <c r="AP68">
        <v>34</v>
      </c>
      <c r="AQ68" t="s">
        <v>420</v>
      </c>
      <c r="AR68" t="s">
        <v>421</v>
      </c>
      <c r="AS68" t="s">
        <v>428</v>
      </c>
      <c r="AT68" t="s">
        <v>321</v>
      </c>
      <c r="AU68" t="s">
        <v>321</v>
      </c>
      <c r="AV68" t="s">
        <v>321</v>
      </c>
      <c r="AW68" t="s">
        <v>441</v>
      </c>
      <c r="AX68" t="s">
        <v>449</v>
      </c>
      <c r="AY68">
        <v>30</v>
      </c>
      <c r="AZ68" t="s">
        <v>423</v>
      </c>
      <c r="BA68" t="s">
        <v>424</v>
      </c>
      <c r="BB68" t="s">
        <v>417</v>
      </c>
      <c r="BC68" t="s">
        <v>425</v>
      </c>
      <c r="BD68" t="s">
        <v>448</v>
      </c>
      <c r="BE68" t="s">
        <v>426</v>
      </c>
      <c r="BF68">
        <v>21</v>
      </c>
      <c r="BG68" t="s">
        <v>420</v>
      </c>
      <c r="BH68" t="s">
        <v>421</v>
      </c>
      <c r="BI68" t="s">
        <v>532</v>
      </c>
      <c r="BJ68" t="s">
        <v>454</v>
      </c>
      <c r="BK68" t="s">
        <v>321</v>
      </c>
      <c r="BL68" t="s">
        <v>321</v>
      </c>
      <c r="BM68" t="s">
        <v>441</v>
      </c>
      <c r="BN68" t="s">
        <v>449</v>
      </c>
      <c r="BO68">
        <v>30</v>
      </c>
      <c r="BP68" t="s">
        <v>423</v>
      </c>
      <c r="BQ68" t="s">
        <v>424</v>
      </c>
      <c r="BR68" t="s">
        <v>321</v>
      </c>
      <c r="BS68" t="s">
        <v>321</v>
      </c>
      <c r="BT68" t="s">
        <v>321</v>
      </c>
      <c r="BU68" t="s">
        <v>321</v>
      </c>
      <c r="BV68" t="s">
        <v>321</v>
      </c>
      <c r="BW68" t="s">
        <v>321</v>
      </c>
      <c r="BX68" t="s">
        <v>321</v>
      </c>
      <c r="BY68" t="s">
        <v>321</v>
      </c>
      <c r="BZ68" t="s">
        <v>321</v>
      </c>
      <c r="CA68" t="s">
        <v>321</v>
      </c>
      <c r="CB68" t="s">
        <v>321</v>
      </c>
      <c r="CC68" t="s">
        <v>321</v>
      </c>
      <c r="CD68" t="s">
        <v>321</v>
      </c>
      <c r="CE68" t="s">
        <v>321</v>
      </c>
      <c r="CF68" t="s">
        <v>321</v>
      </c>
      <c r="CG68" t="s">
        <v>321</v>
      </c>
      <c r="CH68" t="s">
        <v>321</v>
      </c>
      <c r="CI68" t="s">
        <v>321</v>
      </c>
      <c r="CJ68" t="s">
        <v>321</v>
      </c>
      <c r="CK68" t="s">
        <v>321</v>
      </c>
      <c r="CL68" t="s">
        <v>321</v>
      </c>
      <c r="CM68" t="s">
        <v>321</v>
      </c>
      <c r="CN68" t="s">
        <v>321</v>
      </c>
      <c r="CO68" t="s">
        <v>321</v>
      </c>
      <c r="CP68" t="s">
        <v>321</v>
      </c>
      <c r="CQ68" t="s">
        <v>321</v>
      </c>
      <c r="CR68" t="s">
        <v>321</v>
      </c>
      <c r="CS68" t="s">
        <v>321</v>
      </c>
      <c r="CT68" t="s">
        <v>321</v>
      </c>
      <c r="CU68" t="s">
        <v>321</v>
      </c>
      <c r="CV68" t="s">
        <v>321</v>
      </c>
      <c r="CW68" t="s">
        <v>321</v>
      </c>
      <c r="CX68">
        <v>278175.15259999997</v>
      </c>
      <c r="CY68">
        <v>4925373.5140000004</v>
      </c>
      <c r="CZ68">
        <v>44.447645999999999</v>
      </c>
      <c r="DA68">
        <v>-95.787819999999996</v>
      </c>
      <c r="DB68" s="291">
        <v>44123.428472222222</v>
      </c>
      <c r="DC68" t="s">
        <v>231</v>
      </c>
      <c r="DD68" t="s">
        <v>429</v>
      </c>
      <c r="DE68" t="s">
        <v>455</v>
      </c>
      <c r="DF68" t="s">
        <v>456</v>
      </c>
      <c r="DG68" t="s">
        <v>587</v>
      </c>
      <c r="DH68">
        <v>0</v>
      </c>
      <c r="DI68" t="s">
        <v>326</v>
      </c>
      <c r="DJ68">
        <v>100</v>
      </c>
      <c r="DK68">
        <v>10</v>
      </c>
    </row>
    <row r="69" spans="1:115" x14ac:dyDescent="0.25">
      <c r="A69">
        <v>68</v>
      </c>
      <c r="B69" t="s">
        <v>657</v>
      </c>
      <c r="C69">
        <v>1</v>
      </c>
      <c r="D69">
        <v>79</v>
      </c>
      <c r="E69">
        <v>650588</v>
      </c>
      <c r="F69" t="s">
        <v>464</v>
      </c>
      <c r="G69">
        <v>19</v>
      </c>
      <c r="H69">
        <v>34.845999999999997</v>
      </c>
      <c r="I69" t="s">
        <v>297</v>
      </c>
      <c r="J69" t="s">
        <v>299</v>
      </c>
      <c r="K69" t="s">
        <v>321</v>
      </c>
      <c r="L69" t="s">
        <v>406</v>
      </c>
      <c r="M69" t="s">
        <v>299</v>
      </c>
      <c r="N69" t="s">
        <v>321</v>
      </c>
      <c r="O69" s="292">
        <v>202000000000</v>
      </c>
      <c r="P69">
        <v>182820097</v>
      </c>
      <c r="Q69" s="290">
        <v>45209</v>
      </c>
      <c r="R69">
        <v>9</v>
      </c>
      <c r="S69">
        <v>2018</v>
      </c>
      <c r="T69" t="s">
        <v>407</v>
      </c>
      <c r="U69">
        <v>12</v>
      </c>
      <c r="V69" t="s">
        <v>466</v>
      </c>
      <c r="W69" t="s">
        <v>320</v>
      </c>
      <c r="X69">
        <v>0</v>
      </c>
      <c r="Y69">
        <v>2</v>
      </c>
      <c r="Z69" t="s">
        <v>476</v>
      </c>
      <c r="AA69" t="s">
        <v>409</v>
      </c>
      <c r="AB69" t="s">
        <v>452</v>
      </c>
      <c r="AC69" t="s">
        <v>433</v>
      </c>
      <c r="AD69" t="s">
        <v>446</v>
      </c>
      <c r="AE69" t="s">
        <v>521</v>
      </c>
      <c r="AF69" t="s">
        <v>523</v>
      </c>
      <c r="AG69" t="s">
        <v>414</v>
      </c>
      <c r="AH69" t="s">
        <v>477</v>
      </c>
      <c r="AI69" t="s">
        <v>321</v>
      </c>
      <c r="AJ69" t="s">
        <v>471</v>
      </c>
      <c r="AK69" t="s">
        <v>447</v>
      </c>
      <c r="AL69" t="s">
        <v>417</v>
      </c>
      <c r="AM69" t="s">
        <v>418</v>
      </c>
      <c r="AN69" t="s">
        <v>448</v>
      </c>
      <c r="AO69" t="s">
        <v>426</v>
      </c>
      <c r="AP69">
        <v>44</v>
      </c>
      <c r="AQ69" t="s">
        <v>427</v>
      </c>
      <c r="AR69" t="s">
        <v>421</v>
      </c>
      <c r="AS69" t="s">
        <v>532</v>
      </c>
      <c r="AT69" t="s">
        <v>321</v>
      </c>
      <c r="AU69" t="s">
        <v>321</v>
      </c>
      <c r="AV69" t="s">
        <v>321</v>
      </c>
      <c r="AW69" t="s">
        <v>441</v>
      </c>
      <c r="AX69" t="s">
        <v>449</v>
      </c>
      <c r="AY69">
        <v>30</v>
      </c>
      <c r="AZ69" t="s">
        <v>423</v>
      </c>
      <c r="BA69" t="s">
        <v>424</v>
      </c>
      <c r="BB69" t="s">
        <v>417</v>
      </c>
      <c r="BC69" t="s">
        <v>425</v>
      </c>
      <c r="BD69" t="s">
        <v>448</v>
      </c>
      <c r="BE69" t="s">
        <v>426</v>
      </c>
      <c r="BF69">
        <v>23</v>
      </c>
      <c r="BG69" t="s">
        <v>420</v>
      </c>
      <c r="BH69" t="s">
        <v>421</v>
      </c>
      <c r="BI69" t="s">
        <v>428</v>
      </c>
      <c r="BJ69" t="s">
        <v>321</v>
      </c>
      <c r="BK69" t="s">
        <v>321</v>
      </c>
      <c r="BL69" t="s">
        <v>321</v>
      </c>
      <c r="BM69" t="s">
        <v>441</v>
      </c>
      <c r="BN69" t="s">
        <v>449</v>
      </c>
      <c r="BO69">
        <v>30</v>
      </c>
      <c r="BP69" t="s">
        <v>423</v>
      </c>
      <c r="BQ69" t="s">
        <v>424</v>
      </c>
      <c r="BR69" t="s">
        <v>321</v>
      </c>
      <c r="BS69" t="s">
        <v>321</v>
      </c>
      <c r="BT69" t="s">
        <v>321</v>
      </c>
      <c r="BU69" t="s">
        <v>321</v>
      </c>
      <c r="BV69" t="s">
        <v>321</v>
      </c>
      <c r="BW69" t="s">
        <v>321</v>
      </c>
      <c r="BX69" t="s">
        <v>321</v>
      </c>
      <c r="BY69" t="s">
        <v>321</v>
      </c>
      <c r="BZ69" t="s">
        <v>321</v>
      </c>
      <c r="CA69" t="s">
        <v>321</v>
      </c>
      <c r="CB69" t="s">
        <v>321</v>
      </c>
      <c r="CC69" t="s">
        <v>321</v>
      </c>
      <c r="CD69" t="s">
        <v>321</v>
      </c>
      <c r="CE69" t="s">
        <v>321</v>
      </c>
      <c r="CF69" t="s">
        <v>321</v>
      </c>
      <c r="CG69" t="s">
        <v>321</v>
      </c>
      <c r="CH69" t="s">
        <v>321</v>
      </c>
      <c r="CI69" t="s">
        <v>321</v>
      </c>
      <c r="CJ69" t="s">
        <v>321</v>
      </c>
      <c r="CK69" t="s">
        <v>321</v>
      </c>
      <c r="CL69" t="s">
        <v>321</v>
      </c>
      <c r="CM69" t="s">
        <v>321</v>
      </c>
      <c r="CN69" t="s">
        <v>321</v>
      </c>
      <c r="CO69" t="s">
        <v>321</v>
      </c>
      <c r="CP69" t="s">
        <v>321</v>
      </c>
      <c r="CQ69" t="s">
        <v>321</v>
      </c>
      <c r="CR69" t="s">
        <v>321</v>
      </c>
      <c r="CS69" t="s">
        <v>321</v>
      </c>
      <c r="CT69" t="s">
        <v>321</v>
      </c>
      <c r="CU69" t="s">
        <v>321</v>
      </c>
      <c r="CV69" t="s">
        <v>321</v>
      </c>
      <c r="CW69" t="s">
        <v>321</v>
      </c>
      <c r="CX69">
        <v>278176.9792</v>
      </c>
      <c r="CY69">
        <v>4925375.2829999998</v>
      </c>
      <c r="CZ69">
        <v>44.447662000000001</v>
      </c>
      <c r="DA69">
        <v>-95.787797999999995</v>
      </c>
      <c r="DB69" s="291">
        <v>43382.510416666664</v>
      </c>
      <c r="DC69" t="s">
        <v>231</v>
      </c>
      <c r="DD69" t="s">
        <v>429</v>
      </c>
      <c r="DE69" t="s">
        <v>455</v>
      </c>
      <c r="DF69" t="s">
        <v>456</v>
      </c>
      <c r="DG69" t="s">
        <v>1046</v>
      </c>
      <c r="DH69">
        <v>0</v>
      </c>
      <c r="DI69" t="s">
        <v>326</v>
      </c>
      <c r="DJ69">
        <v>100</v>
      </c>
      <c r="DK69">
        <v>10</v>
      </c>
    </row>
    <row r="70" spans="1:115" x14ac:dyDescent="0.25">
      <c r="A70">
        <v>69</v>
      </c>
      <c r="B70" t="s">
        <v>657</v>
      </c>
      <c r="C70">
        <v>1</v>
      </c>
      <c r="D70">
        <v>80</v>
      </c>
      <c r="E70">
        <v>10964919</v>
      </c>
      <c r="F70" t="s">
        <v>464</v>
      </c>
      <c r="G70">
        <v>19</v>
      </c>
      <c r="H70">
        <v>34.845999999999997</v>
      </c>
      <c r="I70" t="s">
        <v>297</v>
      </c>
      <c r="J70" t="s">
        <v>299</v>
      </c>
      <c r="K70" t="s">
        <v>321</v>
      </c>
      <c r="L70" t="s">
        <v>406</v>
      </c>
      <c r="M70" t="s">
        <v>299</v>
      </c>
      <c r="N70" t="s">
        <v>321</v>
      </c>
      <c r="O70" t="s">
        <v>1045</v>
      </c>
      <c r="P70">
        <v>140490165</v>
      </c>
      <c r="Q70" s="290">
        <v>44959</v>
      </c>
      <c r="R70">
        <v>14</v>
      </c>
      <c r="S70">
        <v>2014</v>
      </c>
      <c r="T70" t="s">
        <v>485</v>
      </c>
      <c r="U70">
        <v>11</v>
      </c>
      <c r="V70" t="s">
        <v>321</v>
      </c>
      <c r="W70" t="s">
        <v>320</v>
      </c>
      <c r="X70">
        <v>0</v>
      </c>
      <c r="Y70">
        <v>1</v>
      </c>
      <c r="Z70" t="s">
        <v>463</v>
      </c>
      <c r="AA70" t="s">
        <v>490</v>
      </c>
      <c r="AB70" t="s">
        <v>452</v>
      </c>
      <c r="AC70" t="s">
        <v>433</v>
      </c>
      <c r="AD70" t="s">
        <v>412</v>
      </c>
      <c r="AE70" t="s">
        <v>321</v>
      </c>
      <c r="AF70" t="s">
        <v>857</v>
      </c>
      <c r="AG70" t="s">
        <v>414</v>
      </c>
      <c r="AH70" t="s">
        <v>841</v>
      </c>
      <c r="AI70" t="s">
        <v>1034</v>
      </c>
      <c r="AJ70" t="s">
        <v>471</v>
      </c>
      <c r="AK70" t="s">
        <v>436</v>
      </c>
      <c r="AL70" t="s">
        <v>417</v>
      </c>
      <c r="AM70" t="s">
        <v>1044</v>
      </c>
      <c r="AN70" t="s">
        <v>892</v>
      </c>
      <c r="AO70" t="s">
        <v>419</v>
      </c>
      <c r="AP70">
        <v>27</v>
      </c>
      <c r="AQ70" t="s">
        <v>420</v>
      </c>
      <c r="AR70" t="s">
        <v>421</v>
      </c>
      <c r="AS70" t="s">
        <v>462</v>
      </c>
      <c r="AT70" t="s">
        <v>806</v>
      </c>
      <c r="AU70" t="s">
        <v>321</v>
      </c>
      <c r="AV70" t="s">
        <v>321</v>
      </c>
      <c r="AW70" t="s">
        <v>805</v>
      </c>
      <c r="AX70" t="s">
        <v>449</v>
      </c>
      <c r="AY70">
        <v>30</v>
      </c>
      <c r="AZ70" t="s">
        <v>423</v>
      </c>
      <c r="BA70" t="s">
        <v>424</v>
      </c>
      <c r="BB70" t="s">
        <v>321</v>
      </c>
      <c r="BC70" t="s">
        <v>321</v>
      </c>
      <c r="BD70" t="s">
        <v>321</v>
      </c>
      <c r="BE70" t="s">
        <v>321</v>
      </c>
      <c r="BF70" t="s">
        <v>321</v>
      </c>
      <c r="BG70" t="s">
        <v>321</v>
      </c>
      <c r="BH70" t="s">
        <v>321</v>
      </c>
      <c r="BI70" t="s">
        <v>321</v>
      </c>
      <c r="BJ70" t="s">
        <v>321</v>
      </c>
      <c r="BK70" t="s">
        <v>321</v>
      </c>
      <c r="BL70" t="s">
        <v>321</v>
      </c>
      <c r="BM70" t="s">
        <v>321</v>
      </c>
      <c r="BN70" t="s">
        <v>321</v>
      </c>
      <c r="BO70" t="s">
        <v>321</v>
      </c>
      <c r="BP70" t="s">
        <v>321</v>
      </c>
      <c r="BQ70" t="s">
        <v>321</v>
      </c>
      <c r="BR70" t="s">
        <v>321</v>
      </c>
      <c r="BS70" t="s">
        <v>321</v>
      </c>
      <c r="BT70" t="s">
        <v>321</v>
      </c>
      <c r="BU70" t="s">
        <v>321</v>
      </c>
      <c r="BV70" t="s">
        <v>321</v>
      </c>
      <c r="BW70" t="s">
        <v>321</v>
      </c>
      <c r="BX70" t="s">
        <v>321</v>
      </c>
      <c r="BY70" t="s">
        <v>321</v>
      </c>
      <c r="BZ70" t="s">
        <v>321</v>
      </c>
      <c r="CA70" t="s">
        <v>321</v>
      </c>
      <c r="CB70" t="s">
        <v>321</v>
      </c>
      <c r="CC70" t="s">
        <v>321</v>
      </c>
      <c r="CD70" t="s">
        <v>321</v>
      </c>
      <c r="CE70" t="s">
        <v>321</v>
      </c>
      <c r="CF70" t="s">
        <v>321</v>
      </c>
      <c r="CG70" t="s">
        <v>321</v>
      </c>
      <c r="CH70" t="s">
        <v>321</v>
      </c>
      <c r="CI70" t="s">
        <v>321</v>
      </c>
      <c r="CJ70" t="s">
        <v>321</v>
      </c>
      <c r="CK70" t="s">
        <v>321</v>
      </c>
      <c r="CL70" t="s">
        <v>321</v>
      </c>
      <c r="CM70" t="s">
        <v>321</v>
      </c>
      <c r="CN70" t="s">
        <v>321</v>
      </c>
      <c r="CO70" t="s">
        <v>321</v>
      </c>
      <c r="CP70" t="s">
        <v>321</v>
      </c>
      <c r="CQ70" t="s">
        <v>321</v>
      </c>
      <c r="CR70" t="s">
        <v>321</v>
      </c>
      <c r="CS70" t="s">
        <v>321</v>
      </c>
      <c r="CT70" t="s">
        <v>321</v>
      </c>
      <c r="CU70" t="s">
        <v>321</v>
      </c>
      <c r="CV70" t="s">
        <v>321</v>
      </c>
      <c r="CW70" t="s">
        <v>321</v>
      </c>
      <c r="CX70">
        <v>278177.2634</v>
      </c>
      <c r="CY70">
        <v>4925375.5590000004</v>
      </c>
      <c r="CZ70">
        <v>44.447665000000001</v>
      </c>
      <c r="DA70">
        <v>-95.787795000000003</v>
      </c>
      <c r="DB70" s="291">
        <v>41684.479166666664</v>
      </c>
      <c r="DC70" t="s">
        <v>231</v>
      </c>
      <c r="DD70" t="s">
        <v>429</v>
      </c>
      <c r="DE70" t="s">
        <v>430</v>
      </c>
      <c r="DF70" t="s">
        <v>430</v>
      </c>
      <c r="DG70" t="s">
        <v>1043</v>
      </c>
      <c r="DH70">
        <v>0</v>
      </c>
      <c r="DI70" t="s">
        <v>326</v>
      </c>
      <c r="DJ70">
        <v>100</v>
      </c>
      <c r="DK70">
        <v>10</v>
      </c>
    </row>
    <row r="71" spans="1:115" x14ac:dyDescent="0.25">
      <c r="A71">
        <v>70</v>
      </c>
      <c r="B71" t="s">
        <v>657</v>
      </c>
      <c r="C71">
        <v>1</v>
      </c>
      <c r="D71">
        <v>81</v>
      </c>
      <c r="E71">
        <v>10999413</v>
      </c>
      <c r="F71" t="s">
        <v>464</v>
      </c>
      <c r="G71">
        <v>19</v>
      </c>
      <c r="H71">
        <v>34.845999999999997</v>
      </c>
      <c r="I71" t="s">
        <v>297</v>
      </c>
      <c r="J71" t="s">
        <v>299</v>
      </c>
      <c r="K71" t="s">
        <v>321</v>
      </c>
      <c r="L71" t="s">
        <v>406</v>
      </c>
      <c r="M71" t="s">
        <v>299</v>
      </c>
      <c r="N71" t="s">
        <v>321</v>
      </c>
      <c r="O71">
        <v>14020863</v>
      </c>
      <c r="P71">
        <v>143450023</v>
      </c>
      <c r="Q71" s="290">
        <v>45241</v>
      </c>
      <c r="R71">
        <v>27</v>
      </c>
      <c r="S71">
        <v>2014</v>
      </c>
      <c r="T71" t="s">
        <v>458</v>
      </c>
      <c r="U71">
        <v>14</v>
      </c>
      <c r="V71" t="s">
        <v>321</v>
      </c>
      <c r="W71" t="s">
        <v>320</v>
      </c>
      <c r="X71">
        <v>0</v>
      </c>
      <c r="Y71">
        <v>2</v>
      </c>
      <c r="Z71" t="s">
        <v>797</v>
      </c>
      <c r="AA71" t="s">
        <v>409</v>
      </c>
      <c r="AB71" t="s">
        <v>452</v>
      </c>
      <c r="AC71" t="s">
        <v>433</v>
      </c>
      <c r="AD71" t="s">
        <v>412</v>
      </c>
      <c r="AE71" t="s">
        <v>412</v>
      </c>
      <c r="AF71" t="s">
        <v>413</v>
      </c>
      <c r="AG71" t="s">
        <v>414</v>
      </c>
      <c r="AH71" t="s">
        <v>796</v>
      </c>
      <c r="AI71" t="s">
        <v>1042</v>
      </c>
      <c r="AJ71" t="s">
        <v>471</v>
      </c>
      <c r="AK71" t="s">
        <v>447</v>
      </c>
      <c r="AL71" t="s">
        <v>417</v>
      </c>
      <c r="AM71" t="s">
        <v>478</v>
      </c>
      <c r="AN71" t="s">
        <v>1041</v>
      </c>
      <c r="AO71" t="s">
        <v>426</v>
      </c>
      <c r="AP71">
        <v>42</v>
      </c>
      <c r="AQ71" t="s">
        <v>420</v>
      </c>
      <c r="AR71" t="s">
        <v>421</v>
      </c>
      <c r="AS71" t="s">
        <v>806</v>
      </c>
      <c r="AT71" t="s">
        <v>428</v>
      </c>
      <c r="AU71" t="s">
        <v>321</v>
      </c>
      <c r="AV71" t="s">
        <v>321</v>
      </c>
      <c r="AW71" t="s">
        <v>805</v>
      </c>
      <c r="AX71" t="s">
        <v>449</v>
      </c>
      <c r="AY71">
        <v>30</v>
      </c>
      <c r="AZ71" t="s">
        <v>423</v>
      </c>
      <c r="BA71" t="s">
        <v>424</v>
      </c>
      <c r="BB71" t="s">
        <v>417</v>
      </c>
      <c r="BC71" t="s">
        <v>478</v>
      </c>
      <c r="BD71" t="s">
        <v>1041</v>
      </c>
      <c r="BE71" t="s">
        <v>794</v>
      </c>
      <c r="BF71">
        <v>17</v>
      </c>
      <c r="BG71" t="s">
        <v>420</v>
      </c>
      <c r="BH71" t="s">
        <v>421</v>
      </c>
      <c r="BI71" t="s">
        <v>428</v>
      </c>
      <c r="BJ71" t="s">
        <v>428</v>
      </c>
      <c r="BK71" t="s">
        <v>321</v>
      </c>
      <c r="BL71" t="s">
        <v>321</v>
      </c>
      <c r="BM71" t="s">
        <v>805</v>
      </c>
      <c r="BN71" t="s">
        <v>449</v>
      </c>
      <c r="BO71">
        <v>30</v>
      </c>
      <c r="BP71" t="s">
        <v>423</v>
      </c>
      <c r="BQ71" t="s">
        <v>424</v>
      </c>
      <c r="BR71" t="s">
        <v>321</v>
      </c>
      <c r="BS71" t="s">
        <v>321</v>
      </c>
      <c r="BT71" t="s">
        <v>321</v>
      </c>
      <c r="BU71" t="s">
        <v>321</v>
      </c>
      <c r="BV71" t="s">
        <v>321</v>
      </c>
      <c r="BW71" t="s">
        <v>321</v>
      </c>
      <c r="BX71" t="s">
        <v>321</v>
      </c>
      <c r="BY71" t="s">
        <v>321</v>
      </c>
      <c r="BZ71" t="s">
        <v>321</v>
      </c>
      <c r="CA71" t="s">
        <v>321</v>
      </c>
      <c r="CB71" t="s">
        <v>321</v>
      </c>
      <c r="CC71" t="s">
        <v>321</v>
      </c>
      <c r="CD71" t="s">
        <v>321</v>
      </c>
      <c r="CE71" t="s">
        <v>321</v>
      </c>
      <c r="CF71" t="s">
        <v>321</v>
      </c>
      <c r="CG71" t="s">
        <v>321</v>
      </c>
      <c r="CH71" t="s">
        <v>321</v>
      </c>
      <c r="CI71" t="s">
        <v>321</v>
      </c>
      <c r="CJ71" t="s">
        <v>321</v>
      </c>
      <c r="CK71" t="s">
        <v>321</v>
      </c>
      <c r="CL71" t="s">
        <v>321</v>
      </c>
      <c r="CM71" t="s">
        <v>321</v>
      </c>
      <c r="CN71" t="s">
        <v>321</v>
      </c>
      <c r="CO71" t="s">
        <v>321</v>
      </c>
      <c r="CP71" t="s">
        <v>321</v>
      </c>
      <c r="CQ71" t="s">
        <v>321</v>
      </c>
      <c r="CR71" t="s">
        <v>321</v>
      </c>
      <c r="CS71" t="s">
        <v>321</v>
      </c>
      <c r="CT71" t="s">
        <v>321</v>
      </c>
      <c r="CU71" t="s">
        <v>321</v>
      </c>
      <c r="CV71" t="s">
        <v>321</v>
      </c>
      <c r="CW71" t="s">
        <v>321</v>
      </c>
      <c r="CX71">
        <v>278177.2634</v>
      </c>
      <c r="CY71">
        <v>4925375.5590000004</v>
      </c>
      <c r="CZ71">
        <v>44.447665000000001</v>
      </c>
      <c r="DA71">
        <v>-95.787795000000003</v>
      </c>
      <c r="DB71" s="291">
        <v>41970.595833333333</v>
      </c>
      <c r="DC71" t="s">
        <v>231</v>
      </c>
      <c r="DD71" t="s">
        <v>429</v>
      </c>
      <c r="DE71" t="s">
        <v>430</v>
      </c>
      <c r="DF71" t="s">
        <v>430</v>
      </c>
      <c r="DG71" t="s">
        <v>1040</v>
      </c>
      <c r="DH71">
        <v>0</v>
      </c>
      <c r="DI71" t="s">
        <v>326</v>
      </c>
      <c r="DJ71">
        <v>100</v>
      </c>
      <c r="DK71">
        <v>10</v>
      </c>
    </row>
    <row r="72" spans="1:115" x14ac:dyDescent="0.25">
      <c r="A72">
        <v>71</v>
      </c>
      <c r="B72" t="s">
        <v>657</v>
      </c>
      <c r="C72">
        <v>1</v>
      </c>
      <c r="D72">
        <v>82</v>
      </c>
      <c r="E72">
        <v>747490</v>
      </c>
      <c r="F72" t="s">
        <v>570</v>
      </c>
      <c r="G72">
        <v>107</v>
      </c>
      <c r="H72">
        <v>0.75800000000000001</v>
      </c>
      <c r="I72" t="s">
        <v>297</v>
      </c>
      <c r="J72" t="s">
        <v>299</v>
      </c>
      <c r="K72" t="s">
        <v>321</v>
      </c>
      <c r="L72" t="s">
        <v>406</v>
      </c>
      <c r="M72" t="s">
        <v>299</v>
      </c>
      <c r="N72" t="s">
        <v>321</v>
      </c>
      <c r="O72" t="s">
        <v>588</v>
      </c>
      <c r="P72">
        <v>192520257</v>
      </c>
      <c r="Q72" s="290">
        <v>45178</v>
      </c>
      <c r="R72">
        <v>9</v>
      </c>
      <c r="S72">
        <v>2019</v>
      </c>
      <c r="T72" t="s">
        <v>431</v>
      </c>
      <c r="U72">
        <v>14</v>
      </c>
      <c r="V72" t="s">
        <v>422</v>
      </c>
      <c r="W72" t="s">
        <v>320</v>
      </c>
      <c r="X72">
        <v>0</v>
      </c>
      <c r="Y72">
        <v>2</v>
      </c>
      <c r="Z72" t="s">
        <v>451</v>
      </c>
      <c r="AA72" t="s">
        <v>409</v>
      </c>
      <c r="AB72" t="s">
        <v>452</v>
      </c>
      <c r="AC72" t="s">
        <v>433</v>
      </c>
      <c r="AD72" t="s">
        <v>446</v>
      </c>
      <c r="AE72" t="s">
        <v>321</v>
      </c>
      <c r="AF72" t="s">
        <v>523</v>
      </c>
      <c r="AG72" t="s">
        <v>414</v>
      </c>
      <c r="AH72" t="s">
        <v>571</v>
      </c>
      <c r="AI72" t="s">
        <v>321</v>
      </c>
      <c r="AJ72" t="s">
        <v>572</v>
      </c>
      <c r="AK72" t="s">
        <v>486</v>
      </c>
      <c r="AL72" t="s">
        <v>417</v>
      </c>
      <c r="AM72" t="s">
        <v>478</v>
      </c>
      <c r="AN72" t="s">
        <v>472</v>
      </c>
      <c r="AO72" t="s">
        <v>487</v>
      </c>
      <c r="AP72">
        <v>26</v>
      </c>
      <c r="AQ72" t="s">
        <v>420</v>
      </c>
      <c r="AR72" t="s">
        <v>421</v>
      </c>
      <c r="AS72" t="s">
        <v>454</v>
      </c>
      <c r="AT72" t="s">
        <v>321</v>
      </c>
      <c r="AU72" t="s">
        <v>321</v>
      </c>
      <c r="AV72" t="s">
        <v>321</v>
      </c>
      <c r="AW72" t="s">
        <v>441</v>
      </c>
      <c r="AX72" t="s">
        <v>449</v>
      </c>
      <c r="AY72">
        <v>30</v>
      </c>
      <c r="AZ72" t="s">
        <v>423</v>
      </c>
      <c r="BA72" t="s">
        <v>589</v>
      </c>
      <c r="BB72" t="s">
        <v>417</v>
      </c>
      <c r="BC72" t="s">
        <v>418</v>
      </c>
      <c r="BD72" t="s">
        <v>453</v>
      </c>
      <c r="BE72" t="s">
        <v>426</v>
      </c>
      <c r="BF72">
        <v>44</v>
      </c>
      <c r="BG72" t="s">
        <v>427</v>
      </c>
      <c r="BH72" t="s">
        <v>421</v>
      </c>
      <c r="BI72" t="s">
        <v>524</v>
      </c>
      <c r="BJ72" t="s">
        <v>321</v>
      </c>
      <c r="BK72" t="s">
        <v>321</v>
      </c>
      <c r="BL72" t="s">
        <v>321</v>
      </c>
      <c r="BM72" t="s">
        <v>441</v>
      </c>
      <c r="BN72" t="s">
        <v>449</v>
      </c>
      <c r="BO72" t="s">
        <v>321</v>
      </c>
      <c r="BP72" t="s">
        <v>423</v>
      </c>
      <c r="BQ72" t="s">
        <v>589</v>
      </c>
      <c r="BR72" t="s">
        <v>321</v>
      </c>
      <c r="BS72" t="s">
        <v>321</v>
      </c>
      <c r="BT72" t="s">
        <v>321</v>
      </c>
      <c r="BU72" t="s">
        <v>321</v>
      </c>
      <c r="BV72" t="s">
        <v>321</v>
      </c>
      <c r="BW72" t="s">
        <v>321</v>
      </c>
      <c r="BX72" t="s">
        <v>321</v>
      </c>
      <c r="BY72" t="s">
        <v>321</v>
      </c>
      <c r="BZ72" t="s">
        <v>321</v>
      </c>
      <c r="CA72" t="s">
        <v>321</v>
      </c>
      <c r="CB72" t="s">
        <v>321</v>
      </c>
      <c r="CC72" t="s">
        <v>321</v>
      </c>
      <c r="CD72" t="s">
        <v>321</v>
      </c>
      <c r="CE72" t="s">
        <v>321</v>
      </c>
      <c r="CF72" t="s">
        <v>321</v>
      </c>
      <c r="CG72" t="s">
        <v>321</v>
      </c>
      <c r="CH72" t="s">
        <v>321</v>
      </c>
      <c r="CI72" t="s">
        <v>321</v>
      </c>
      <c r="CJ72" t="s">
        <v>321</v>
      </c>
      <c r="CK72" t="s">
        <v>321</v>
      </c>
      <c r="CL72" t="s">
        <v>321</v>
      </c>
      <c r="CM72" t="s">
        <v>321</v>
      </c>
      <c r="CN72" t="s">
        <v>321</v>
      </c>
      <c r="CO72" t="s">
        <v>321</v>
      </c>
      <c r="CP72" t="s">
        <v>321</v>
      </c>
      <c r="CQ72" t="s">
        <v>321</v>
      </c>
      <c r="CR72" t="s">
        <v>321</v>
      </c>
      <c r="CS72" t="s">
        <v>321</v>
      </c>
      <c r="CT72" t="s">
        <v>321</v>
      </c>
      <c r="CU72" t="s">
        <v>321</v>
      </c>
      <c r="CV72" t="s">
        <v>321</v>
      </c>
      <c r="CW72" t="s">
        <v>321</v>
      </c>
      <c r="CX72">
        <v>279106.88650000002</v>
      </c>
      <c r="CY72">
        <v>4925648.0980000002</v>
      </c>
      <c r="CZ72">
        <v>44.450400000000002</v>
      </c>
      <c r="DA72">
        <v>-95.776240999999999</v>
      </c>
      <c r="DB72" s="291">
        <v>43717.607638888891</v>
      </c>
      <c r="DC72" t="s">
        <v>231</v>
      </c>
      <c r="DD72" t="s">
        <v>429</v>
      </c>
      <c r="DE72" t="s">
        <v>455</v>
      </c>
      <c r="DF72" t="s">
        <v>456</v>
      </c>
      <c r="DG72" t="s">
        <v>590</v>
      </c>
      <c r="DH72">
        <v>0</v>
      </c>
      <c r="DI72" t="s">
        <v>322</v>
      </c>
      <c r="DJ72">
        <v>100</v>
      </c>
      <c r="DK72">
        <v>15</v>
      </c>
    </row>
    <row r="73" spans="1:115" x14ac:dyDescent="0.25">
      <c r="A73">
        <v>72</v>
      </c>
      <c r="B73" t="s">
        <v>657</v>
      </c>
      <c r="C73">
        <v>1</v>
      </c>
      <c r="D73">
        <v>83</v>
      </c>
      <c r="E73">
        <v>10914275</v>
      </c>
      <c r="F73" t="s">
        <v>464</v>
      </c>
      <c r="G73">
        <v>19</v>
      </c>
      <c r="H73">
        <v>34.848999999999997</v>
      </c>
      <c r="I73" t="s">
        <v>297</v>
      </c>
      <c r="J73" t="s">
        <v>299</v>
      </c>
      <c r="K73" t="s">
        <v>321</v>
      </c>
      <c r="L73" t="s">
        <v>406</v>
      </c>
      <c r="M73" t="s">
        <v>299</v>
      </c>
      <c r="N73" t="s">
        <v>321</v>
      </c>
      <c r="O73" t="s">
        <v>1039</v>
      </c>
      <c r="P73">
        <v>133450010</v>
      </c>
      <c r="Q73" s="290">
        <v>45272</v>
      </c>
      <c r="R73">
        <v>10</v>
      </c>
      <c r="S73">
        <v>2013</v>
      </c>
      <c r="T73" t="s">
        <v>407</v>
      </c>
      <c r="U73">
        <v>21</v>
      </c>
      <c r="V73" t="s">
        <v>321</v>
      </c>
      <c r="W73" t="s">
        <v>320</v>
      </c>
      <c r="X73">
        <v>0</v>
      </c>
      <c r="Y73">
        <v>2</v>
      </c>
      <c r="Z73" t="s">
        <v>797</v>
      </c>
      <c r="AA73" t="s">
        <v>409</v>
      </c>
      <c r="AB73" t="s">
        <v>452</v>
      </c>
      <c r="AC73" t="s">
        <v>411</v>
      </c>
      <c r="AD73" t="s">
        <v>467</v>
      </c>
      <c r="AE73" t="s">
        <v>468</v>
      </c>
      <c r="AF73" t="s">
        <v>413</v>
      </c>
      <c r="AG73" t="s">
        <v>414</v>
      </c>
      <c r="AH73" t="s">
        <v>852</v>
      </c>
      <c r="AI73" t="s">
        <v>1034</v>
      </c>
      <c r="AJ73" t="s">
        <v>471</v>
      </c>
      <c r="AK73" t="s">
        <v>447</v>
      </c>
      <c r="AL73">
        <v>0</v>
      </c>
      <c r="AM73" t="s">
        <v>817</v>
      </c>
      <c r="AN73" t="s">
        <v>461</v>
      </c>
      <c r="AO73" t="s">
        <v>321</v>
      </c>
      <c r="AP73">
        <v>61</v>
      </c>
      <c r="AQ73" t="s">
        <v>420</v>
      </c>
      <c r="AR73" t="s">
        <v>421</v>
      </c>
      <c r="AS73" t="s">
        <v>538</v>
      </c>
      <c r="AT73" t="s">
        <v>321</v>
      </c>
      <c r="AU73" t="s">
        <v>893</v>
      </c>
      <c r="AV73" t="s">
        <v>321</v>
      </c>
      <c r="AW73" t="s">
        <v>805</v>
      </c>
      <c r="AX73" t="s">
        <v>449</v>
      </c>
      <c r="AY73">
        <v>30</v>
      </c>
      <c r="AZ73" t="s">
        <v>423</v>
      </c>
      <c r="BA73" t="s">
        <v>424</v>
      </c>
      <c r="BB73" t="s">
        <v>417</v>
      </c>
      <c r="BC73" t="s">
        <v>425</v>
      </c>
      <c r="BD73" t="s">
        <v>461</v>
      </c>
      <c r="BE73" t="s">
        <v>794</v>
      </c>
      <c r="BF73">
        <v>25</v>
      </c>
      <c r="BG73" t="s">
        <v>427</v>
      </c>
      <c r="BH73" t="s">
        <v>421</v>
      </c>
      <c r="BI73" t="s">
        <v>428</v>
      </c>
      <c r="BJ73" t="s">
        <v>321</v>
      </c>
      <c r="BK73" t="s">
        <v>321</v>
      </c>
      <c r="BL73" t="s">
        <v>321</v>
      </c>
      <c r="BM73" t="s">
        <v>805</v>
      </c>
      <c r="BN73" t="s">
        <v>449</v>
      </c>
      <c r="BO73">
        <v>30</v>
      </c>
      <c r="BP73" t="s">
        <v>423</v>
      </c>
      <c r="BQ73" t="s">
        <v>424</v>
      </c>
      <c r="BR73" t="s">
        <v>321</v>
      </c>
      <c r="BS73" t="s">
        <v>321</v>
      </c>
      <c r="BT73" t="s">
        <v>321</v>
      </c>
      <c r="BU73" t="s">
        <v>321</v>
      </c>
      <c r="BV73" t="s">
        <v>321</v>
      </c>
      <c r="BW73" t="s">
        <v>321</v>
      </c>
      <c r="BX73" t="s">
        <v>321</v>
      </c>
      <c r="BY73" t="s">
        <v>321</v>
      </c>
      <c r="BZ73" t="s">
        <v>321</v>
      </c>
      <c r="CA73" t="s">
        <v>321</v>
      </c>
      <c r="CB73" t="s">
        <v>321</v>
      </c>
      <c r="CC73" t="s">
        <v>321</v>
      </c>
      <c r="CD73" t="s">
        <v>321</v>
      </c>
      <c r="CE73" t="s">
        <v>321</v>
      </c>
      <c r="CF73" t="s">
        <v>321</v>
      </c>
      <c r="CG73" t="s">
        <v>321</v>
      </c>
      <c r="CH73" t="s">
        <v>321</v>
      </c>
      <c r="CI73" t="s">
        <v>321</v>
      </c>
      <c r="CJ73" t="s">
        <v>321</v>
      </c>
      <c r="CK73" t="s">
        <v>321</v>
      </c>
      <c r="CL73" t="s">
        <v>321</v>
      </c>
      <c r="CM73" t="s">
        <v>321</v>
      </c>
      <c r="CN73" t="s">
        <v>321</v>
      </c>
      <c r="CO73" t="s">
        <v>321</v>
      </c>
      <c r="CP73" t="s">
        <v>321</v>
      </c>
      <c r="CQ73" t="s">
        <v>321</v>
      </c>
      <c r="CR73" t="s">
        <v>321</v>
      </c>
      <c r="CS73" t="s">
        <v>321</v>
      </c>
      <c r="CT73" t="s">
        <v>321</v>
      </c>
      <c r="CU73" t="s">
        <v>321</v>
      </c>
      <c r="CV73" t="s">
        <v>321</v>
      </c>
      <c r="CW73" t="s">
        <v>321</v>
      </c>
      <c r="CX73">
        <v>278180.77049999998</v>
      </c>
      <c r="CY73">
        <v>4925378.8770000003</v>
      </c>
      <c r="CZ73">
        <v>44.447696000000001</v>
      </c>
      <c r="DA73">
        <v>-95.787751999999998</v>
      </c>
      <c r="DB73" s="291">
        <v>41618.881944444445</v>
      </c>
      <c r="DC73" t="s">
        <v>231</v>
      </c>
      <c r="DD73" t="s">
        <v>429</v>
      </c>
      <c r="DE73" t="s">
        <v>430</v>
      </c>
      <c r="DF73" t="s">
        <v>430</v>
      </c>
      <c r="DG73" t="s">
        <v>1038</v>
      </c>
      <c r="DH73">
        <v>0</v>
      </c>
      <c r="DI73" t="s">
        <v>326</v>
      </c>
      <c r="DJ73">
        <v>100</v>
      </c>
      <c r="DK73">
        <v>10</v>
      </c>
    </row>
    <row r="74" spans="1:115" x14ac:dyDescent="0.25">
      <c r="A74">
        <v>73</v>
      </c>
      <c r="B74" t="s">
        <v>657</v>
      </c>
      <c r="C74">
        <v>1</v>
      </c>
      <c r="D74">
        <v>84</v>
      </c>
      <c r="E74">
        <v>10925741</v>
      </c>
      <c r="F74" t="s">
        <v>464</v>
      </c>
      <c r="G74">
        <v>19</v>
      </c>
      <c r="H74">
        <v>34.863999999999997</v>
      </c>
      <c r="I74" t="s">
        <v>297</v>
      </c>
      <c r="J74" t="s">
        <v>299</v>
      </c>
      <c r="K74" t="s">
        <v>321</v>
      </c>
      <c r="L74" t="s">
        <v>406</v>
      </c>
      <c r="M74" t="s">
        <v>299</v>
      </c>
      <c r="N74" t="s">
        <v>321</v>
      </c>
      <c r="O74" t="s">
        <v>1037</v>
      </c>
      <c r="P74">
        <v>140010106</v>
      </c>
      <c r="Q74" s="290">
        <v>45272</v>
      </c>
      <c r="R74">
        <v>31</v>
      </c>
      <c r="S74">
        <v>2013</v>
      </c>
      <c r="T74" t="s">
        <v>407</v>
      </c>
      <c r="U74">
        <v>15</v>
      </c>
      <c r="V74" t="s">
        <v>321</v>
      </c>
      <c r="W74" t="s">
        <v>319</v>
      </c>
      <c r="X74">
        <v>0</v>
      </c>
      <c r="Y74">
        <v>2</v>
      </c>
      <c r="Z74" t="s">
        <v>797</v>
      </c>
      <c r="AA74" t="s">
        <v>409</v>
      </c>
      <c r="AB74" t="s">
        <v>452</v>
      </c>
      <c r="AC74" t="s">
        <v>433</v>
      </c>
      <c r="AD74" t="s">
        <v>412</v>
      </c>
      <c r="AE74" t="s">
        <v>463</v>
      </c>
      <c r="AF74" t="s">
        <v>413</v>
      </c>
      <c r="AG74" t="s">
        <v>414</v>
      </c>
      <c r="AH74" t="s">
        <v>841</v>
      </c>
      <c r="AI74" t="s">
        <v>1034</v>
      </c>
      <c r="AJ74" t="s">
        <v>471</v>
      </c>
      <c r="AK74" t="s">
        <v>447</v>
      </c>
      <c r="AL74" t="s">
        <v>417</v>
      </c>
      <c r="AM74" t="s">
        <v>425</v>
      </c>
      <c r="AN74" t="s">
        <v>864</v>
      </c>
      <c r="AO74" t="s">
        <v>426</v>
      </c>
      <c r="AP74">
        <v>30</v>
      </c>
      <c r="AQ74" t="s">
        <v>420</v>
      </c>
      <c r="AR74" t="s">
        <v>421</v>
      </c>
      <c r="AS74" t="s">
        <v>806</v>
      </c>
      <c r="AT74" t="s">
        <v>321</v>
      </c>
      <c r="AU74" t="s">
        <v>321</v>
      </c>
      <c r="AV74" t="s">
        <v>321</v>
      </c>
      <c r="AW74" t="s">
        <v>321</v>
      </c>
      <c r="AX74" t="s">
        <v>449</v>
      </c>
      <c r="AY74">
        <v>30</v>
      </c>
      <c r="AZ74" t="s">
        <v>423</v>
      </c>
      <c r="BA74" t="s">
        <v>424</v>
      </c>
      <c r="BB74" t="s">
        <v>417</v>
      </c>
      <c r="BC74" t="s">
        <v>418</v>
      </c>
      <c r="BD74" t="s">
        <v>864</v>
      </c>
      <c r="BE74" t="s">
        <v>426</v>
      </c>
      <c r="BF74">
        <v>41</v>
      </c>
      <c r="BG74" t="s">
        <v>427</v>
      </c>
      <c r="BH74" t="s">
        <v>421</v>
      </c>
      <c r="BI74" t="s">
        <v>428</v>
      </c>
      <c r="BJ74" t="s">
        <v>321</v>
      </c>
      <c r="BK74" t="s">
        <v>321</v>
      </c>
      <c r="BL74" t="s">
        <v>321</v>
      </c>
      <c r="BM74" t="s">
        <v>321</v>
      </c>
      <c r="BN74" t="s">
        <v>449</v>
      </c>
      <c r="BO74">
        <v>30</v>
      </c>
      <c r="BP74" t="s">
        <v>423</v>
      </c>
      <c r="BQ74" t="s">
        <v>424</v>
      </c>
      <c r="BR74" t="s">
        <v>321</v>
      </c>
      <c r="BS74" t="s">
        <v>321</v>
      </c>
      <c r="BT74" t="s">
        <v>321</v>
      </c>
      <c r="BU74" t="s">
        <v>321</v>
      </c>
      <c r="BV74" t="s">
        <v>321</v>
      </c>
      <c r="BW74" t="s">
        <v>321</v>
      </c>
      <c r="BX74" t="s">
        <v>321</v>
      </c>
      <c r="BY74" t="s">
        <v>321</v>
      </c>
      <c r="BZ74" t="s">
        <v>321</v>
      </c>
      <c r="CA74" t="s">
        <v>321</v>
      </c>
      <c r="CB74" t="s">
        <v>321</v>
      </c>
      <c r="CC74" t="s">
        <v>321</v>
      </c>
      <c r="CD74" t="s">
        <v>321</v>
      </c>
      <c r="CE74" t="s">
        <v>321</v>
      </c>
      <c r="CF74" t="s">
        <v>321</v>
      </c>
      <c r="CG74" t="s">
        <v>321</v>
      </c>
      <c r="CH74" t="s">
        <v>321</v>
      </c>
      <c r="CI74" t="s">
        <v>321</v>
      </c>
      <c r="CJ74" t="s">
        <v>321</v>
      </c>
      <c r="CK74" t="s">
        <v>321</v>
      </c>
      <c r="CL74" t="s">
        <v>321</v>
      </c>
      <c r="CM74" t="s">
        <v>321</v>
      </c>
      <c r="CN74" t="s">
        <v>321</v>
      </c>
      <c r="CO74" t="s">
        <v>321</v>
      </c>
      <c r="CP74" t="s">
        <v>321</v>
      </c>
      <c r="CQ74" t="s">
        <v>321</v>
      </c>
      <c r="CR74" t="s">
        <v>321</v>
      </c>
      <c r="CS74" t="s">
        <v>321</v>
      </c>
      <c r="CT74" t="s">
        <v>321</v>
      </c>
      <c r="CU74" t="s">
        <v>321</v>
      </c>
      <c r="CV74" t="s">
        <v>321</v>
      </c>
      <c r="CW74" t="s">
        <v>321</v>
      </c>
      <c r="CX74">
        <v>278198.33559999999</v>
      </c>
      <c r="CY74">
        <v>4925395.4359999998</v>
      </c>
      <c r="CZ74">
        <v>44.447850000000003</v>
      </c>
      <c r="DA74">
        <v>-95.787538999999995</v>
      </c>
      <c r="DB74" s="291">
        <v>41639.664583333331</v>
      </c>
      <c r="DC74" t="s">
        <v>231</v>
      </c>
      <c r="DD74" t="s">
        <v>429</v>
      </c>
      <c r="DE74" t="s">
        <v>430</v>
      </c>
      <c r="DF74" t="s">
        <v>430</v>
      </c>
      <c r="DG74" t="s">
        <v>1036</v>
      </c>
      <c r="DH74">
        <v>0</v>
      </c>
      <c r="DI74" t="s">
        <v>326</v>
      </c>
      <c r="DJ74">
        <v>100</v>
      </c>
      <c r="DK74">
        <v>10</v>
      </c>
    </row>
    <row r="75" spans="1:115" x14ac:dyDescent="0.25">
      <c r="A75">
        <v>74</v>
      </c>
      <c r="B75" t="s">
        <v>657</v>
      </c>
      <c r="C75">
        <v>1</v>
      </c>
      <c r="D75">
        <v>85</v>
      </c>
      <c r="E75">
        <v>10963502</v>
      </c>
      <c r="F75" t="s">
        <v>464</v>
      </c>
      <c r="G75">
        <v>19</v>
      </c>
      <c r="H75">
        <v>34.863999999999997</v>
      </c>
      <c r="I75" t="s">
        <v>297</v>
      </c>
      <c r="J75" t="s">
        <v>299</v>
      </c>
      <c r="K75" t="s">
        <v>321</v>
      </c>
      <c r="L75" t="s">
        <v>406</v>
      </c>
      <c r="M75" t="s">
        <v>299</v>
      </c>
      <c r="N75" t="s">
        <v>321</v>
      </c>
      <c r="O75" t="s">
        <v>1035</v>
      </c>
      <c r="P75">
        <v>140340232</v>
      </c>
      <c r="Q75" s="290">
        <v>44959</v>
      </c>
      <c r="R75">
        <v>3</v>
      </c>
      <c r="S75">
        <v>2014</v>
      </c>
      <c r="T75" t="s">
        <v>431</v>
      </c>
      <c r="U75">
        <v>16</v>
      </c>
      <c r="V75" t="s">
        <v>321</v>
      </c>
      <c r="W75" t="s">
        <v>320</v>
      </c>
      <c r="X75">
        <v>0</v>
      </c>
      <c r="Y75">
        <v>2</v>
      </c>
      <c r="Z75" t="s">
        <v>463</v>
      </c>
      <c r="AA75" t="s">
        <v>507</v>
      </c>
      <c r="AB75" t="s">
        <v>410</v>
      </c>
      <c r="AC75" t="s">
        <v>433</v>
      </c>
      <c r="AD75" t="s">
        <v>412</v>
      </c>
      <c r="AE75" t="s">
        <v>321</v>
      </c>
      <c r="AF75" t="s">
        <v>434</v>
      </c>
      <c r="AG75" t="s">
        <v>414</v>
      </c>
      <c r="AH75" t="s">
        <v>1034</v>
      </c>
      <c r="AI75" t="s">
        <v>1033</v>
      </c>
      <c r="AJ75" t="s">
        <v>471</v>
      </c>
      <c r="AK75" t="s">
        <v>463</v>
      </c>
      <c r="AL75" t="s">
        <v>417</v>
      </c>
      <c r="AM75" t="s">
        <v>1032</v>
      </c>
      <c r="AN75" t="s">
        <v>892</v>
      </c>
      <c r="AO75" t="s">
        <v>426</v>
      </c>
      <c r="AP75">
        <v>73</v>
      </c>
      <c r="AQ75" t="s">
        <v>420</v>
      </c>
      <c r="AR75" t="s">
        <v>421</v>
      </c>
      <c r="AS75" t="s">
        <v>806</v>
      </c>
      <c r="AT75" t="s">
        <v>321</v>
      </c>
      <c r="AU75" t="s">
        <v>321</v>
      </c>
      <c r="AV75" t="s">
        <v>321</v>
      </c>
      <c r="AW75" t="s">
        <v>805</v>
      </c>
      <c r="AX75" t="s">
        <v>422</v>
      </c>
      <c r="AY75">
        <v>30</v>
      </c>
      <c r="AZ75" t="s">
        <v>423</v>
      </c>
      <c r="BA75" t="s">
        <v>424</v>
      </c>
      <c r="BB75" t="s">
        <v>508</v>
      </c>
      <c r="BC75" t="s">
        <v>478</v>
      </c>
      <c r="BD75" t="s">
        <v>453</v>
      </c>
      <c r="BE75" t="s">
        <v>913</v>
      </c>
      <c r="BF75" t="s">
        <v>321</v>
      </c>
      <c r="BG75" t="s">
        <v>321</v>
      </c>
      <c r="BH75" t="s">
        <v>321</v>
      </c>
      <c r="BI75" t="s">
        <v>428</v>
      </c>
      <c r="BJ75" t="s">
        <v>321</v>
      </c>
      <c r="BK75" t="s">
        <v>321</v>
      </c>
      <c r="BL75" t="s">
        <v>321</v>
      </c>
      <c r="BM75" t="s">
        <v>805</v>
      </c>
      <c r="BN75" t="s">
        <v>422</v>
      </c>
      <c r="BO75">
        <v>30</v>
      </c>
      <c r="BP75" t="s">
        <v>423</v>
      </c>
      <c r="BQ75" t="s">
        <v>424</v>
      </c>
      <c r="BR75" t="s">
        <v>321</v>
      </c>
      <c r="BS75" t="s">
        <v>321</v>
      </c>
      <c r="BT75" t="s">
        <v>321</v>
      </c>
      <c r="BU75" t="s">
        <v>321</v>
      </c>
      <c r="BV75" t="s">
        <v>321</v>
      </c>
      <c r="BW75" t="s">
        <v>321</v>
      </c>
      <c r="BX75" t="s">
        <v>321</v>
      </c>
      <c r="BY75" t="s">
        <v>321</v>
      </c>
      <c r="BZ75" t="s">
        <v>321</v>
      </c>
      <c r="CA75" t="s">
        <v>321</v>
      </c>
      <c r="CB75" t="s">
        <v>321</v>
      </c>
      <c r="CC75" t="s">
        <v>321</v>
      </c>
      <c r="CD75" t="s">
        <v>321</v>
      </c>
      <c r="CE75" t="s">
        <v>321</v>
      </c>
      <c r="CF75" t="s">
        <v>321</v>
      </c>
      <c r="CG75" t="s">
        <v>321</v>
      </c>
      <c r="CH75" t="s">
        <v>321</v>
      </c>
      <c r="CI75" t="s">
        <v>321</v>
      </c>
      <c r="CJ75" t="s">
        <v>321</v>
      </c>
      <c r="CK75" t="s">
        <v>321</v>
      </c>
      <c r="CL75" t="s">
        <v>321</v>
      </c>
      <c r="CM75" t="s">
        <v>321</v>
      </c>
      <c r="CN75" t="s">
        <v>321</v>
      </c>
      <c r="CO75" t="s">
        <v>321</v>
      </c>
      <c r="CP75" t="s">
        <v>321</v>
      </c>
      <c r="CQ75" t="s">
        <v>321</v>
      </c>
      <c r="CR75" t="s">
        <v>321</v>
      </c>
      <c r="CS75" t="s">
        <v>321</v>
      </c>
      <c r="CT75" t="s">
        <v>321</v>
      </c>
      <c r="CU75" t="s">
        <v>321</v>
      </c>
      <c r="CV75" t="s">
        <v>321</v>
      </c>
      <c r="CW75" t="s">
        <v>321</v>
      </c>
      <c r="CX75">
        <v>278198.33559999999</v>
      </c>
      <c r="CY75">
        <v>4925395.4359999998</v>
      </c>
      <c r="CZ75">
        <v>44.447850000000003</v>
      </c>
      <c r="DA75">
        <v>-95.787538999999995</v>
      </c>
      <c r="DB75" s="291">
        <v>41673.6875</v>
      </c>
      <c r="DC75" t="s">
        <v>231</v>
      </c>
      <c r="DD75" t="s">
        <v>429</v>
      </c>
      <c r="DE75" t="s">
        <v>430</v>
      </c>
      <c r="DF75" t="s">
        <v>430</v>
      </c>
      <c r="DG75" t="s">
        <v>1031</v>
      </c>
      <c r="DH75">
        <v>0</v>
      </c>
      <c r="DI75" t="s">
        <v>326</v>
      </c>
      <c r="DJ75">
        <v>100</v>
      </c>
      <c r="DK75">
        <v>10</v>
      </c>
    </row>
    <row r="76" spans="1:115" x14ac:dyDescent="0.25">
      <c r="A76">
        <v>75</v>
      </c>
      <c r="B76" t="s">
        <v>657</v>
      </c>
      <c r="C76">
        <v>2</v>
      </c>
      <c r="D76">
        <v>86</v>
      </c>
      <c r="E76">
        <v>759219</v>
      </c>
      <c r="F76" t="s">
        <v>570</v>
      </c>
      <c r="G76">
        <v>111</v>
      </c>
      <c r="H76">
        <v>1.756</v>
      </c>
      <c r="I76" t="s">
        <v>297</v>
      </c>
      <c r="J76" t="s">
        <v>299</v>
      </c>
      <c r="K76" t="s">
        <v>321</v>
      </c>
      <c r="L76" t="s">
        <v>406</v>
      </c>
      <c r="M76" t="s">
        <v>299</v>
      </c>
      <c r="N76" t="s">
        <v>321</v>
      </c>
      <c r="O76" t="s">
        <v>591</v>
      </c>
      <c r="P76">
        <v>193060237</v>
      </c>
      <c r="Q76" s="290">
        <v>45241</v>
      </c>
      <c r="R76">
        <v>2</v>
      </c>
      <c r="S76">
        <v>2019</v>
      </c>
      <c r="T76" t="s">
        <v>506</v>
      </c>
      <c r="U76">
        <v>18</v>
      </c>
      <c r="V76" t="s">
        <v>459</v>
      </c>
      <c r="W76" t="s">
        <v>320</v>
      </c>
      <c r="X76">
        <v>0</v>
      </c>
      <c r="Y76">
        <v>2</v>
      </c>
      <c r="Z76" t="s">
        <v>525</v>
      </c>
      <c r="AA76" t="s">
        <v>409</v>
      </c>
      <c r="AB76" t="s">
        <v>460</v>
      </c>
      <c r="AC76" t="s">
        <v>411</v>
      </c>
      <c r="AD76" t="s">
        <v>412</v>
      </c>
      <c r="AE76" t="s">
        <v>321</v>
      </c>
      <c r="AF76" t="s">
        <v>434</v>
      </c>
      <c r="AG76" t="s">
        <v>414</v>
      </c>
      <c r="AH76" t="s">
        <v>483</v>
      </c>
      <c r="AI76" t="s">
        <v>477</v>
      </c>
      <c r="AJ76" t="s">
        <v>592</v>
      </c>
      <c r="AK76" t="s">
        <v>526</v>
      </c>
      <c r="AL76" t="s">
        <v>417</v>
      </c>
      <c r="AM76" t="s">
        <v>425</v>
      </c>
      <c r="AN76" t="s">
        <v>461</v>
      </c>
      <c r="AO76" t="s">
        <v>487</v>
      </c>
      <c r="AP76">
        <v>72</v>
      </c>
      <c r="AQ76" t="s">
        <v>427</v>
      </c>
      <c r="AR76" t="s">
        <v>421</v>
      </c>
      <c r="AS76" t="s">
        <v>462</v>
      </c>
      <c r="AT76" t="s">
        <v>321</v>
      </c>
      <c r="AU76" t="s">
        <v>321</v>
      </c>
      <c r="AV76" t="s">
        <v>321</v>
      </c>
      <c r="AW76" t="s">
        <v>441</v>
      </c>
      <c r="AX76" t="s">
        <v>449</v>
      </c>
      <c r="AY76">
        <v>30</v>
      </c>
      <c r="AZ76" t="s">
        <v>423</v>
      </c>
      <c r="BA76" t="s">
        <v>424</v>
      </c>
      <c r="BB76" t="s">
        <v>417</v>
      </c>
      <c r="BC76" t="s">
        <v>425</v>
      </c>
      <c r="BD76" t="s">
        <v>448</v>
      </c>
      <c r="BE76" t="s">
        <v>480</v>
      </c>
      <c r="BF76">
        <v>35</v>
      </c>
      <c r="BG76" t="s">
        <v>420</v>
      </c>
      <c r="BH76" t="s">
        <v>421</v>
      </c>
      <c r="BI76" t="s">
        <v>428</v>
      </c>
      <c r="BJ76" t="s">
        <v>321</v>
      </c>
      <c r="BK76" t="s">
        <v>321</v>
      </c>
      <c r="BL76" t="s">
        <v>321</v>
      </c>
      <c r="BM76" t="s">
        <v>441</v>
      </c>
      <c r="BN76" t="s">
        <v>449</v>
      </c>
      <c r="BO76">
        <v>30</v>
      </c>
      <c r="BP76" t="s">
        <v>423</v>
      </c>
      <c r="BQ76" t="s">
        <v>424</v>
      </c>
      <c r="BR76" t="s">
        <v>321</v>
      </c>
      <c r="BS76" t="s">
        <v>321</v>
      </c>
      <c r="BT76" t="s">
        <v>321</v>
      </c>
      <c r="BU76" t="s">
        <v>321</v>
      </c>
      <c r="BV76" t="s">
        <v>321</v>
      </c>
      <c r="BW76" t="s">
        <v>321</v>
      </c>
      <c r="BX76" t="s">
        <v>321</v>
      </c>
      <c r="BY76" t="s">
        <v>321</v>
      </c>
      <c r="BZ76" t="s">
        <v>321</v>
      </c>
      <c r="CA76" t="s">
        <v>321</v>
      </c>
      <c r="CB76" t="s">
        <v>321</v>
      </c>
      <c r="CC76" t="s">
        <v>321</v>
      </c>
      <c r="CD76" t="s">
        <v>321</v>
      </c>
      <c r="CE76" t="s">
        <v>321</v>
      </c>
      <c r="CF76" t="s">
        <v>321</v>
      </c>
      <c r="CG76" t="s">
        <v>321</v>
      </c>
      <c r="CH76" t="s">
        <v>321</v>
      </c>
      <c r="CI76" t="s">
        <v>321</v>
      </c>
      <c r="CJ76" t="s">
        <v>321</v>
      </c>
      <c r="CK76" t="s">
        <v>321</v>
      </c>
      <c r="CL76" t="s">
        <v>321</v>
      </c>
      <c r="CM76" t="s">
        <v>321</v>
      </c>
      <c r="CN76" t="s">
        <v>321</v>
      </c>
      <c r="CO76" t="s">
        <v>321</v>
      </c>
      <c r="CP76" t="s">
        <v>321</v>
      </c>
      <c r="CQ76" t="s">
        <v>321</v>
      </c>
      <c r="CR76" t="s">
        <v>321</v>
      </c>
      <c r="CS76" t="s">
        <v>321</v>
      </c>
      <c r="CT76" t="s">
        <v>321</v>
      </c>
      <c r="CU76" t="s">
        <v>321</v>
      </c>
      <c r="CV76" t="s">
        <v>321</v>
      </c>
      <c r="CW76" t="s">
        <v>321</v>
      </c>
      <c r="CX76">
        <v>277919.3665</v>
      </c>
      <c r="CY76">
        <v>4925116.9019999998</v>
      </c>
      <c r="CZ76">
        <v>44.445259999999998</v>
      </c>
      <c r="DA76">
        <v>-95.790920999999997</v>
      </c>
      <c r="DB76" s="291">
        <v>43771.78125</v>
      </c>
      <c r="DC76" t="s">
        <v>231</v>
      </c>
      <c r="DD76" t="s">
        <v>429</v>
      </c>
      <c r="DE76" t="s">
        <v>455</v>
      </c>
      <c r="DF76" t="s">
        <v>456</v>
      </c>
      <c r="DG76" t="s">
        <v>593</v>
      </c>
      <c r="DH76">
        <v>0</v>
      </c>
      <c r="DI76" t="s">
        <v>333</v>
      </c>
      <c r="DJ76">
        <v>100</v>
      </c>
      <c r="DK76">
        <v>6</v>
      </c>
    </row>
    <row r="77" spans="1:115" x14ac:dyDescent="0.25">
      <c r="A77">
        <v>76</v>
      </c>
      <c r="B77" t="s">
        <v>657</v>
      </c>
      <c r="C77">
        <v>1</v>
      </c>
      <c r="D77">
        <v>87</v>
      </c>
      <c r="E77">
        <v>343518</v>
      </c>
      <c r="F77" t="s">
        <v>464</v>
      </c>
      <c r="G77">
        <v>19</v>
      </c>
      <c r="H77">
        <v>34.927999999999997</v>
      </c>
      <c r="I77" t="s">
        <v>297</v>
      </c>
      <c r="J77" t="s">
        <v>299</v>
      </c>
      <c r="K77" t="s">
        <v>321</v>
      </c>
      <c r="L77" t="s">
        <v>406</v>
      </c>
      <c r="M77" t="s">
        <v>299</v>
      </c>
      <c r="N77" t="s">
        <v>321</v>
      </c>
      <c r="O77" s="292">
        <v>202000000000</v>
      </c>
      <c r="P77">
        <v>161110066</v>
      </c>
      <c r="Q77" s="290">
        <v>45020</v>
      </c>
      <c r="R77">
        <v>20</v>
      </c>
      <c r="S77">
        <v>2016</v>
      </c>
      <c r="T77" t="s">
        <v>494</v>
      </c>
      <c r="U77">
        <v>13</v>
      </c>
      <c r="V77" t="s">
        <v>459</v>
      </c>
      <c r="W77" t="s">
        <v>320</v>
      </c>
      <c r="X77">
        <v>0</v>
      </c>
      <c r="Y77">
        <v>2</v>
      </c>
      <c r="Z77" t="s">
        <v>476</v>
      </c>
      <c r="AA77" t="s">
        <v>409</v>
      </c>
      <c r="AB77" t="s">
        <v>410</v>
      </c>
      <c r="AC77" t="s">
        <v>433</v>
      </c>
      <c r="AD77" t="s">
        <v>446</v>
      </c>
      <c r="AE77" t="s">
        <v>321</v>
      </c>
      <c r="AF77" t="s">
        <v>434</v>
      </c>
      <c r="AG77" t="s">
        <v>414</v>
      </c>
      <c r="AH77" t="s">
        <v>477</v>
      </c>
      <c r="AI77" t="s">
        <v>321</v>
      </c>
      <c r="AJ77" t="s">
        <v>471</v>
      </c>
      <c r="AK77" t="s">
        <v>447</v>
      </c>
      <c r="AL77" t="s">
        <v>417</v>
      </c>
      <c r="AM77" t="s">
        <v>425</v>
      </c>
      <c r="AN77" t="s">
        <v>461</v>
      </c>
      <c r="AO77" t="s">
        <v>594</v>
      </c>
      <c r="AP77">
        <v>22</v>
      </c>
      <c r="AQ77" t="s">
        <v>420</v>
      </c>
      <c r="AR77" t="s">
        <v>421</v>
      </c>
      <c r="AS77" t="s">
        <v>428</v>
      </c>
      <c r="AT77" t="s">
        <v>321</v>
      </c>
      <c r="AU77" t="s">
        <v>321</v>
      </c>
      <c r="AV77" t="s">
        <v>321</v>
      </c>
      <c r="AW77" t="s">
        <v>544</v>
      </c>
      <c r="AX77" t="s">
        <v>442</v>
      </c>
      <c r="AY77">
        <v>30</v>
      </c>
      <c r="AZ77" t="s">
        <v>423</v>
      </c>
      <c r="BA77" t="s">
        <v>424</v>
      </c>
      <c r="BB77" t="s">
        <v>417</v>
      </c>
      <c r="BC77" t="s">
        <v>425</v>
      </c>
      <c r="BD77" t="s">
        <v>461</v>
      </c>
      <c r="BE77" t="s">
        <v>426</v>
      </c>
      <c r="BF77">
        <v>22</v>
      </c>
      <c r="BG77" t="s">
        <v>420</v>
      </c>
      <c r="BH77" t="s">
        <v>421</v>
      </c>
      <c r="BI77" t="s">
        <v>479</v>
      </c>
      <c r="BJ77" t="s">
        <v>321</v>
      </c>
      <c r="BK77" t="s">
        <v>321</v>
      </c>
      <c r="BL77" t="s">
        <v>321</v>
      </c>
      <c r="BM77" t="s">
        <v>544</v>
      </c>
      <c r="BN77" t="s">
        <v>442</v>
      </c>
      <c r="BO77">
        <v>30</v>
      </c>
      <c r="BP77" t="s">
        <v>423</v>
      </c>
      <c r="BQ77" t="s">
        <v>424</v>
      </c>
      <c r="BR77" t="s">
        <v>321</v>
      </c>
      <c r="BS77" t="s">
        <v>321</v>
      </c>
      <c r="BT77" t="s">
        <v>321</v>
      </c>
      <c r="BU77" t="s">
        <v>321</v>
      </c>
      <c r="BV77" t="s">
        <v>321</v>
      </c>
      <c r="BW77" t="s">
        <v>321</v>
      </c>
      <c r="BX77" t="s">
        <v>321</v>
      </c>
      <c r="BY77" t="s">
        <v>321</v>
      </c>
      <c r="BZ77" t="s">
        <v>321</v>
      </c>
      <c r="CA77" t="s">
        <v>321</v>
      </c>
      <c r="CB77" t="s">
        <v>321</v>
      </c>
      <c r="CC77" t="s">
        <v>321</v>
      </c>
      <c r="CD77" t="s">
        <v>321</v>
      </c>
      <c r="CE77" t="s">
        <v>321</v>
      </c>
      <c r="CF77" t="s">
        <v>321</v>
      </c>
      <c r="CG77" t="s">
        <v>321</v>
      </c>
      <c r="CH77" t="s">
        <v>321</v>
      </c>
      <c r="CI77" t="s">
        <v>321</v>
      </c>
      <c r="CJ77" t="s">
        <v>321</v>
      </c>
      <c r="CK77" t="s">
        <v>321</v>
      </c>
      <c r="CL77" t="s">
        <v>321</v>
      </c>
      <c r="CM77" t="s">
        <v>321</v>
      </c>
      <c r="CN77" t="s">
        <v>321</v>
      </c>
      <c r="CO77" t="s">
        <v>321</v>
      </c>
      <c r="CP77" t="s">
        <v>321</v>
      </c>
      <c r="CQ77" t="s">
        <v>321</v>
      </c>
      <c r="CR77" t="s">
        <v>321</v>
      </c>
      <c r="CS77" t="s">
        <v>321</v>
      </c>
      <c r="CT77" t="s">
        <v>321</v>
      </c>
      <c r="CU77" t="s">
        <v>321</v>
      </c>
      <c r="CV77" t="s">
        <v>321</v>
      </c>
      <c r="CW77" t="s">
        <v>321</v>
      </c>
      <c r="CX77">
        <v>278273.76140000002</v>
      </c>
      <c r="CY77">
        <v>4925466.4630000005</v>
      </c>
      <c r="CZ77">
        <v>44.448512000000001</v>
      </c>
      <c r="DA77">
        <v>-95.786621999999994</v>
      </c>
      <c r="DB77" s="291">
        <v>42480.565972222219</v>
      </c>
      <c r="DC77" t="s">
        <v>231</v>
      </c>
      <c r="DD77" t="s">
        <v>429</v>
      </c>
      <c r="DE77" t="s">
        <v>455</v>
      </c>
      <c r="DF77" t="s">
        <v>456</v>
      </c>
      <c r="DG77" t="s">
        <v>1030</v>
      </c>
      <c r="DH77">
        <v>0</v>
      </c>
      <c r="DI77" t="s">
        <v>659</v>
      </c>
      <c r="DJ77">
        <v>100</v>
      </c>
      <c r="DK77">
        <v>18</v>
      </c>
    </row>
    <row r="78" spans="1:115" x14ac:dyDescent="0.25">
      <c r="A78">
        <v>77</v>
      </c>
      <c r="B78" t="s">
        <v>657</v>
      </c>
      <c r="C78">
        <v>1</v>
      </c>
      <c r="D78">
        <v>88</v>
      </c>
      <c r="E78">
        <v>651262</v>
      </c>
      <c r="F78" t="s">
        <v>464</v>
      </c>
      <c r="G78">
        <v>19</v>
      </c>
      <c r="H78">
        <v>34.930999999999997</v>
      </c>
      <c r="I78" t="s">
        <v>297</v>
      </c>
      <c r="J78" t="s">
        <v>299</v>
      </c>
      <c r="K78" t="s">
        <v>321</v>
      </c>
      <c r="L78" t="s">
        <v>406</v>
      </c>
      <c r="M78" t="s">
        <v>299</v>
      </c>
      <c r="N78" t="s">
        <v>321</v>
      </c>
      <c r="O78" s="292">
        <v>202000000000</v>
      </c>
      <c r="P78">
        <v>182830315</v>
      </c>
      <c r="Q78" s="290">
        <v>45209</v>
      </c>
      <c r="R78">
        <v>10</v>
      </c>
      <c r="S78">
        <v>2018</v>
      </c>
      <c r="T78" t="s">
        <v>494</v>
      </c>
      <c r="U78">
        <v>18</v>
      </c>
      <c r="V78" t="s">
        <v>450</v>
      </c>
      <c r="W78" t="s">
        <v>318</v>
      </c>
      <c r="X78">
        <v>0</v>
      </c>
      <c r="Y78">
        <v>1</v>
      </c>
      <c r="Z78" t="s">
        <v>321</v>
      </c>
      <c r="AA78" t="s">
        <v>557</v>
      </c>
      <c r="AB78" t="s">
        <v>410</v>
      </c>
      <c r="AC78" t="s">
        <v>433</v>
      </c>
      <c r="AD78" t="s">
        <v>412</v>
      </c>
      <c r="AE78" t="s">
        <v>321</v>
      </c>
      <c r="AF78" t="s">
        <v>434</v>
      </c>
      <c r="AG78" t="s">
        <v>414</v>
      </c>
      <c r="AH78" t="s">
        <v>477</v>
      </c>
      <c r="AI78" t="s">
        <v>321</v>
      </c>
      <c r="AJ78" t="s">
        <v>471</v>
      </c>
      <c r="AK78" t="s">
        <v>436</v>
      </c>
      <c r="AL78" t="s">
        <v>417</v>
      </c>
      <c r="AM78" t="s">
        <v>418</v>
      </c>
      <c r="AN78" t="s">
        <v>453</v>
      </c>
      <c r="AO78" t="s">
        <v>430</v>
      </c>
      <c r="AP78">
        <v>68</v>
      </c>
      <c r="AQ78" t="s">
        <v>427</v>
      </c>
      <c r="AR78" t="s">
        <v>595</v>
      </c>
      <c r="AS78" t="s">
        <v>846</v>
      </c>
      <c r="AT78" t="s">
        <v>321</v>
      </c>
      <c r="AU78" t="s">
        <v>321</v>
      </c>
      <c r="AV78" t="s">
        <v>321</v>
      </c>
      <c r="AW78" t="s">
        <v>544</v>
      </c>
      <c r="AX78" t="s">
        <v>442</v>
      </c>
      <c r="AY78">
        <v>30</v>
      </c>
      <c r="AZ78" t="s">
        <v>423</v>
      </c>
      <c r="BA78" t="s">
        <v>424</v>
      </c>
      <c r="BB78" t="s">
        <v>321</v>
      </c>
      <c r="BC78" t="s">
        <v>321</v>
      </c>
      <c r="BD78" t="s">
        <v>321</v>
      </c>
      <c r="BE78" t="s">
        <v>321</v>
      </c>
      <c r="BF78" t="s">
        <v>321</v>
      </c>
      <c r="BG78" t="s">
        <v>321</v>
      </c>
      <c r="BH78" t="s">
        <v>321</v>
      </c>
      <c r="BI78" t="s">
        <v>321</v>
      </c>
      <c r="BJ78" t="s">
        <v>321</v>
      </c>
      <c r="BK78" t="s">
        <v>321</v>
      </c>
      <c r="BL78" t="s">
        <v>321</v>
      </c>
      <c r="BM78" t="s">
        <v>321</v>
      </c>
      <c r="BN78" t="s">
        <v>321</v>
      </c>
      <c r="BO78" t="s">
        <v>321</v>
      </c>
      <c r="BP78" t="s">
        <v>321</v>
      </c>
      <c r="BQ78" t="s">
        <v>321</v>
      </c>
      <c r="BR78" t="s">
        <v>321</v>
      </c>
      <c r="BS78" t="s">
        <v>321</v>
      </c>
      <c r="BT78" t="s">
        <v>321</v>
      </c>
      <c r="BU78" t="s">
        <v>321</v>
      </c>
      <c r="BV78" t="s">
        <v>321</v>
      </c>
      <c r="BW78" t="s">
        <v>321</v>
      </c>
      <c r="BX78" t="s">
        <v>321</v>
      </c>
      <c r="BY78" t="s">
        <v>321</v>
      </c>
      <c r="BZ78" t="s">
        <v>321</v>
      </c>
      <c r="CA78" t="s">
        <v>321</v>
      </c>
      <c r="CB78" t="s">
        <v>321</v>
      </c>
      <c r="CC78" t="s">
        <v>321</v>
      </c>
      <c r="CD78" t="s">
        <v>321</v>
      </c>
      <c r="CE78" t="s">
        <v>321</v>
      </c>
      <c r="CF78" t="s">
        <v>321</v>
      </c>
      <c r="CG78" t="s">
        <v>321</v>
      </c>
      <c r="CH78" t="s">
        <v>321</v>
      </c>
      <c r="CI78" t="s">
        <v>321</v>
      </c>
      <c r="CJ78" t="s">
        <v>321</v>
      </c>
      <c r="CK78" t="s">
        <v>321</v>
      </c>
      <c r="CL78" t="s">
        <v>321</v>
      </c>
      <c r="CM78" t="s">
        <v>321</v>
      </c>
      <c r="CN78" t="s">
        <v>321</v>
      </c>
      <c r="CO78" t="s">
        <v>321</v>
      </c>
      <c r="CP78" t="s">
        <v>321</v>
      </c>
      <c r="CQ78" t="s">
        <v>321</v>
      </c>
      <c r="CR78" t="s">
        <v>321</v>
      </c>
      <c r="CS78" t="s">
        <v>321</v>
      </c>
      <c r="CT78" t="s">
        <v>321</v>
      </c>
      <c r="CU78" t="s">
        <v>321</v>
      </c>
      <c r="CV78" t="s">
        <v>321</v>
      </c>
      <c r="CW78" t="s">
        <v>321</v>
      </c>
      <c r="CX78">
        <v>278277.14159999997</v>
      </c>
      <c r="CY78">
        <v>4925469.6330000004</v>
      </c>
      <c r="CZ78">
        <v>44.448542000000003</v>
      </c>
      <c r="DA78">
        <v>-95.786580999999998</v>
      </c>
      <c r="DB78" s="291">
        <v>43383.756944444445</v>
      </c>
      <c r="DC78" t="s">
        <v>231</v>
      </c>
      <c r="DD78" t="s">
        <v>429</v>
      </c>
      <c r="DE78" t="s">
        <v>455</v>
      </c>
      <c r="DF78" t="s">
        <v>456</v>
      </c>
      <c r="DG78" t="s">
        <v>1029</v>
      </c>
      <c r="DH78">
        <v>0</v>
      </c>
      <c r="DI78" t="s">
        <v>659</v>
      </c>
      <c r="DJ78">
        <v>100</v>
      </c>
      <c r="DK78">
        <v>18</v>
      </c>
    </row>
    <row r="79" spans="1:115" x14ac:dyDescent="0.25">
      <c r="A79">
        <v>78</v>
      </c>
      <c r="B79" t="s">
        <v>657</v>
      </c>
      <c r="C79">
        <v>1</v>
      </c>
      <c r="D79">
        <v>89</v>
      </c>
      <c r="E79">
        <v>10994896</v>
      </c>
      <c r="F79" t="s">
        <v>464</v>
      </c>
      <c r="G79">
        <v>19</v>
      </c>
      <c r="H79">
        <v>34.972999999999999</v>
      </c>
      <c r="I79" t="s">
        <v>297</v>
      </c>
      <c r="J79" t="s">
        <v>299</v>
      </c>
      <c r="K79" t="s">
        <v>321</v>
      </c>
      <c r="L79" t="s">
        <v>406</v>
      </c>
      <c r="M79" t="s">
        <v>299</v>
      </c>
      <c r="N79" t="s">
        <v>321</v>
      </c>
      <c r="O79" t="s">
        <v>1028</v>
      </c>
      <c r="P79">
        <v>143150031</v>
      </c>
      <c r="Q79" s="290">
        <v>45241</v>
      </c>
      <c r="R79">
        <v>11</v>
      </c>
      <c r="S79">
        <v>2014</v>
      </c>
      <c r="T79" t="s">
        <v>407</v>
      </c>
      <c r="U79">
        <v>4</v>
      </c>
      <c r="V79" t="s">
        <v>321</v>
      </c>
      <c r="W79" t="s">
        <v>320</v>
      </c>
      <c r="X79">
        <v>0</v>
      </c>
      <c r="Y79">
        <v>2</v>
      </c>
      <c r="Z79" t="s">
        <v>797</v>
      </c>
      <c r="AA79" t="s">
        <v>409</v>
      </c>
      <c r="AB79" t="s">
        <v>410</v>
      </c>
      <c r="AC79" t="s">
        <v>411</v>
      </c>
      <c r="AD79" t="s">
        <v>412</v>
      </c>
      <c r="AE79" t="s">
        <v>412</v>
      </c>
      <c r="AF79" t="s">
        <v>413</v>
      </c>
      <c r="AG79" t="s">
        <v>414</v>
      </c>
      <c r="AH79" t="s">
        <v>1027</v>
      </c>
      <c r="AI79" t="s">
        <v>1026</v>
      </c>
      <c r="AJ79" t="s">
        <v>471</v>
      </c>
      <c r="AK79" t="s">
        <v>447</v>
      </c>
      <c r="AL79" t="s">
        <v>417</v>
      </c>
      <c r="AM79" t="s">
        <v>425</v>
      </c>
      <c r="AN79" t="s">
        <v>453</v>
      </c>
      <c r="AO79" t="s">
        <v>426</v>
      </c>
      <c r="AP79">
        <v>49</v>
      </c>
      <c r="AQ79" t="s">
        <v>427</v>
      </c>
      <c r="AR79" t="s">
        <v>421</v>
      </c>
      <c r="AS79" t="s">
        <v>538</v>
      </c>
      <c r="AT79" t="s">
        <v>321</v>
      </c>
      <c r="AU79" t="s">
        <v>321</v>
      </c>
      <c r="AV79" t="s">
        <v>321</v>
      </c>
      <c r="AW79" t="s">
        <v>816</v>
      </c>
      <c r="AX79" t="s">
        <v>422</v>
      </c>
      <c r="AY79">
        <v>30</v>
      </c>
      <c r="AZ79" t="s">
        <v>423</v>
      </c>
      <c r="BA79" t="s">
        <v>424</v>
      </c>
      <c r="BB79" t="s">
        <v>417</v>
      </c>
      <c r="BC79" t="s">
        <v>478</v>
      </c>
      <c r="BD79" t="s">
        <v>453</v>
      </c>
      <c r="BE79" t="s">
        <v>419</v>
      </c>
      <c r="BF79">
        <v>80</v>
      </c>
      <c r="BG79" t="s">
        <v>420</v>
      </c>
      <c r="BH79" t="s">
        <v>421</v>
      </c>
      <c r="BI79" t="s">
        <v>428</v>
      </c>
      <c r="BJ79" t="s">
        <v>428</v>
      </c>
      <c r="BK79" t="s">
        <v>321</v>
      </c>
      <c r="BL79" t="s">
        <v>321</v>
      </c>
      <c r="BM79" t="s">
        <v>816</v>
      </c>
      <c r="BN79" t="s">
        <v>422</v>
      </c>
      <c r="BO79">
        <v>30</v>
      </c>
      <c r="BP79" t="s">
        <v>423</v>
      </c>
      <c r="BQ79" t="s">
        <v>424</v>
      </c>
      <c r="BR79" t="s">
        <v>321</v>
      </c>
      <c r="BS79" t="s">
        <v>321</v>
      </c>
      <c r="BT79" t="s">
        <v>321</v>
      </c>
      <c r="BU79" t="s">
        <v>321</v>
      </c>
      <c r="BV79" t="s">
        <v>321</v>
      </c>
      <c r="BW79" t="s">
        <v>321</v>
      </c>
      <c r="BX79" t="s">
        <v>321</v>
      </c>
      <c r="BY79" t="s">
        <v>321</v>
      </c>
      <c r="BZ79" t="s">
        <v>321</v>
      </c>
      <c r="CA79" t="s">
        <v>321</v>
      </c>
      <c r="CB79" t="s">
        <v>321</v>
      </c>
      <c r="CC79" t="s">
        <v>321</v>
      </c>
      <c r="CD79" t="s">
        <v>321</v>
      </c>
      <c r="CE79" t="s">
        <v>321</v>
      </c>
      <c r="CF79" t="s">
        <v>321</v>
      </c>
      <c r="CG79" t="s">
        <v>321</v>
      </c>
      <c r="CH79" t="s">
        <v>321</v>
      </c>
      <c r="CI79" t="s">
        <v>321</v>
      </c>
      <c r="CJ79" t="s">
        <v>321</v>
      </c>
      <c r="CK79" t="s">
        <v>321</v>
      </c>
      <c r="CL79" t="s">
        <v>321</v>
      </c>
      <c r="CM79" t="s">
        <v>321</v>
      </c>
      <c r="CN79" t="s">
        <v>321</v>
      </c>
      <c r="CO79" t="s">
        <v>321</v>
      </c>
      <c r="CP79" t="s">
        <v>321</v>
      </c>
      <c r="CQ79" t="s">
        <v>321</v>
      </c>
      <c r="CR79" t="s">
        <v>321</v>
      </c>
      <c r="CS79" t="s">
        <v>321</v>
      </c>
      <c r="CT79" t="s">
        <v>321</v>
      </c>
      <c r="CU79" t="s">
        <v>321</v>
      </c>
      <c r="CV79" t="s">
        <v>321</v>
      </c>
      <c r="CW79" t="s">
        <v>321</v>
      </c>
      <c r="CX79">
        <v>278326.14030000003</v>
      </c>
      <c r="CY79">
        <v>4925515.5930000003</v>
      </c>
      <c r="CZ79">
        <v>44.448970000000003</v>
      </c>
      <c r="DA79">
        <v>-95.785985999999994</v>
      </c>
      <c r="DB79" s="291">
        <v>41954.197916666664</v>
      </c>
      <c r="DC79" t="s">
        <v>231</v>
      </c>
      <c r="DD79" t="s">
        <v>429</v>
      </c>
      <c r="DE79" t="s">
        <v>430</v>
      </c>
      <c r="DF79" t="s">
        <v>430</v>
      </c>
      <c r="DG79" t="s">
        <v>1025</v>
      </c>
      <c r="DH79">
        <v>0</v>
      </c>
      <c r="DI79" t="s">
        <v>660</v>
      </c>
      <c r="DJ79">
        <v>100</v>
      </c>
      <c r="DK79">
        <v>17</v>
      </c>
    </row>
    <row r="80" spans="1:115" x14ac:dyDescent="0.25">
      <c r="A80">
        <v>79</v>
      </c>
      <c r="B80" t="s">
        <v>657</v>
      </c>
      <c r="C80">
        <v>1</v>
      </c>
      <c r="D80">
        <v>90</v>
      </c>
      <c r="E80">
        <v>450582</v>
      </c>
      <c r="F80" t="s">
        <v>464</v>
      </c>
      <c r="G80">
        <v>19</v>
      </c>
      <c r="H80">
        <v>34.982999999999997</v>
      </c>
      <c r="I80" t="s">
        <v>297</v>
      </c>
      <c r="J80" t="s">
        <v>299</v>
      </c>
      <c r="K80" t="s">
        <v>321</v>
      </c>
      <c r="L80" t="s">
        <v>406</v>
      </c>
      <c r="M80" t="s">
        <v>299</v>
      </c>
      <c r="N80" t="s">
        <v>321</v>
      </c>
      <c r="O80" t="s">
        <v>1024</v>
      </c>
      <c r="P80">
        <v>171280097</v>
      </c>
      <c r="Q80" s="290">
        <v>45051</v>
      </c>
      <c r="R80">
        <v>8</v>
      </c>
      <c r="S80">
        <v>2017</v>
      </c>
      <c r="T80" t="s">
        <v>431</v>
      </c>
      <c r="U80">
        <v>15</v>
      </c>
      <c r="V80" t="s">
        <v>495</v>
      </c>
      <c r="W80" t="s">
        <v>320</v>
      </c>
      <c r="X80">
        <v>0</v>
      </c>
      <c r="Y80">
        <v>2</v>
      </c>
      <c r="Z80" t="s">
        <v>463</v>
      </c>
      <c r="AA80" t="s">
        <v>409</v>
      </c>
      <c r="AB80" t="s">
        <v>1023</v>
      </c>
      <c r="AC80" t="s">
        <v>433</v>
      </c>
      <c r="AD80" t="s">
        <v>412</v>
      </c>
      <c r="AE80" t="s">
        <v>321</v>
      </c>
      <c r="AF80" t="s">
        <v>434</v>
      </c>
      <c r="AG80" t="s">
        <v>414</v>
      </c>
      <c r="AH80" t="s">
        <v>477</v>
      </c>
      <c r="AI80" t="s">
        <v>789</v>
      </c>
      <c r="AJ80" t="s">
        <v>471</v>
      </c>
      <c r="AK80" t="s">
        <v>463</v>
      </c>
      <c r="AL80" t="s">
        <v>417</v>
      </c>
      <c r="AM80" t="s">
        <v>425</v>
      </c>
      <c r="AN80" t="s">
        <v>448</v>
      </c>
      <c r="AO80" t="s">
        <v>426</v>
      </c>
      <c r="AP80">
        <v>23</v>
      </c>
      <c r="AQ80" t="s">
        <v>420</v>
      </c>
      <c r="AR80" t="s">
        <v>421</v>
      </c>
      <c r="AS80" t="s">
        <v>454</v>
      </c>
      <c r="AT80" t="s">
        <v>321</v>
      </c>
      <c r="AU80" t="s">
        <v>321</v>
      </c>
      <c r="AV80" t="s">
        <v>321</v>
      </c>
      <c r="AW80" t="s">
        <v>441</v>
      </c>
      <c r="AX80" t="s">
        <v>512</v>
      </c>
      <c r="AY80">
        <v>30</v>
      </c>
      <c r="AZ80" t="s">
        <v>423</v>
      </c>
      <c r="BA80" t="s">
        <v>424</v>
      </c>
      <c r="BB80" t="s">
        <v>417</v>
      </c>
      <c r="BC80" t="s">
        <v>514</v>
      </c>
      <c r="BD80" t="s">
        <v>472</v>
      </c>
      <c r="BE80" t="s">
        <v>426</v>
      </c>
      <c r="BF80">
        <v>73</v>
      </c>
      <c r="BG80" t="s">
        <v>427</v>
      </c>
      <c r="BH80" t="s">
        <v>421</v>
      </c>
      <c r="BI80" t="s">
        <v>428</v>
      </c>
      <c r="BJ80" t="s">
        <v>321</v>
      </c>
      <c r="BK80" t="s">
        <v>321</v>
      </c>
      <c r="BL80" t="s">
        <v>321</v>
      </c>
      <c r="BM80" t="s">
        <v>441</v>
      </c>
      <c r="BN80" t="s">
        <v>442</v>
      </c>
      <c r="BO80">
        <v>30</v>
      </c>
      <c r="BP80" t="s">
        <v>423</v>
      </c>
      <c r="BQ80" t="s">
        <v>424</v>
      </c>
      <c r="BR80" t="s">
        <v>321</v>
      </c>
      <c r="BS80" t="s">
        <v>321</v>
      </c>
      <c r="BT80" t="s">
        <v>321</v>
      </c>
      <c r="BU80" t="s">
        <v>321</v>
      </c>
      <c r="BV80" t="s">
        <v>321</v>
      </c>
      <c r="BW80" t="s">
        <v>321</v>
      </c>
      <c r="BX80" t="s">
        <v>321</v>
      </c>
      <c r="BY80" t="s">
        <v>321</v>
      </c>
      <c r="BZ80" t="s">
        <v>321</v>
      </c>
      <c r="CA80" t="s">
        <v>321</v>
      </c>
      <c r="CB80" t="s">
        <v>321</v>
      </c>
      <c r="CC80" t="s">
        <v>321</v>
      </c>
      <c r="CD80" t="s">
        <v>321</v>
      </c>
      <c r="CE80" t="s">
        <v>321</v>
      </c>
      <c r="CF80" t="s">
        <v>321</v>
      </c>
      <c r="CG80" t="s">
        <v>321</v>
      </c>
      <c r="CH80" t="s">
        <v>321</v>
      </c>
      <c r="CI80" t="s">
        <v>321</v>
      </c>
      <c r="CJ80" t="s">
        <v>321</v>
      </c>
      <c r="CK80" t="s">
        <v>321</v>
      </c>
      <c r="CL80" t="s">
        <v>321</v>
      </c>
      <c r="CM80" t="s">
        <v>321</v>
      </c>
      <c r="CN80" t="s">
        <v>321</v>
      </c>
      <c r="CO80" t="s">
        <v>321</v>
      </c>
      <c r="CP80" t="s">
        <v>321</v>
      </c>
      <c r="CQ80" t="s">
        <v>321</v>
      </c>
      <c r="CR80" t="s">
        <v>321</v>
      </c>
      <c r="CS80" t="s">
        <v>321</v>
      </c>
      <c r="CT80" t="s">
        <v>321</v>
      </c>
      <c r="CU80" t="s">
        <v>321</v>
      </c>
      <c r="CV80" t="s">
        <v>321</v>
      </c>
      <c r="CW80" t="s">
        <v>321</v>
      </c>
      <c r="CX80">
        <v>278337.31790000002</v>
      </c>
      <c r="CY80">
        <v>4925526.0779999997</v>
      </c>
      <c r="CZ80">
        <v>44.449067999999997</v>
      </c>
      <c r="DA80">
        <v>-95.785849999999996</v>
      </c>
      <c r="DB80" s="291">
        <v>42863.631944444445</v>
      </c>
      <c r="DC80" t="s">
        <v>231</v>
      </c>
      <c r="DD80" t="s">
        <v>429</v>
      </c>
      <c r="DE80" t="s">
        <v>455</v>
      </c>
      <c r="DF80" t="s">
        <v>456</v>
      </c>
      <c r="DG80" t="s">
        <v>1022</v>
      </c>
      <c r="DH80">
        <v>0</v>
      </c>
      <c r="DI80" t="s">
        <v>660</v>
      </c>
      <c r="DJ80">
        <v>100</v>
      </c>
      <c r="DK80">
        <v>17</v>
      </c>
    </row>
    <row r="81" spans="1:115" x14ac:dyDescent="0.25">
      <c r="A81">
        <v>80</v>
      </c>
      <c r="B81" t="s">
        <v>657</v>
      </c>
      <c r="C81">
        <v>1</v>
      </c>
      <c r="D81">
        <v>91</v>
      </c>
      <c r="E81">
        <v>10985193</v>
      </c>
      <c r="F81" t="s">
        <v>464</v>
      </c>
      <c r="G81">
        <v>19</v>
      </c>
      <c r="H81">
        <v>34.982999999999997</v>
      </c>
      <c r="I81" t="s">
        <v>297</v>
      </c>
      <c r="J81" t="s">
        <v>299</v>
      </c>
      <c r="K81" t="s">
        <v>321</v>
      </c>
      <c r="L81" t="s">
        <v>406</v>
      </c>
      <c r="M81" t="s">
        <v>299</v>
      </c>
      <c r="N81" t="s">
        <v>321</v>
      </c>
      <c r="O81" t="s">
        <v>1021</v>
      </c>
      <c r="P81">
        <v>142660151</v>
      </c>
      <c r="Q81" s="290">
        <v>45178</v>
      </c>
      <c r="R81">
        <v>23</v>
      </c>
      <c r="S81">
        <v>2014</v>
      </c>
      <c r="T81" t="s">
        <v>407</v>
      </c>
      <c r="U81">
        <v>12</v>
      </c>
      <c r="V81" t="s">
        <v>321</v>
      </c>
      <c r="W81" t="s">
        <v>319</v>
      </c>
      <c r="X81">
        <v>0</v>
      </c>
      <c r="Y81">
        <v>2</v>
      </c>
      <c r="Z81" t="s">
        <v>463</v>
      </c>
      <c r="AA81" t="s">
        <v>409</v>
      </c>
      <c r="AB81" t="s">
        <v>452</v>
      </c>
      <c r="AC81" t="s">
        <v>433</v>
      </c>
      <c r="AD81" t="s">
        <v>521</v>
      </c>
      <c r="AE81" t="s">
        <v>446</v>
      </c>
      <c r="AF81" t="s">
        <v>523</v>
      </c>
      <c r="AG81" t="s">
        <v>414</v>
      </c>
      <c r="AH81" t="s">
        <v>841</v>
      </c>
      <c r="AI81" t="s">
        <v>1020</v>
      </c>
      <c r="AJ81" t="s">
        <v>471</v>
      </c>
      <c r="AK81" t="s">
        <v>463</v>
      </c>
      <c r="AL81">
        <v>0</v>
      </c>
      <c r="AM81" t="s">
        <v>425</v>
      </c>
      <c r="AN81" t="s">
        <v>922</v>
      </c>
      <c r="AO81" t="s">
        <v>321</v>
      </c>
      <c r="AP81">
        <v>25</v>
      </c>
      <c r="AQ81" t="s">
        <v>420</v>
      </c>
      <c r="AR81" t="s">
        <v>421</v>
      </c>
      <c r="AS81" t="s">
        <v>454</v>
      </c>
      <c r="AT81" t="s">
        <v>321</v>
      </c>
      <c r="AU81" t="s">
        <v>1019</v>
      </c>
      <c r="AV81" t="s">
        <v>321</v>
      </c>
      <c r="AW81" t="s">
        <v>816</v>
      </c>
      <c r="AX81" t="s">
        <v>989</v>
      </c>
      <c r="AY81">
        <v>30</v>
      </c>
      <c r="AZ81" t="s">
        <v>423</v>
      </c>
      <c r="BA81" t="s">
        <v>424</v>
      </c>
      <c r="BB81" t="s">
        <v>417</v>
      </c>
      <c r="BC81" t="s">
        <v>425</v>
      </c>
      <c r="BD81" t="s">
        <v>864</v>
      </c>
      <c r="BE81" t="s">
        <v>426</v>
      </c>
      <c r="BF81">
        <v>20</v>
      </c>
      <c r="BG81" t="s">
        <v>427</v>
      </c>
      <c r="BH81" t="s">
        <v>421</v>
      </c>
      <c r="BI81" t="s">
        <v>806</v>
      </c>
      <c r="BJ81" t="s">
        <v>321</v>
      </c>
      <c r="BK81" t="s">
        <v>321</v>
      </c>
      <c r="BL81" t="s">
        <v>321</v>
      </c>
      <c r="BM81" t="s">
        <v>816</v>
      </c>
      <c r="BN81" t="s">
        <v>989</v>
      </c>
      <c r="BO81">
        <v>30</v>
      </c>
      <c r="BP81" t="s">
        <v>423</v>
      </c>
      <c r="BQ81" t="s">
        <v>424</v>
      </c>
      <c r="BR81" t="s">
        <v>321</v>
      </c>
      <c r="BS81" t="s">
        <v>321</v>
      </c>
      <c r="BT81" t="s">
        <v>321</v>
      </c>
      <c r="BU81" t="s">
        <v>321</v>
      </c>
      <c r="BV81" t="s">
        <v>321</v>
      </c>
      <c r="BW81" t="s">
        <v>321</v>
      </c>
      <c r="BX81" t="s">
        <v>321</v>
      </c>
      <c r="BY81" t="s">
        <v>321</v>
      </c>
      <c r="BZ81" t="s">
        <v>321</v>
      </c>
      <c r="CA81" t="s">
        <v>321</v>
      </c>
      <c r="CB81" t="s">
        <v>321</v>
      </c>
      <c r="CC81" t="s">
        <v>321</v>
      </c>
      <c r="CD81" t="s">
        <v>321</v>
      </c>
      <c r="CE81" t="s">
        <v>321</v>
      </c>
      <c r="CF81" t="s">
        <v>321</v>
      </c>
      <c r="CG81" t="s">
        <v>321</v>
      </c>
      <c r="CH81" t="s">
        <v>321</v>
      </c>
      <c r="CI81" t="s">
        <v>321</v>
      </c>
      <c r="CJ81" t="s">
        <v>321</v>
      </c>
      <c r="CK81" t="s">
        <v>321</v>
      </c>
      <c r="CL81" t="s">
        <v>321</v>
      </c>
      <c r="CM81" t="s">
        <v>321</v>
      </c>
      <c r="CN81" t="s">
        <v>321</v>
      </c>
      <c r="CO81" t="s">
        <v>321</v>
      </c>
      <c r="CP81" t="s">
        <v>321</v>
      </c>
      <c r="CQ81" t="s">
        <v>321</v>
      </c>
      <c r="CR81" t="s">
        <v>321</v>
      </c>
      <c r="CS81" t="s">
        <v>321</v>
      </c>
      <c r="CT81" t="s">
        <v>321</v>
      </c>
      <c r="CU81" t="s">
        <v>321</v>
      </c>
      <c r="CV81" t="s">
        <v>321</v>
      </c>
      <c r="CW81" t="s">
        <v>321</v>
      </c>
      <c r="CX81">
        <v>278337.87819999998</v>
      </c>
      <c r="CY81">
        <v>4925526.6030000001</v>
      </c>
      <c r="CZ81">
        <v>44.449072000000001</v>
      </c>
      <c r="DA81">
        <v>-95.785843</v>
      </c>
      <c r="DB81" s="291">
        <v>41905.536111111112</v>
      </c>
      <c r="DC81" t="s">
        <v>231</v>
      </c>
      <c r="DD81" t="s">
        <v>429</v>
      </c>
      <c r="DE81" t="s">
        <v>430</v>
      </c>
      <c r="DF81" t="s">
        <v>430</v>
      </c>
      <c r="DG81" t="s">
        <v>1018</v>
      </c>
      <c r="DH81">
        <v>0</v>
      </c>
      <c r="DI81" t="s">
        <v>660</v>
      </c>
      <c r="DJ81">
        <v>100</v>
      </c>
      <c r="DK81">
        <v>17</v>
      </c>
    </row>
    <row r="82" spans="1:115" x14ac:dyDescent="0.25">
      <c r="A82">
        <v>81</v>
      </c>
      <c r="B82" t="s">
        <v>657</v>
      </c>
      <c r="C82">
        <v>1</v>
      </c>
      <c r="D82">
        <v>92</v>
      </c>
      <c r="E82">
        <v>521675</v>
      </c>
      <c r="F82" t="s">
        <v>464</v>
      </c>
      <c r="G82">
        <v>19</v>
      </c>
      <c r="H82">
        <v>34.984000000000002</v>
      </c>
      <c r="I82" t="s">
        <v>297</v>
      </c>
      <c r="J82" t="s">
        <v>299</v>
      </c>
      <c r="K82" t="s">
        <v>321</v>
      </c>
      <c r="L82" t="s">
        <v>406</v>
      </c>
      <c r="M82" t="s">
        <v>299</v>
      </c>
      <c r="N82" t="s">
        <v>321</v>
      </c>
      <c r="O82" t="s">
        <v>1017</v>
      </c>
      <c r="P82">
        <v>173380154</v>
      </c>
      <c r="Q82" s="290">
        <v>45272</v>
      </c>
      <c r="R82">
        <v>4</v>
      </c>
      <c r="S82">
        <v>2017</v>
      </c>
      <c r="T82" t="s">
        <v>431</v>
      </c>
      <c r="U82">
        <v>17</v>
      </c>
      <c r="V82" t="s">
        <v>495</v>
      </c>
      <c r="W82" t="s">
        <v>319</v>
      </c>
      <c r="X82">
        <v>0</v>
      </c>
      <c r="Y82">
        <v>2</v>
      </c>
      <c r="Z82" t="s">
        <v>451</v>
      </c>
      <c r="AA82" t="s">
        <v>409</v>
      </c>
      <c r="AB82" t="s">
        <v>452</v>
      </c>
      <c r="AC82" t="s">
        <v>411</v>
      </c>
      <c r="AD82" t="s">
        <v>467</v>
      </c>
      <c r="AE82" t="s">
        <v>468</v>
      </c>
      <c r="AF82" t="s">
        <v>467</v>
      </c>
      <c r="AG82" t="s">
        <v>414</v>
      </c>
      <c r="AH82" t="s">
        <v>477</v>
      </c>
      <c r="AI82" t="s">
        <v>321</v>
      </c>
      <c r="AJ82" t="s">
        <v>471</v>
      </c>
      <c r="AK82" t="s">
        <v>451</v>
      </c>
      <c r="AL82" t="s">
        <v>417</v>
      </c>
      <c r="AM82" t="s">
        <v>425</v>
      </c>
      <c r="AN82" t="s">
        <v>472</v>
      </c>
      <c r="AO82" t="s">
        <v>426</v>
      </c>
      <c r="AP82">
        <v>34</v>
      </c>
      <c r="AQ82" t="s">
        <v>420</v>
      </c>
      <c r="AR82" t="s">
        <v>421</v>
      </c>
      <c r="AS82" t="s">
        <v>454</v>
      </c>
      <c r="AT82" t="s">
        <v>321</v>
      </c>
      <c r="AU82" t="s">
        <v>321</v>
      </c>
      <c r="AV82" t="s">
        <v>321</v>
      </c>
      <c r="AW82" t="s">
        <v>441</v>
      </c>
      <c r="AX82" t="s">
        <v>512</v>
      </c>
      <c r="AY82">
        <v>30</v>
      </c>
      <c r="AZ82" t="s">
        <v>423</v>
      </c>
      <c r="BA82" t="s">
        <v>424</v>
      </c>
      <c r="BB82" t="s">
        <v>417</v>
      </c>
      <c r="BC82" t="s">
        <v>418</v>
      </c>
      <c r="BD82" t="s">
        <v>448</v>
      </c>
      <c r="BE82" t="s">
        <v>426</v>
      </c>
      <c r="BF82">
        <v>28</v>
      </c>
      <c r="BG82" t="s">
        <v>427</v>
      </c>
      <c r="BH82" t="s">
        <v>421</v>
      </c>
      <c r="BI82" t="s">
        <v>428</v>
      </c>
      <c r="BJ82" t="s">
        <v>321</v>
      </c>
      <c r="BK82" t="s">
        <v>321</v>
      </c>
      <c r="BL82" t="s">
        <v>321</v>
      </c>
      <c r="BM82" t="s">
        <v>441</v>
      </c>
      <c r="BN82" t="s">
        <v>442</v>
      </c>
      <c r="BO82">
        <v>30</v>
      </c>
      <c r="BP82" t="s">
        <v>423</v>
      </c>
      <c r="BQ82" t="s">
        <v>424</v>
      </c>
      <c r="BR82" t="s">
        <v>321</v>
      </c>
      <c r="BS82" t="s">
        <v>321</v>
      </c>
      <c r="BT82" t="s">
        <v>321</v>
      </c>
      <c r="BU82" t="s">
        <v>321</v>
      </c>
      <c r="BV82" t="s">
        <v>321</v>
      </c>
      <c r="BW82" t="s">
        <v>321</v>
      </c>
      <c r="BX82" t="s">
        <v>321</v>
      </c>
      <c r="BY82" t="s">
        <v>321</v>
      </c>
      <c r="BZ82" t="s">
        <v>321</v>
      </c>
      <c r="CA82" t="s">
        <v>321</v>
      </c>
      <c r="CB82" t="s">
        <v>321</v>
      </c>
      <c r="CC82" t="s">
        <v>321</v>
      </c>
      <c r="CD82" t="s">
        <v>321</v>
      </c>
      <c r="CE82" t="s">
        <v>321</v>
      </c>
      <c r="CF82" t="s">
        <v>321</v>
      </c>
      <c r="CG82" t="s">
        <v>321</v>
      </c>
      <c r="CH82" t="s">
        <v>321</v>
      </c>
      <c r="CI82" t="s">
        <v>321</v>
      </c>
      <c r="CJ82" t="s">
        <v>321</v>
      </c>
      <c r="CK82" t="s">
        <v>321</v>
      </c>
      <c r="CL82" t="s">
        <v>321</v>
      </c>
      <c r="CM82" t="s">
        <v>321</v>
      </c>
      <c r="CN82" t="s">
        <v>321</v>
      </c>
      <c r="CO82" t="s">
        <v>321</v>
      </c>
      <c r="CP82" t="s">
        <v>321</v>
      </c>
      <c r="CQ82" t="s">
        <v>321</v>
      </c>
      <c r="CR82" t="s">
        <v>321</v>
      </c>
      <c r="CS82" t="s">
        <v>321</v>
      </c>
      <c r="CT82" t="s">
        <v>321</v>
      </c>
      <c r="CU82" t="s">
        <v>321</v>
      </c>
      <c r="CV82" t="s">
        <v>321</v>
      </c>
      <c r="CW82" t="s">
        <v>321</v>
      </c>
      <c r="CX82">
        <v>278338.57870000001</v>
      </c>
      <c r="CY82">
        <v>4925527.273</v>
      </c>
      <c r="CZ82">
        <v>44.449078999999998</v>
      </c>
      <c r="DA82">
        <v>-95.785835000000006</v>
      </c>
      <c r="DB82" s="291">
        <v>43073.718055555553</v>
      </c>
      <c r="DC82" t="s">
        <v>231</v>
      </c>
      <c r="DD82" t="s">
        <v>429</v>
      </c>
      <c r="DE82" t="s">
        <v>455</v>
      </c>
      <c r="DF82" t="s">
        <v>456</v>
      </c>
      <c r="DG82" t="s">
        <v>1016</v>
      </c>
      <c r="DH82">
        <v>0</v>
      </c>
      <c r="DI82" t="s">
        <v>660</v>
      </c>
      <c r="DJ82">
        <v>100</v>
      </c>
      <c r="DK82">
        <v>17</v>
      </c>
    </row>
    <row r="83" spans="1:115" x14ac:dyDescent="0.25">
      <c r="A83">
        <v>82</v>
      </c>
      <c r="B83" t="s">
        <v>657</v>
      </c>
      <c r="C83">
        <v>1</v>
      </c>
      <c r="D83">
        <v>93</v>
      </c>
      <c r="E83">
        <v>447552</v>
      </c>
      <c r="F83" t="s">
        <v>464</v>
      </c>
      <c r="G83">
        <v>19</v>
      </c>
      <c r="H83">
        <v>34.991</v>
      </c>
      <c r="I83" t="s">
        <v>297</v>
      </c>
      <c r="J83" t="s">
        <v>299</v>
      </c>
      <c r="K83" t="s">
        <v>321</v>
      </c>
      <c r="L83" t="s">
        <v>406</v>
      </c>
      <c r="M83" t="s">
        <v>299</v>
      </c>
      <c r="N83" t="s">
        <v>321</v>
      </c>
      <c r="O83" t="s">
        <v>1015</v>
      </c>
      <c r="P83">
        <v>171150094</v>
      </c>
      <c r="Q83" s="290">
        <v>45020</v>
      </c>
      <c r="R83">
        <v>25</v>
      </c>
      <c r="S83">
        <v>2017</v>
      </c>
      <c r="T83" t="s">
        <v>407</v>
      </c>
      <c r="U83">
        <v>15</v>
      </c>
      <c r="V83" t="s">
        <v>459</v>
      </c>
      <c r="W83" t="s">
        <v>320</v>
      </c>
      <c r="X83">
        <v>0</v>
      </c>
      <c r="Y83">
        <v>2</v>
      </c>
      <c r="Z83" t="s">
        <v>451</v>
      </c>
      <c r="AA83" t="s">
        <v>409</v>
      </c>
      <c r="AB83" t="s">
        <v>452</v>
      </c>
      <c r="AC83" t="s">
        <v>433</v>
      </c>
      <c r="AD83" t="s">
        <v>521</v>
      </c>
      <c r="AE83" t="s">
        <v>321</v>
      </c>
      <c r="AF83" t="s">
        <v>523</v>
      </c>
      <c r="AG83" t="s">
        <v>414</v>
      </c>
      <c r="AH83" t="s">
        <v>477</v>
      </c>
      <c r="AI83" t="s">
        <v>321</v>
      </c>
      <c r="AJ83" t="s">
        <v>471</v>
      </c>
      <c r="AK83" t="s">
        <v>451</v>
      </c>
      <c r="AL83" t="s">
        <v>417</v>
      </c>
      <c r="AM83" t="s">
        <v>425</v>
      </c>
      <c r="AN83" t="s">
        <v>461</v>
      </c>
      <c r="AO83" t="s">
        <v>426</v>
      </c>
      <c r="AP83">
        <v>25</v>
      </c>
      <c r="AQ83" t="s">
        <v>427</v>
      </c>
      <c r="AR83" t="s">
        <v>421</v>
      </c>
      <c r="AS83" t="s">
        <v>428</v>
      </c>
      <c r="AT83" t="s">
        <v>321</v>
      </c>
      <c r="AU83" t="s">
        <v>321</v>
      </c>
      <c r="AV83" t="s">
        <v>321</v>
      </c>
      <c r="AW83" t="s">
        <v>441</v>
      </c>
      <c r="AX83" t="s">
        <v>442</v>
      </c>
      <c r="AY83">
        <v>30</v>
      </c>
      <c r="AZ83" t="s">
        <v>423</v>
      </c>
      <c r="BA83" t="s">
        <v>424</v>
      </c>
      <c r="BB83" t="s">
        <v>417</v>
      </c>
      <c r="BC83" t="s">
        <v>425</v>
      </c>
      <c r="BD83" t="s">
        <v>472</v>
      </c>
      <c r="BE83" t="s">
        <v>426</v>
      </c>
      <c r="BF83">
        <v>51</v>
      </c>
      <c r="BG83" t="s">
        <v>420</v>
      </c>
      <c r="BH83" t="s">
        <v>421</v>
      </c>
      <c r="BI83" t="s">
        <v>454</v>
      </c>
      <c r="BJ83" t="s">
        <v>321</v>
      </c>
      <c r="BK83" t="s">
        <v>321</v>
      </c>
      <c r="BL83" t="s">
        <v>321</v>
      </c>
      <c r="BM83" t="s">
        <v>441</v>
      </c>
      <c r="BN83" t="s">
        <v>512</v>
      </c>
      <c r="BO83">
        <v>30</v>
      </c>
      <c r="BP83" t="s">
        <v>423</v>
      </c>
      <c r="BQ83" t="s">
        <v>424</v>
      </c>
      <c r="BR83" t="s">
        <v>321</v>
      </c>
      <c r="BS83" t="s">
        <v>321</v>
      </c>
      <c r="BT83" t="s">
        <v>321</v>
      </c>
      <c r="BU83" t="s">
        <v>321</v>
      </c>
      <c r="BV83" t="s">
        <v>321</v>
      </c>
      <c r="BW83" t="s">
        <v>321</v>
      </c>
      <c r="BX83" t="s">
        <v>321</v>
      </c>
      <c r="BY83" t="s">
        <v>321</v>
      </c>
      <c r="BZ83" t="s">
        <v>321</v>
      </c>
      <c r="CA83" t="s">
        <v>321</v>
      </c>
      <c r="CB83" t="s">
        <v>321</v>
      </c>
      <c r="CC83" t="s">
        <v>321</v>
      </c>
      <c r="CD83" t="s">
        <v>321</v>
      </c>
      <c r="CE83" t="s">
        <v>321</v>
      </c>
      <c r="CF83" t="s">
        <v>321</v>
      </c>
      <c r="CG83" t="s">
        <v>321</v>
      </c>
      <c r="CH83" t="s">
        <v>321</v>
      </c>
      <c r="CI83" t="s">
        <v>321</v>
      </c>
      <c r="CJ83" t="s">
        <v>321</v>
      </c>
      <c r="CK83" t="s">
        <v>321</v>
      </c>
      <c r="CL83" t="s">
        <v>321</v>
      </c>
      <c r="CM83" t="s">
        <v>321</v>
      </c>
      <c r="CN83" t="s">
        <v>321</v>
      </c>
      <c r="CO83" t="s">
        <v>321</v>
      </c>
      <c r="CP83" t="s">
        <v>321</v>
      </c>
      <c r="CQ83" t="s">
        <v>321</v>
      </c>
      <c r="CR83" t="s">
        <v>321</v>
      </c>
      <c r="CS83" t="s">
        <v>321</v>
      </c>
      <c r="CT83" t="s">
        <v>321</v>
      </c>
      <c r="CU83" t="s">
        <v>321</v>
      </c>
      <c r="CV83" t="s">
        <v>321</v>
      </c>
      <c r="CW83" t="s">
        <v>321</v>
      </c>
      <c r="CX83">
        <v>278347.06150000001</v>
      </c>
      <c r="CY83">
        <v>4925535.6030000001</v>
      </c>
      <c r="CZ83">
        <v>44.449156000000002</v>
      </c>
      <c r="DA83">
        <v>-95.785731999999996</v>
      </c>
      <c r="DB83" s="291">
        <v>42850.65902777778</v>
      </c>
      <c r="DC83" t="s">
        <v>231</v>
      </c>
      <c r="DD83" t="s">
        <v>429</v>
      </c>
      <c r="DE83" t="s">
        <v>455</v>
      </c>
      <c r="DF83" t="s">
        <v>456</v>
      </c>
      <c r="DG83" t="s">
        <v>1014</v>
      </c>
      <c r="DH83">
        <v>0</v>
      </c>
      <c r="DI83" t="s">
        <v>660</v>
      </c>
      <c r="DJ83">
        <v>100</v>
      </c>
      <c r="DK83">
        <v>17</v>
      </c>
    </row>
    <row r="84" spans="1:115" x14ac:dyDescent="0.25">
      <c r="A84">
        <v>83</v>
      </c>
      <c r="B84" t="s">
        <v>657</v>
      </c>
      <c r="C84">
        <v>1</v>
      </c>
      <c r="D84">
        <v>95</v>
      </c>
      <c r="E84">
        <v>706336</v>
      </c>
      <c r="F84" t="s">
        <v>570</v>
      </c>
      <c r="G84">
        <v>115</v>
      </c>
      <c r="H84">
        <v>1E-3</v>
      </c>
      <c r="I84" t="s">
        <v>297</v>
      </c>
      <c r="J84" t="s">
        <v>299</v>
      </c>
      <c r="K84" t="s">
        <v>321</v>
      </c>
      <c r="L84" t="s">
        <v>406</v>
      </c>
      <c r="M84" t="s">
        <v>299</v>
      </c>
      <c r="N84" t="s">
        <v>321</v>
      </c>
      <c r="O84">
        <v>2019006617</v>
      </c>
      <c r="P84">
        <v>191160161</v>
      </c>
      <c r="Q84" s="290">
        <v>45020</v>
      </c>
      <c r="R84">
        <v>26</v>
      </c>
      <c r="S84">
        <v>2019</v>
      </c>
      <c r="T84" t="s">
        <v>485</v>
      </c>
      <c r="U84">
        <v>21</v>
      </c>
      <c r="V84" t="s">
        <v>459</v>
      </c>
      <c r="W84" t="s">
        <v>320</v>
      </c>
      <c r="X84">
        <v>0</v>
      </c>
      <c r="Y84">
        <v>2</v>
      </c>
      <c r="Z84" t="s">
        <v>408</v>
      </c>
      <c r="AA84" t="s">
        <v>409</v>
      </c>
      <c r="AB84" t="s">
        <v>452</v>
      </c>
      <c r="AC84" t="s">
        <v>411</v>
      </c>
      <c r="AD84" t="s">
        <v>412</v>
      </c>
      <c r="AE84" t="s">
        <v>321</v>
      </c>
      <c r="AF84" t="s">
        <v>434</v>
      </c>
      <c r="AG84" t="s">
        <v>414</v>
      </c>
      <c r="AH84" t="s">
        <v>571</v>
      </c>
      <c r="AI84" t="s">
        <v>321</v>
      </c>
      <c r="AJ84" t="s">
        <v>598</v>
      </c>
      <c r="AK84" t="s">
        <v>416</v>
      </c>
      <c r="AL84" t="s">
        <v>417</v>
      </c>
      <c r="AM84" t="s">
        <v>425</v>
      </c>
      <c r="AN84" t="s">
        <v>461</v>
      </c>
      <c r="AO84" t="s">
        <v>426</v>
      </c>
      <c r="AP84">
        <v>78</v>
      </c>
      <c r="AQ84" t="s">
        <v>420</v>
      </c>
      <c r="AR84" t="s">
        <v>421</v>
      </c>
      <c r="AS84" t="s">
        <v>428</v>
      </c>
      <c r="AT84" t="s">
        <v>321</v>
      </c>
      <c r="AU84" t="s">
        <v>321</v>
      </c>
      <c r="AV84" t="s">
        <v>321</v>
      </c>
      <c r="AW84" t="s">
        <v>441</v>
      </c>
      <c r="AX84" t="s">
        <v>449</v>
      </c>
      <c r="AY84">
        <v>30</v>
      </c>
      <c r="AZ84" t="s">
        <v>423</v>
      </c>
      <c r="BA84" t="s">
        <v>424</v>
      </c>
      <c r="BB84" t="s">
        <v>417</v>
      </c>
      <c r="BC84" t="s">
        <v>425</v>
      </c>
      <c r="BD84" t="s">
        <v>461</v>
      </c>
      <c r="BE84" t="s">
        <v>426</v>
      </c>
      <c r="BF84">
        <v>62</v>
      </c>
      <c r="BG84" t="s">
        <v>427</v>
      </c>
      <c r="BH84" t="s">
        <v>421</v>
      </c>
      <c r="BI84" t="s">
        <v>428</v>
      </c>
      <c r="BJ84" t="s">
        <v>321</v>
      </c>
      <c r="BK84" t="s">
        <v>321</v>
      </c>
      <c r="BL84" t="s">
        <v>321</v>
      </c>
      <c r="BM84" t="s">
        <v>441</v>
      </c>
      <c r="BN84" t="s">
        <v>449</v>
      </c>
      <c r="BO84">
        <v>30</v>
      </c>
      <c r="BP84" t="s">
        <v>423</v>
      </c>
      <c r="BQ84" t="s">
        <v>424</v>
      </c>
      <c r="BR84" t="s">
        <v>321</v>
      </c>
      <c r="BS84" t="s">
        <v>321</v>
      </c>
      <c r="BT84" t="s">
        <v>321</v>
      </c>
      <c r="BU84" t="s">
        <v>321</v>
      </c>
      <c r="BV84" t="s">
        <v>321</v>
      </c>
      <c r="BW84" t="s">
        <v>321</v>
      </c>
      <c r="BX84" t="s">
        <v>321</v>
      </c>
      <c r="BY84" t="s">
        <v>321</v>
      </c>
      <c r="BZ84" t="s">
        <v>321</v>
      </c>
      <c r="CA84" t="s">
        <v>321</v>
      </c>
      <c r="CB84" t="s">
        <v>321</v>
      </c>
      <c r="CC84" t="s">
        <v>321</v>
      </c>
      <c r="CD84" t="s">
        <v>321</v>
      </c>
      <c r="CE84" t="s">
        <v>321</v>
      </c>
      <c r="CF84" t="s">
        <v>321</v>
      </c>
      <c r="CG84" t="s">
        <v>321</v>
      </c>
      <c r="CH84" t="s">
        <v>321</v>
      </c>
      <c r="CI84" t="s">
        <v>321</v>
      </c>
      <c r="CJ84" t="s">
        <v>321</v>
      </c>
      <c r="CK84" t="s">
        <v>321</v>
      </c>
      <c r="CL84" t="s">
        <v>321</v>
      </c>
      <c r="CM84" t="s">
        <v>321</v>
      </c>
      <c r="CN84" t="s">
        <v>321</v>
      </c>
      <c r="CO84" t="s">
        <v>321</v>
      </c>
      <c r="CP84" t="s">
        <v>321</v>
      </c>
      <c r="CQ84" t="s">
        <v>321</v>
      </c>
      <c r="CR84" t="s">
        <v>321</v>
      </c>
      <c r="CS84" t="s">
        <v>321</v>
      </c>
      <c r="CT84" t="s">
        <v>321</v>
      </c>
      <c r="CU84" t="s">
        <v>321</v>
      </c>
      <c r="CV84" t="s">
        <v>321</v>
      </c>
      <c r="CW84" t="s">
        <v>321</v>
      </c>
      <c r="CX84">
        <v>279106.95699999999</v>
      </c>
      <c r="CY84">
        <v>4925650.5010000002</v>
      </c>
      <c r="CZ84">
        <v>44.450422000000003</v>
      </c>
      <c r="DA84">
        <v>-95.776241999999996</v>
      </c>
      <c r="DB84" s="291">
        <v>43581.902777777781</v>
      </c>
      <c r="DC84" t="s">
        <v>231</v>
      </c>
      <c r="DD84" t="s">
        <v>429</v>
      </c>
      <c r="DE84" t="s">
        <v>455</v>
      </c>
      <c r="DF84" t="s">
        <v>456</v>
      </c>
      <c r="DG84" t="s">
        <v>599</v>
      </c>
      <c r="DH84">
        <v>0</v>
      </c>
      <c r="DI84" t="s">
        <v>322</v>
      </c>
      <c r="DJ84">
        <v>100</v>
      </c>
      <c r="DK84">
        <v>15</v>
      </c>
    </row>
    <row r="85" spans="1:115" x14ac:dyDescent="0.25">
      <c r="A85">
        <v>84</v>
      </c>
      <c r="B85" t="s">
        <v>657</v>
      </c>
      <c r="C85">
        <v>1</v>
      </c>
      <c r="D85">
        <v>97</v>
      </c>
      <c r="E85">
        <v>10905127</v>
      </c>
      <c r="F85" t="s">
        <v>464</v>
      </c>
      <c r="G85">
        <v>19</v>
      </c>
      <c r="H85">
        <v>35.131999999999998</v>
      </c>
      <c r="I85" t="s">
        <v>297</v>
      </c>
      <c r="J85" t="s">
        <v>299</v>
      </c>
      <c r="K85" t="s">
        <v>321</v>
      </c>
      <c r="L85" t="s">
        <v>406</v>
      </c>
      <c r="M85" t="s">
        <v>299</v>
      </c>
      <c r="N85" t="s">
        <v>321</v>
      </c>
      <c r="O85" t="s">
        <v>1013</v>
      </c>
      <c r="P85">
        <v>133060150</v>
      </c>
      <c r="Q85" s="290">
        <v>45241</v>
      </c>
      <c r="R85">
        <v>1</v>
      </c>
      <c r="S85">
        <v>2013</v>
      </c>
      <c r="T85" t="s">
        <v>485</v>
      </c>
      <c r="U85">
        <v>19</v>
      </c>
      <c r="V85" t="s">
        <v>450</v>
      </c>
      <c r="W85" t="s">
        <v>319</v>
      </c>
      <c r="X85">
        <v>0</v>
      </c>
      <c r="Y85">
        <v>2</v>
      </c>
      <c r="Z85" t="s">
        <v>797</v>
      </c>
      <c r="AA85" t="s">
        <v>507</v>
      </c>
      <c r="AB85" t="s">
        <v>500</v>
      </c>
      <c r="AC85" t="s">
        <v>411</v>
      </c>
      <c r="AD85" t="s">
        <v>412</v>
      </c>
      <c r="AE85" t="s">
        <v>321</v>
      </c>
      <c r="AF85" t="s">
        <v>434</v>
      </c>
      <c r="AG85" t="s">
        <v>414</v>
      </c>
      <c r="AH85" t="s">
        <v>1012</v>
      </c>
      <c r="AI85" t="s">
        <v>1008</v>
      </c>
      <c r="AJ85" t="s">
        <v>471</v>
      </c>
      <c r="AK85" t="s">
        <v>447</v>
      </c>
      <c r="AL85" t="s">
        <v>417</v>
      </c>
      <c r="AM85" t="s">
        <v>418</v>
      </c>
      <c r="AN85" t="s">
        <v>453</v>
      </c>
      <c r="AO85" t="s">
        <v>794</v>
      </c>
      <c r="AP85">
        <v>48</v>
      </c>
      <c r="AQ85" t="s">
        <v>420</v>
      </c>
      <c r="AR85" t="s">
        <v>421</v>
      </c>
      <c r="AS85" t="s">
        <v>428</v>
      </c>
      <c r="AT85" t="s">
        <v>321</v>
      </c>
      <c r="AU85" t="s">
        <v>321</v>
      </c>
      <c r="AV85" t="s">
        <v>321</v>
      </c>
      <c r="AW85" t="s">
        <v>850</v>
      </c>
      <c r="AX85" t="s">
        <v>449</v>
      </c>
      <c r="AY85">
        <v>30</v>
      </c>
      <c r="AZ85" t="s">
        <v>423</v>
      </c>
      <c r="BA85" t="s">
        <v>424</v>
      </c>
      <c r="BB85" t="s">
        <v>417</v>
      </c>
      <c r="BC85" t="s">
        <v>425</v>
      </c>
      <c r="BD85" t="s">
        <v>453</v>
      </c>
      <c r="BE85" t="s">
        <v>426</v>
      </c>
      <c r="BF85">
        <v>16</v>
      </c>
      <c r="BG85" t="s">
        <v>427</v>
      </c>
      <c r="BH85" t="s">
        <v>421</v>
      </c>
      <c r="BI85" t="s">
        <v>806</v>
      </c>
      <c r="BJ85" t="s">
        <v>839</v>
      </c>
      <c r="BK85" t="s">
        <v>321</v>
      </c>
      <c r="BL85" t="s">
        <v>321</v>
      </c>
      <c r="BM85" t="s">
        <v>850</v>
      </c>
      <c r="BN85" t="s">
        <v>449</v>
      </c>
      <c r="BO85">
        <v>30</v>
      </c>
      <c r="BP85" t="s">
        <v>423</v>
      </c>
      <c r="BQ85" t="s">
        <v>424</v>
      </c>
      <c r="BR85" t="s">
        <v>321</v>
      </c>
      <c r="BS85" t="s">
        <v>321</v>
      </c>
      <c r="BT85" t="s">
        <v>321</v>
      </c>
      <c r="BU85" t="s">
        <v>321</v>
      </c>
      <c r="BV85" t="s">
        <v>321</v>
      </c>
      <c r="BW85" t="s">
        <v>321</v>
      </c>
      <c r="BX85" t="s">
        <v>321</v>
      </c>
      <c r="BY85" t="s">
        <v>321</v>
      </c>
      <c r="BZ85" t="s">
        <v>321</v>
      </c>
      <c r="CA85" t="s">
        <v>321</v>
      </c>
      <c r="CB85" t="s">
        <v>321</v>
      </c>
      <c r="CC85" t="s">
        <v>321</v>
      </c>
      <c r="CD85" t="s">
        <v>321</v>
      </c>
      <c r="CE85" t="s">
        <v>321</v>
      </c>
      <c r="CF85" t="s">
        <v>321</v>
      </c>
      <c r="CG85" t="s">
        <v>321</v>
      </c>
      <c r="CH85" t="s">
        <v>321</v>
      </c>
      <c r="CI85" t="s">
        <v>321</v>
      </c>
      <c r="CJ85" t="s">
        <v>321</v>
      </c>
      <c r="CK85" t="s">
        <v>321</v>
      </c>
      <c r="CL85" t="s">
        <v>321</v>
      </c>
      <c r="CM85" t="s">
        <v>321</v>
      </c>
      <c r="CN85" t="s">
        <v>321</v>
      </c>
      <c r="CO85" t="s">
        <v>321</v>
      </c>
      <c r="CP85" t="s">
        <v>321</v>
      </c>
      <c r="CQ85" t="s">
        <v>321</v>
      </c>
      <c r="CR85" t="s">
        <v>321</v>
      </c>
      <c r="CS85" t="s">
        <v>321</v>
      </c>
      <c r="CT85" t="s">
        <v>321</v>
      </c>
      <c r="CU85" t="s">
        <v>321</v>
      </c>
      <c r="CV85" t="s">
        <v>321</v>
      </c>
      <c r="CW85" t="s">
        <v>321</v>
      </c>
      <c r="CX85">
        <v>278521.84700000001</v>
      </c>
      <c r="CY85">
        <v>4925664.3329999996</v>
      </c>
      <c r="CZ85">
        <v>44.450367</v>
      </c>
      <c r="DA85">
        <v>-95.783592999999996</v>
      </c>
      <c r="DB85" s="291">
        <v>41579.804166666669</v>
      </c>
      <c r="DC85" t="s">
        <v>231</v>
      </c>
      <c r="DD85" t="s">
        <v>429</v>
      </c>
      <c r="DE85" t="s">
        <v>430</v>
      </c>
      <c r="DF85" t="s">
        <v>430</v>
      </c>
      <c r="DG85" t="s">
        <v>1011</v>
      </c>
      <c r="DH85">
        <v>0</v>
      </c>
      <c r="DI85" t="s">
        <v>331</v>
      </c>
      <c r="DJ85">
        <v>100</v>
      </c>
      <c r="DK85">
        <v>16</v>
      </c>
    </row>
    <row r="86" spans="1:115" x14ac:dyDescent="0.25">
      <c r="A86">
        <v>85</v>
      </c>
      <c r="B86" t="s">
        <v>657</v>
      </c>
      <c r="C86">
        <v>1</v>
      </c>
      <c r="D86">
        <v>98</v>
      </c>
      <c r="E86">
        <v>895923</v>
      </c>
      <c r="F86" t="s">
        <v>464</v>
      </c>
      <c r="G86">
        <v>19</v>
      </c>
      <c r="H86">
        <v>35.136000000000003</v>
      </c>
      <c r="I86" t="s">
        <v>297</v>
      </c>
      <c r="J86" t="s">
        <v>299</v>
      </c>
      <c r="K86" t="s">
        <v>321</v>
      </c>
      <c r="L86" t="s">
        <v>406</v>
      </c>
      <c r="M86" t="s">
        <v>299</v>
      </c>
      <c r="N86" t="s">
        <v>321</v>
      </c>
      <c r="O86" s="292">
        <v>202000000000</v>
      </c>
      <c r="P86">
        <v>210740221</v>
      </c>
      <c r="Q86" s="290">
        <v>44988</v>
      </c>
      <c r="R86">
        <v>15</v>
      </c>
      <c r="S86">
        <v>2021</v>
      </c>
      <c r="T86" t="s">
        <v>431</v>
      </c>
      <c r="U86">
        <v>5</v>
      </c>
      <c r="V86" t="s">
        <v>321</v>
      </c>
      <c r="W86" t="s">
        <v>319</v>
      </c>
      <c r="X86">
        <v>0</v>
      </c>
      <c r="Y86">
        <v>2</v>
      </c>
      <c r="Z86" t="s">
        <v>568</v>
      </c>
      <c r="AA86" t="s">
        <v>409</v>
      </c>
      <c r="AB86" t="s">
        <v>500</v>
      </c>
      <c r="AC86" t="s">
        <v>411</v>
      </c>
      <c r="AD86" t="s">
        <v>467</v>
      </c>
      <c r="AE86" t="s">
        <v>321</v>
      </c>
      <c r="AF86" t="s">
        <v>467</v>
      </c>
      <c r="AG86" t="s">
        <v>414</v>
      </c>
      <c r="AH86" t="s">
        <v>477</v>
      </c>
      <c r="AI86" t="s">
        <v>321</v>
      </c>
      <c r="AJ86" t="s">
        <v>471</v>
      </c>
      <c r="AK86" t="s">
        <v>578</v>
      </c>
      <c r="AL86" t="s">
        <v>417</v>
      </c>
      <c r="AM86" t="s">
        <v>425</v>
      </c>
      <c r="AN86" t="s">
        <v>461</v>
      </c>
      <c r="AO86" t="s">
        <v>426</v>
      </c>
      <c r="AP86">
        <v>61</v>
      </c>
      <c r="AQ86" t="s">
        <v>427</v>
      </c>
      <c r="AR86" t="s">
        <v>421</v>
      </c>
      <c r="AS86" t="s">
        <v>428</v>
      </c>
      <c r="AT86" t="s">
        <v>321</v>
      </c>
      <c r="AU86" t="s">
        <v>321</v>
      </c>
      <c r="AV86" t="s">
        <v>321</v>
      </c>
      <c r="AW86" t="s">
        <v>441</v>
      </c>
      <c r="AX86" t="s">
        <v>442</v>
      </c>
      <c r="AY86">
        <v>30</v>
      </c>
      <c r="AZ86" t="s">
        <v>536</v>
      </c>
      <c r="BA86" t="s">
        <v>424</v>
      </c>
      <c r="BB86" t="s">
        <v>417</v>
      </c>
      <c r="BC86" t="s">
        <v>425</v>
      </c>
      <c r="BD86" t="s">
        <v>448</v>
      </c>
      <c r="BE86" t="s">
        <v>600</v>
      </c>
      <c r="BF86">
        <v>24</v>
      </c>
      <c r="BG86" t="s">
        <v>420</v>
      </c>
      <c r="BH86" t="s">
        <v>421</v>
      </c>
      <c r="BI86" t="s">
        <v>440</v>
      </c>
      <c r="BJ86" t="s">
        <v>321</v>
      </c>
      <c r="BK86" t="s">
        <v>321</v>
      </c>
      <c r="BL86" t="s">
        <v>321</v>
      </c>
      <c r="BM86" t="s">
        <v>441</v>
      </c>
      <c r="BN86" t="s">
        <v>442</v>
      </c>
      <c r="BO86">
        <v>30</v>
      </c>
      <c r="BP86" t="s">
        <v>535</v>
      </c>
      <c r="BQ86" t="s">
        <v>424</v>
      </c>
      <c r="BR86" t="s">
        <v>321</v>
      </c>
      <c r="BS86" t="s">
        <v>321</v>
      </c>
      <c r="BT86" t="s">
        <v>321</v>
      </c>
      <c r="BU86" t="s">
        <v>321</v>
      </c>
      <c r="BV86" t="s">
        <v>321</v>
      </c>
      <c r="BW86" t="s">
        <v>321</v>
      </c>
      <c r="BX86" t="s">
        <v>321</v>
      </c>
      <c r="BY86" t="s">
        <v>321</v>
      </c>
      <c r="BZ86" t="s">
        <v>321</v>
      </c>
      <c r="CA86" t="s">
        <v>321</v>
      </c>
      <c r="CB86" t="s">
        <v>321</v>
      </c>
      <c r="CC86" t="s">
        <v>321</v>
      </c>
      <c r="CD86" t="s">
        <v>321</v>
      </c>
      <c r="CE86" t="s">
        <v>321</v>
      </c>
      <c r="CF86" t="s">
        <v>321</v>
      </c>
      <c r="CG86" t="s">
        <v>321</v>
      </c>
      <c r="CH86" t="s">
        <v>321</v>
      </c>
      <c r="CI86" t="s">
        <v>321</v>
      </c>
      <c r="CJ86" t="s">
        <v>321</v>
      </c>
      <c r="CK86" t="s">
        <v>321</v>
      </c>
      <c r="CL86" t="s">
        <v>321</v>
      </c>
      <c r="CM86" t="s">
        <v>321</v>
      </c>
      <c r="CN86" t="s">
        <v>321</v>
      </c>
      <c r="CO86" t="s">
        <v>321</v>
      </c>
      <c r="CP86" t="s">
        <v>321</v>
      </c>
      <c r="CQ86" t="s">
        <v>321</v>
      </c>
      <c r="CR86" t="s">
        <v>321</v>
      </c>
      <c r="CS86" t="s">
        <v>321</v>
      </c>
      <c r="CT86" t="s">
        <v>321</v>
      </c>
      <c r="CU86" t="s">
        <v>321</v>
      </c>
      <c r="CV86" t="s">
        <v>321</v>
      </c>
      <c r="CW86" t="s">
        <v>321</v>
      </c>
      <c r="CX86">
        <v>278527.95199999999</v>
      </c>
      <c r="CY86">
        <v>4925664.0439999998</v>
      </c>
      <c r="CZ86">
        <v>44.450367</v>
      </c>
      <c r="DA86">
        <v>-95.783516000000006</v>
      </c>
      <c r="DB86" s="291">
        <v>44270.249305555553</v>
      </c>
      <c r="DC86" t="s">
        <v>231</v>
      </c>
      <c r="DD86" t="s">
        <v>429</v>
      </c>
      <c r="DE86" t="s">
        <v>455</v>
      </c>
      <c r="DF86" t="s">
        <v>456</v>
      </c>
      <c r="DG86" t="s">
        <v>601</v>
      </c>
      <c r="DH86">
        <v>0</v>
      </c>
      <c r="DI86" t="s">
        <v>331</v>
      </c>
      <c r="DJ86">
        <v>100</v>
      </c>
      <c r="DK86">
        <v>16</v>
      </c>
    </row>
    <row r="87" spans="1:115" x14ac:dyDescent="0.25">
      <c r="A87">
        <v>86</v>
      </c>
      <c r="B87" t="s">
        <v>657</v>
      </c>
      <c r="C87">
        <v>1</v>
      </c>
      <c r="D87">
        <v>99</v>
      </c>
      <c r="E87">
        <v>10973636</v>
      </c>
      <c r="F87" t="s">
        <v>464</v>
      </c>
      <c r="G87">
        <v>19</v>
      </c>
      <c r="H87">
        <v>35.143000000000001</v>
      </c>
      <c r="I87" t="s">
        <v>297</v>
      </c>
      <c r="J87" t="s">
        <v>299</v>
      </c>
      <c r="K87" t="s">
        <v>321</v>
      </c>
      <c r="L87" t="s">
        <v>406</v>
      </c>
      <c r="M87" t="s">
        <v>299</v>
      </c>
      <c r="N87" t="s">
        <v>321</v>
      </c>
      <c r="O87" t="s">
        <v>1010</v>
      </c>
      <c r="P87">
        <v>141270066</v>
      </c>
      <c r="Q87" s="290">
        <v>45051</v>
      </c>
      <c r="R87">
        <v>7</v>
      </c>
      <c r="S87">
        <v>2014</v>
      </c>
      <c r="T87" t="s">
        <v>494</v>
      </c>
      <c r="U87">
        <v>10</v>
      </c>
      <c r="V87" t="s">
        <v>495</v>
      </c>
      <c r="W87" t="s">
        <v>320</v>
      </c>
      <c r="X87">
        <v>0</v>
      </c>
      <c r="Y87">
        <v>2</v>
      </c>
      <c r="Z87" t="s">
        <v>408</v>
      </c>
      <c r="AA87" t="s">
        <v>507</v>
      </c>
      <c r="AB87" t="s">
        <v>410</v>
      </c>
      <c r="AC87" t="s">
        <v>433</v>
      </c>
      <c r="AD87" t="s">
        <v>412</v>
      </c>
      <c r="AE87" t="s">
        <v>412</v>
      </c>
      <c r="AF87" t="s">
        <v>434</v>
      </c>
      <c r="AG87" t="s">
        <v>414</v>
      </c>
      <c r="AH87" t="s">
        <v>1009</v>
      </c>
      <c r="AI87" t="s">
        <v>1008</v>
      </c>
      <c r="AJ87" t="s">
        <v>471</v>
      </c>
      <c r="AK87" t="s">
        <v>416</v>
      </c>
      <c r="AL87" t="s">
        <v>508</v>
      </c>
      <c r="AM87" t="s">
        <v>817</v>
      </c>
      <c r="AN87" t="s">
        <v>922</v>
      </c>
      <c r="AO87" t="s">
        <v>913</v>
      </c>
      <c r="AP87" t="s">
        <v>321</v>
      </c>
      <c r="AQ87" t="s">
        <v>321</v>
      </c>
      <c r="AR87" t="s">
        <v>321</v>
      </c>
      <c r="AS87" t="s">
        <v>321</v>
      </c>
      <c r="AT87" t="s">
        <v>321</v>
      </c>
      <c r="AU87" t="s">
        <v>321</v>
      </c>
      <c r="AV87" t="s">
        <v>321</v>
      </c>
      <c r="AW87" t="s">
        <v>850</v>
      </c>
      <c r="AX87" t="s">
        <v>422</v>
      </c>
      <c r="AY87">
        <v>30</v>
      </c>
      <c r="AZ87" t="s">
        <v>423</v>
      </c>
      <c r="BA87" t="s">
        <v>424</v>
      </c>
      <c r="BB87">
        <v>0</v>
      </c>
      <c r="BC87" t="s">
        <v>430</v>
      </c>
      <c r="BD87" t="s">
        <v>321</v>
      </c>
      <c r="BE87" t="s">
        <v>321</v>
      </c>
      <c r="BF87" t="s">
        <v>321</v>
      </c>
      <c r="BG87" t="s">
        <v>321</v>
      </c>
      <c r="BH87" t="s">
        <v>321</v>
      </c>
      <c r="BI87" t="s">
        <v>321</v>
      </c>
      <c r="BJ87" t="s">
        <v>321</v>
      </c>
      <c r="BK87" t="s">
        <v>321</v>
      </c>
      <c r="BL87" t="s">
        <v>321</v>
      </c>
      <c r="BM87" t="s">
        <v>850</v>
      </c>
      <c r="BN87" t="s">
        <v>422</v>
      </c>
      <c r="BO87">
        <v>30</v>
      </c>
      <c r="BP87" t="s">
        <v>423</v>
      </c>
      <c r="BQ87" t="s">
        <v>424</v>
      </c>
      <c r="BR87" t="s">
        <v>321</v>
      </c>
      <c r="BS87" t="s">
        <v>321</v>
      </c>
      <c r="BT87" t="s">
        <v>321</v>
      </c>
      <c r="BU87" t="s">
        <v>321</v>
      </c>
      <c r="BV87" t="s">
        <v>321</v>
      </c>
      <c r="BW87" t="s">
        <v>321</v>
      </c>
      <c r="BX87" t="s">
        <v>321</v>
      </c>
      <c r="BY87" t="s">
        <v>321</v>
      </c>
      <c r="BZ87" t="s">
        <v>321</v>
      </c>
      <c r="CA87" t="s">
        <v>321</v>
      </c>
      <c r="CB87" t="s">
        <v>321</v>
      </c>
      <c r="CC87" t="s">
        <v>321</v>
      </c>
      <c r="CD87" t="s">
        <v>321</v>
      </c>
      <c r="CE87" t="s">
        <v>321</v>
      </c>
      <c r="CF87" t="s">
        <v>321</v>
      </c>
      <c r="CG87" t="s">
        <v>321</v>
      </c>
      <c r="CH87" t="s">
        <v>321</v>
      </c>
      <c r="CI87" t="s">
        <v>321</v>
      </c>
      <c r="CJ87" t="s">
        <v>321</v>
      </c>
      <c r="CK87" t="s">
        <v>321</v>
      </c>
      <c r="CL87" t="s">
        <v>321</v>
      </c>
      <c r="CM87" t="s">
        <v>321</v>
      </c>
      <c r="CN87" t="s">
        <v>321</v>
      </c>
      <c r="CO87" t="s">
        <v>321</v>
      </c>
      <c r="CP87" t="s">
        <v>321</v>
      </c>
      <c r="CQ87" t="s">
        <v>321</v>
      </c>
      <c r="CR87" t="s">
        <v>321</v>
      </c>
      <c r="CS87" t="s">
        <v>321</v>
      </c>
      <c r="CT87" t="s">
        <v>321</v>
      </c>
      <c r="CU87" t="s">
        <v>321</v>
      </c>
      <c r="CV87" t="s">
        <v>321</v>
      </c>
      <c r="CW87" t="s">
        <v>321</v>
      </c>
      <c r="CX87">
        <v>278539.53009999997</v>
      </c>
      <c r="CY87">
        <v>4925663.4960000003</v>
      </c>
      <c r="CZ87">
        <v>44.450364999999998</v>
      </c>
      <c r="DA87">
        <v>-95.783370000000005</v>
      </c>
      <c r="DB87" s="291">
        <v>41766.452777777777</v>
      </c>
      <c r="DC87" t="s">
        <v>231</v>
      </c>
      <c r="DD87" t="s">
        <v>429</v>
      </c>
      <c r="DE87" t="s">
        <v>430</v>
      </c>
      <c r="DF87" t="s">
        <v>430</v>
      </c>
      <c r="DG87" t="s">
        <v>1007</v>
      </c>
      <c r="DH87">
        <v>0</v>
      </c>
      <c r="DI87" t="s">
        <v>331</v>
      </c>
      <c r="DJ87">
        <v>100</v>
      </c>
      <c r="DK87">
        <v>16</v>
      </c>
    </row>
    <row r="88" spans="1:115" x14ac:dyDescent="0.25">
      <c r="A88">
        <v>87</v>
      </c>
      <c r="B88" t="s">
        <v>657</v>
      </c>
      <c r="C88">
        <v>1</v>
      </c>
      <c r="D88">
        <v>100</v>
      </c>
      <c r="E88">
        <v>760104</v>
      </c>
      <c r="F88" t="s">
        <v>602</v>
      </c>
      <c r="G88">
        <v>12</v>
      </c>
      <c r="H88">
        <v>0.32700000000000001</v>
      </c>
      <c r="I88" t="s">
        <v>297</v>
      </c>
      <c r="J88" t="s">
        <v>299</v>
      </c>
      <c r="K88" t="s">
        <v>321</v>
      </c>
      <c r="L88" t="s">
        <v>406</v>
      </c>
      <c r="M88" t="s">
        <v>299</v>
      </c>
      <c r="N88" t="s">
        <v>321</v>
      </c>
      <c r="O88" s="292">
        <v>202000000000</v>
      </c>
      <c r="P88">
        <v>193100125</v>
      </c>
      <c r="Q88" s="290">
        <v>45241</v>
      </c>
      <c r="R88">
        <v>6</v>
      </c>
      <c r="S88">
        <v>2019</v>
      </c>
      <c r="T88" t="s">
        <v>494</v>
      </c>
      <c r="U88">
        <v>7</v>
      </c>
      <c r="V88" t="s">
        <v>450</v>
      </c>
      <c r="W88" t="s">
        <v>320</v>
      </c>
      <c r="X88">
        <v>0</v>
      </c>
      <c r="Y88">
        <v>2</v>
      </c>
      <c r="Z88" t="s">
        <v>476</v>
      </c>
      <c r="AA88" t="s">
        <v>409</v>
      </c>
      <c r="AB88" t="s">
        <v>410</v>
      </c>
      <c r="AC88" t="s">
        <v>433</v>
      </c>
      <c r="AD88" t="s">
        <v>467</v>
      </c>
      <c r="AE88" t="s">
        <v>321</v>
      </c>
      <c r="AF88" t="s">
        <v>467</v>
      </c>
      <c r="AG88" t="s">
        <v>414</v>
      </c>
      <c r="AH88" t="s">
        <v>603</v>
      </c>
      <c r="AI88" t="s">
        <v>321</v>
      </c>
      <c r="AJ88" t="s">
        <v>604</v>
      </c>
      <c r="AK88" t="s">
        <v>447</v>
      </c>
      <c r="AL88" t="s">
        <v>417</v>
      </c>
      <c r="AM88" t="s">
        <v>478</v>
      </c>
      <c r="AN88" t="s">
        <v>453</v>
      </c>
      <c r="AO88" t="s">
        <v>594</v>
      </c>
      <c r="AP88">
        <v>40</v>
      </c>
      <c r="AQ88" t="s">
        <v>420</v>
      </c>
      <c r="AR88" t="s">
        <v>421</v>
      </c>
      <c r="AS88" t="s">
        <v>428</v>
      </c>
      <c r="AT88" t="s">
        <v>321</v>
      </c>
      <c r="AU88" t="s">
        <v>321</v>
      </c>
      <c r="AV88" t="s">
        <v>321</v>
      </c>
      <c r="AW88" t="s">
        <v>605</v>
      </c>
      <c r="AX88" t="s">
        <v>512</v>
      </c>
      <c r="AY88">
        <v>30</v>
      </c>
      <c r="AZ88" t="s">
        <v>423</v>
      </c>
      <c r="BA88" t="s">
        <v>606</v>
      </c>
      <c r="BB88" t="s">
        <v>417</v>
      </c>
      <c r="BC88" t="s">
        <v>425</v>
      </c>
      <c r="BD88" t="s">
        <v>453</v>
      </c>
      <c r="BE88" t="s">
        <v>426</v>
      </c>
      <c r="BF88">
        <v>18</v>
      </c>
      <c r="BG88" t="s">
        <v>420</v>
      </c>
      <c r="BH88" t="s">
        <v>421</v>
      </c>
      <c r="BI88" t="s">
        <v>524</v>
      </c>
      <c r="BJ88" t="s">
        <v>321</v>
      </c>
      <c r="BK88" t="s">
        <v>321</v>
      </c>
      <c r="BL88" t="s">
        <v>321</v>
      </c>
      <c r="BM88" t="s">
        <v>605</v>
      </c>
      <c r="BN88" t="s">
        <v>512</v>
      </c>
      <c r="BO88">
        <v>30</v>
      </c>
      <c r="BP88" t="s">
        <v>423</v>
      </c>
      <c r="BQ88" t="s">
        <v>606</v>
      </c>
      <c r="BR88" t="s">
        <v>321</v>
      </c>
      <c r="BS88" t="s">
        <v>321</v>
      </c>
      <c r="BT88" t="s">
        <v>321</v>
      </c>
      <c r="BU88" t="s">
        <v>321</v>
      </c>
      <c r="BV88" t="s">
        <v>321</v>
      </c>
      <c r="BW88" t="s">
        <v>321</v>
      </c>
      <c r="BX88" t="s">
        <v>321</v>
      </c>
      <c r="BY88" t="s">
        <v>321</v>
      </c>
      <c r="BZ88" t="s">
        <v>321</v>
      </c>
      <c r="CA88" t="s">
        <v>321</v>
      </c>
      <c r="CB88" t="s">
        <v>321</v>
      </c>
      <c r="CC88" t="s">
        <v>321</v>
      </c>
      <c r="CD88" t="s">
        <v>321</v>
      </c>
      <c r="CE88" t="s">
        <v>321</v>
      </c>
      <c r="CF88" t="s">
        <v>321</v>
      </c>
      <c r="CG88" t="s">
        <v>321</v>
      </c>
      <c r="CH88" t="s">
        <v>321</v>
      </c>
      <c r="CI88" t="s">
        <v>321</v>
      </c>
      <c r="CJ88" t="s">
        <v>321</v>
      </c>
      <c r="CK88" t="s">
        <v>321</v>
      </c>
      <c r="CL88" t="s">
        <v>321</v>
      </c>
      <c r="CM88" t="s">
        <v>321</v>
      </c>
      <c r="CN88" t="s">
        <v>321</v>
      </c>
      <c r="CO88" t="s">
        <v>321</v>
      </c>
      <c r="CP88" t="s">
        <v>321</v>
      </c>
      <c r="CQ88" t="s">
        <v>321</v>
      </c>
      <c r="CR88" t="s">
        <v>321</v>
      </c>
      <c r="CS88" t="s">
        <v>321</v>
      </c>
      <c r="CT88" t="s">
        <v>321</v>
      </c>
      <c r="CU88" t="s">
        <v>321</v>
      </c>
      <c r="CV88" t="s">
        <v>321</v>
      </c>
      <c r="CW88" t="s">
        <v>321</v>
      </c>
      <c r="CX88">
        <v>278882.69520000002</v>
      </c>
      <c r="CY88">
        <v>4925651.4349999996</v>
      </c>
      <c r="CZ88">
        <v>44.450361999999998</v>
      </c>
      <c r="DA88">
        <v>-95.779056999999995</v>
      </c>
      <c r="DB88" s="291">
        <v>43775.329861111109</v>
      </c>
      <c r="DC88" t="s">
        <v>231</v>
      </c>
      <c r="DD88" t="s">
        <v>429</v>
      </c>
      <c r="DE88" t="s">
        <v>455</v>
      </c>
      <c r="DF88" t="s">
        <v>456</v>
      </c>
      <c r="DG88" t="s">
        <v>607</v>
      </c>
      <c r="DH88">
        <v>0</v>
      </c>
      <c r="DI88" t="s">
        <v>324</v>
      </c>
      <c r="DJ88">
        <v>100</v>
      </c>
      <c r="DK88">
        <v>14</v>
      </c>
    </row>
    <row r="89" spans="1:115" x14ac:dyDescent="0.25">
      <c r="A89">
        <v>88</v>
      </c>
      <c r="B89" t="s">
        <v>657</v>
      </c>
      <c r="C89">
        <v>1</v>
      </c>
      <c r="D89">
        <v>102</v>
      </c>
      <c r="E89">
        <v>10895236</v>
      </c>
      <c r="F89" t="s">
        <v>464</v>
      </c>
      <c r="G89">
        <v>19</v>
      </c>
      <c r="H89">
        <v>35.218000000000004</v>
      </c>
      <c r="I89" t="s">
        <v>297</v>
      </c>
      <c r="J89" t="s">
        <v>299</v>
      </c>
      <c r="K89" t="s">
        <v>321</v>
      </c>
      <c r="L89" t="s">
        <v>406</v>
      </c>
      <c r="M89" t="s">
        <v>299</v>
      </c>
      <c r="N89" t="s">
        <v>321</v>
      </c>
      <c r="O89" t="s">
        <v>1006</v>
      </c>
      <c r="P89">
        <v>132130012</v>
      </c>
      <c r="Q89" s="290">
        <v>45114</v>
      </c>
      <c r="R89">
        <v>31</v>
      </c>
      <c r="S89">
        <v>2013</v>
      </c>
      <c r="T89" t="s">
        <v>494</v>
      </c>
      <c r="U89">
        <v>18</v>
      </c>
      <c r="V89" t="s">
        <v>459</v>
      </c>
      <c r="W89" t="s">
        <v>320</v>
      </c>
      <c r="X89">
        <v>0</v>
      </c>
      <c r="Y89">
        <v>3</v>
      </c>
      <c r="Z89" t="s">
        <v>797</v>
      </c>
      <c r="AA89" t="s">
        <v>409</v>
      </c>
      <c r="AB89" t="s">
        <v>452</v>
      </c>
      <c r="AC89" t="s">
        <v>433</v>
      </c>
      <c r="AD89" t="s">
        <v>412</v>
      </c>
      <c r="AE89" t="s">
        <v>321</v>
      </c>
      <c r="AF89" t="s">
        <v>434</v>
      </c>
      <c r="AG89" t="s">
        <v>414</v>
      </c>
      <c r="AH89" t="s">
        <v>1005</v>
      </c>
      <c r="AI89" t="s">
        <v>1004</v>
      </c>
      <c r="AJ89" t="s">
        <v>471</v>
      </c>
      <c r="AK89" t="s">
        <v>447</v>
      </c>
      <c r="AL89" t="s">
        <v>417</v>
      </c>
      <c r="AM89" t="s">
        <v>425</v>
      </c>
      <c r="AN89" t="s">
        <v>461</v>
      </c>
      <c r="AO89" t="s">
        <v>426</v>
      </c>
      <c r="AP89">
        <v>17</v>
      </c>
      <c r="AQ89" t="s">
        <v>420</v>
      </c>
      <c r="AR89" t="s">
        <v>421</v>
      </c>
      <c r="AS89" t="s">
        <v>538</v>
      </c>
      <c r="AT89" t="s">
        <v>321</v>
      </c>
      <c r="AU89" t="s">
        <v>321</v>
      </c>
      <c r="AV89" t="s">
        <v>321</v>
      </c>
      <c r="AW89" t="s">
        <v>805</v>
      </c>
      <c r="AX89" t="s">
        <v>422</v>
      </c>
      <c r="AY89">
        <v>30</v>
      </c>
      <c r="AZ89" t="s">
        <v>423</v>
      </c>
      <c r="BA89" t="s">
        <v>424</v>
      </c>
      <c r="BB89" t="s">
        <v>417</v>
      </c>
      <c r="BC89" t="s">
        <v>817</v>
      </c>
      <c r="BD89" t="s">
        <v>461</v>
      </c>
      <c r="BE89" t="s">
        <v>426</v>
      </c>
      <c r="BF89">
        <v>45</v>
      </c>
      <c r="BG89" t="s">
        <v>427</v>
      </c>
      <c r="BH89" t="s">
        <v>421</v>
      </c>
      <c r="BI89" t="s">
        <v>538</v>
      </c>
      <c r="BJ89" t="s">
        <v>321</v>
      </c>
      <c r="BK89" t="s">
        <v>321</v>
      </c>
      <c r="BL89" t="s">
        <v>321</v>
      </c>
      <c r="BM89" t="s">
        <v>805</v>
      </c>
      <c r="BN89" t="s">
        <v>422</v>
      </c>
      <c r="BO89">
        <v>30</v>
      </c>
      <c r="BP89" t="s">
        <v>423</v>
      </c>
      <c r="BQ89" t="s">
        <v>424</v>
      </c>
      <c r="BR89" t="s">
        <v>417</v>
      </c>
      <c r="BS89" t="s">
        <v>425</v>
      </c>
      <c r="BT89" t="s">
        <v>461</v>
      </c>
      <c r="BU89" t="s">
        <v>426</v>
      </c>
      <c r="BV89">
        <v>22</v>
      </c>
      <c r="BW89" t="s">
        <v>420</v>
      </c>
      <c r="BX89" t="s">
        <v>421</v>
      </c>
      <c r="BY89" t="s">
        <v>428</v>
      </c>
      <c r="BZ89" t="s">
        <v>321</v>
      </c>
      <c r="CA89" t="s">
        <v>321</v>
      </c>
      <c r="CB89" t="s">
        <v>321</v>
      </c>
      <c r="CC89" t="s">
        <v>805</v>
      </c>
      <c r="CD89" t="s">
        <v>422</v>
      </c>
      <c r="CE89">
        <v>30</v>
      </c>
      <c r="CF89" t="s">
        <v>423</v>
      </c>
      <c r="CG89" t="s">
        <v>424</v>
      </c>
      <c r="CH89" t="s">
        <v>321</v>
      </c>
      <c r="CI89" t="s">
        <v>321</v>
      </c>
      <c r="CJ89" t="s">
        <v>321</v>
      </c>
      <c r="CK89" t="s">
        <v>321</v>
      </c>
      <c r="CL89" t="s">
        <v>321</v>
      </c>
      <c r="CM89" t="s">
        <v>321</v>
      </c>
      <c r="CN89" t="s">
        <v>321</v>
      </c>
      <c r="CO89" t="s">
        <v>321</v>
      </c>
      <c r="CP89" t="s">
        <v>321</v>
      </c>
      <c r="CQ89" t="s">
        <v>321</v>
      </c>
      <c r="CR89" t="s">
        <v>321</v>
      </c>
      <c r="CS89" t="s">
        <v>321</v>
      </c>
      <c r="CT89" t="s">
        <v>321</v>
      </c>
      <c r="CU89" t="s">
        <v>321</v>
      </c>
      <c r="CV89" t="s">
        <v>321</v>
      </c>
      <c r="CW89" t="s">
        <v>321</v>
      </c>
      <c r="CX89">
        <v>278660.15470000001</v>
      </c>
      <c r="CY89">
        <v>4925659.2039999999</v>
      </c>
      <c r="CZ89">
        <v>44.450363000000003</v>
      </c>
      <c r="DA89">
        <v>-95.781853999999996</v>
      </c>
      <c r="DB89" s="291">
        <v>41486.78125</v>
      </c>
      <c r="DC89" t="s">
        <v>231</v>
      </c>
      <c r="DD89" t="s">
        <v>429</v>
      </c>
      <c r="DE89" t="s">
        <v>430</v>
      </c>
      <c r="DF89" t="s">
        <v>430</v>
      </c>
      <c r="DG89" t="s">
        <v>1003</v>
      </c>
      <c r="DH89">
        <v>0</v>
      </c>
      <c r="DI89" t="s">
        <v>661</v>
      </c>
      <c r="DJ89">
        <v>100</v>
      </c>
      <c r="DK89">
        <v>12</v>
      </c>
    </row>
    <row r="90" spans="1:115" x14ac:dyDescent="0.25">
      <c r="A90">
        <v>89</v>
      </c>
      <c r="B90" t="s">
        <v>657</v>
      </c>
      <c r="C90">
        <v>1</v>
      </c>
      <c r="D90">
        <v>105</v>
      </c>
      <c r="E90">
        <v>11070059</v>
      </c>
      <c r="F90" t="s">
        <v>464</v>
      </c>
      <c r="G90">
        <v>19</v>
      </c>
      <c r="H90">
        <v>35.281999999999996</v>
      </c>
      <c r="I90" t="s">
        <v>297</v>
      </c>
      <c r="J90" t="s">
        <v>299</v>
      </c>
      <c r="K90" t="s">
        <v>321</v>
      </c>
      <c r="L90" t="s">
        <v>406</v>
      </c>
      <c r="M90" t="s">
        <v>299</v>
      </c>
      <c r="N90" t="s">
        <v>321</v>
      </c>
      <c r="O90" t="s">
        <v>1002</v>
      </c>
      <c r="P90">
        <v>152780064</v>
      </c>
      <c r="Q90" s="290">
        <v>45209</v>
      </c>
      <c r="R90">
        <v>5</v>
      </c>
      <c r="S90">
        <v>2015</v>
      </c>
      <c r="T90" t="s">
        <v>431</v>
      </c>
      <c r="U90">
        <v>9</v>
      </c>
      <c r="V90" t="s">
        <v>321</v>
      </c>
      <c r="W90" t="s">
        <v>319</v>
      </c>
      <c r="X90">
        <v>0</v>
      </c>
      <c r="Y90">
        <v>2</v>
      </c>
      <c r="Z90" t="s">
        <v>451</v>
      </c>
      <c r="AA90" t="s">
        <v>409</v>
      </c>
      <c r="AB90" t="s">
        <v>460</v>
      </c>
      <c r="AC90" t="s">
        <v>433</v>
      </c>
      <c r="AD90" t="s">
        <v>446</v>
      </c>
      <c r="AE90" t="s">
        <v>321</v>
      </c>
      <c r="AF90" t="s">
        <v>434</v>
      </c>
      <c r="AG90" t="s">
        <v>1001</v>
      </c>
      <c r="AH90" t="s">
        <v>1000</v>
      </c>
      <c r="AI90" t="s">
        <v>999</v>
      </c>
      <c r="AJ90" t="s">
        <v>471</v>
      </c>
      <c r="AK90" t="s">
        <v>451</v>
      </c>
      <c r="AL90" t="s">
        <v>417</v>
      </c>
      <c r="AM90" t="s">
        <v>425</v>
      </c>
      <c r="AN90" t="s">
        <v>448</v>
      </c>
      <c r="AO90" t="s">
        <v>419</v>
      </c>
      <c r="AP90">
        <v>24</v>
      </c>
      <c r="AQ90" t="s">
        <v>427</v>
      </c>
      <c r="AR90" t="s">
        <v>421</v>
      </c>
      <c r="AS90" t="s">
        <v>454</v>
      </c>
      <c r="AT90" t="s">
        <v>321</v>
      </c>
      <c r="AU90" t="s">
        <v>321</v>
      </c>
      <c r="AV90" t="s">
        <v>321</v>
      </c>
      <c r="AW90" t="s">
        <v>805</v>
      </c>
      <c r="AX90" t="s">
        <v>989</v>
      </c>
      <c r="AY90">
        <v>30</v>
      </c>
      <c r="AZ90" t="s">
        <v>423</v>
      </c>
      <c r="BA90" t="s">
        <v>424</v>
      </c>
      <c r="BB90" t="s">
        <v>417</v>
      </c>
      <c r="BC90" t="s">
        <v>478</v>
      </c>
      <c r="BD90" t="s">
        <v>461</v>
      </c>
      <c r="BE90" t="s">
        <v>426</v>
      </c>
      <c r="BF90">
        <v>27</v>
      </c>
      <c r="BG90" t="s">
        <v>420</v>
      </c>
      <c r="BH90" t="s">
        <v>421</v>
      </c>
      <c r="BI90" t="s">
        <v>428</v>
      </c>
      <c r="BJ90" t="s">
        <v>321</v>
      </c>
      <c r="BK90" t="s">
        <v>321</v>
      </c>
      <c r="BL90" t="s">
        <v>321</v>
      </c>
      <c r="BM90" t="s">
        <v>805</v>
      </c>
      <c r="BN90" t="s">
        <v>989</v>
      </c>
      <c r="BO90">
        <v>30</v>
      </c>
      <c r="BP90" t="s">
        <v>423</v>
      </c>
      <c r="BQ90" t="s">
        <v>424</v>
      </c>
      <c r="BR90" t="s">
        <v>321</v>
      </c>
      <c r="BS90" t="s">
        <v>321</v>
      </c>
      <c r="BT90" t="s">
        <v>321</v>
      </c>
      <c r="BU90" t="s">
        <v>321</v>
      </c>
      <c r="BV90" t="s">
        <v>321</v>
      </c>
      <c r="BW90" t="s">
        <v>321</v>
      </c>
      <c r="BX90" t="s">
        <v>321</v>
      </c>
      <c r="BY90" t="s">
        <v>321</v>
      </c>
      <c r="BZ90" t="s">
        <v>321</v>
      </c>
      <c r="CA90" t="s">
        <v>321</v>
      </c>
      <c r="CB90" t="s">
        <v>321</v>
      </c>
      <c r="CC90" t="s">
        <v>321</v>
      </c>
      <c r="CD90" t="s">
        <v>321</v>
      </c>
      <c r="CE90" t="s">
        <v>321</v>
      </c>
      <c r="CF90" t="s">
        <v>321</v>
      </c>
      <c r="CG90" t="s">
        <v>321</v>
      </c>
      <c r="CH90" t="s">
        <v>321</v>
      </c>
      <c r="CI90" t="s">
        <v>321</v>
      </c>
      <c r="CJ90" t="s">
        <v>321</v>
      </c>
      <c r="CK90" t="s">
        <v>321</v>
      </c>
      <c r="CL90" t="s">
        <v>321</v>
      </c>
      <c r="CM90" t="s">
        <v>321</v>
      </c>
      <c r="CN90" t="s">
        <v>321</v>
      </c>
      <c r="CO90" t="s">
        <v>321</v>
      </c>
      <c r="CP90" t="s">
        <v>321</v>
      </c>
      <c r="CQ90" t="s">
        <v>321</v>
      </c>
      <c r="CR90" t="s">
        <v>321</v>
      </c>
      <c r="CS90" t="s">
        <v>321</v>
      </c>
      <c r="CT90" t="s">
        <v>321</v>
      </c>
      <c r="CU90" t="s">
        <v>321</v>
      </c>
      <c r="CV90" t="s">
        <v>321</v>
      </c>
      <c r="CW90" t="s">
        <v>321</v>
      </c>
      <c r="CX90">
        <v>278763.10159999999</v>
      </c>
      <c r="CY90">
        <v>4925655.9670000002</v>
      </c>
      <c r="CZ90">
        <v>44.450366000000002</v>
      </c>
      <c r="DA90">
        <v>-95.780559999999994</v>
      </c>
      <c r="DB90" s="291">
        <v>42282.40347222222</v>
      </c>
      <c r="DC90" t="s">
        <v>231</v>
      </c>
      <c r="DD90" t="s">
        <v>429</v>
      </c>
      <c r="DE90" t="s">
        <v>430</v>
      </c>
      <c r="DF90" t="s">
        <v>430</v>
      </c>
      <c r="DG90" t="s">
        <v>998</v>
      </c>
      <c r="DH90">
        <v>0</v>
      </c>
      <c r="DI90" t="s">
        <v>334</v>
      </c>
      <c r="DJ90">
        <v>100</v>
      </c>
      <c r="DK90">
        <v>13</v>
      </c>
    </row>
    <row r="91" spans="1:115" x14ac:dyDescent="0.25">
      <c r="A91">
        <v>90</v>
      </c>
      <c r="B91" t="s">
        <v>657</v>
      </c>
      <c r="C91">
        <v>1</v>
      </c>
      <c r="D91">
        <v>106</v>
      </c>
      <c r="E91">
        <v>11049178</v>
      </c>
      <c r="F91" t="s">
        <v>464</v>
      </c>
      <c r="G91">
        <v>19</v>
      </c>
      <c r="H91">
        <v>35.292000000000002</v>
      </c>
      <c r="I91" t="s">
        <v>297</v>
      </c>
      <c r="J91" t="s">
        <v>299</v>
      </c>
      <c r="K91" t="s">
        <v>321</v>
      </c>
      <c r="L91" t="s">
        <v>406</v>
      </c>
      <c r="M91" t="s">
        <v>299</v>
      </c>
      <c r="N91" t="s">
        <v>321</v>
      </c>
      <c r="O91" t="s">
        <v>997</v>
      </c>
      <c r="P91">
        <v>150850092</v>
      </c>
      <c r="Q91" s="290">
        <v>44988</v>
      </c>
      <c r="R91">
        <v>26</v>
      </c>
      <c r="S91">
        <v>2015</v>
      </c>
      <c r="T91" t="s">
        <v>458</v>
      </c>
      <c r="U91">
        <v>8</v>
      </c>
      <c r="V91" t="s">
        <v>321</v>
      </c>
      <c r="W91" t="s">
        <v>320</v>
      </c>
      <c r="X91">
        <v>0</v>
      </c>
      <c r="Y91">
        <v>1</v>
      </c>
      <c r="Z91" t="s">
        <v>451</v>
      </c>
      <c r="AA91" t="s">
        <v>507</v>
      </c>
      <c r="AB91" t="s">
        <v>410</v>
      </c>
      <c r="AC91" t="s">
        <v>433</v>
      </c>
      <c r="AD91" t="s">
        <v>446</v>
      </c>
      <c r="AE91" t="s">
        <v>321</v>
      </c>
      <c r="AF91" t="s">
        <v>434</v>
      </c>
      <c r="AG91" t="s">
        <v>414</v>
      </c>
      <c r="AH91" t="s">
        <v>996</v>
      </c>
      <c r="AI91" t="s">
        <v>809</v>
      </c>
      <c r="AJ91" t="s">
        <v>471</v>
      </c>
      <c r="AK91" t="s">
        <v>995</v>
      </c>
      <c r="AL91">
        <v>0</v>
      </c>
      <c r="AM91" t="s">
        <v>425</v>
      </c>
      <c r="AN91" t="s">
        <v>472</v>
      </c>
      <c r="AO91" t="s">
        <v>321</v>
      </c>
      <c r="AP91" t="s">
        <v>321</v>
      </c>
      <c r="AQ91" t="s">
        <v>321</v>
      </c>
      <c r="AR91" t="s">
        <v>321</v>
      </c>
      <c r="AS91" t="s">
        <v>321</v>
      </c>
      <c r="AT91" t="s">
        <v>321</v>
      </c>
      <c r="AU91" t="s">
        <v>321</v>
      </c>
      <c r="AV91" t="s">
        <v>321</v>
      </c>
      <c r="AW91" t="s">
        <v>805</v>
      </c>
      <c r="AX91" t="s">
        <v>422</v>
      </c>
      <c r="AY91">
        <v>20</v>
      </c>
      <c r="AZ91" t="s">
        <v>423</v>
      </c>
      <c r="BA91" t="s">
        <v>424</v>
      </c>
      <c r="BB91" t="s">
        <v>321</v>
      </c>
      <c r="BC91" t="s">
        <v>321</v>
      </c>
      <c r="BD91" t="s">
        <v>321</v>
      </c>
      <c r="BE91" t="s">
        <v>321</v>
      </c>
      <c r="BF91" t="s">
        <v>321</v>
      </c>
      <c r="BG91" t="s">
        <v>321</v>
      </c>
      <c r="BH91" t="s">
        <v>321</v>
      </c>
      <c r="BI91" t="s">
        <v>321</v>
      </c>
      <c r="BJ91" t="s">
        <v>321</v>
      </c>
      <c r="BK91" t="s">
        <v>321</v>
      </c>
      <c r="BL91" t="s">
        <v>321</v>
      </c>
      <c r="BM91" t="s">
        <v>321</v>
      </c>
      <c r="BN91" t="s">
        <v>321</v>
      </c>
      <c r="BO91" t="s">
        <v>321</v>
      </c>
      <c r="BP91" t="s">
        <v>321</v>
      </c>
      <c r="BQ91" t="s">
        <v>321</v>
      </c>
      <c r="BR91" t="s">
        <v>321</v>
      </c>
      <c r="BS91" t="s">
        <v>321</v>
      </c>
      <c r="BT91" t="s">
        <v>321</v>
      </c>
      <c r="BU91" t="s">
        <v>321</v>
      </c>
      <c r="BV91" t="s">
        <v>321</v>
      </c>
      <c r="BW91" t="s">
        <v>321</v>
      </c>
      <c r="BX91" t="s">
        <v>321</v>
      </c>
      <c r="BY91" t="s">
        <v>321</v>
      </c>
      <c r="BZ91" t="s">
        <v>321</v>
      </c>
      <c r="CA91" t="s">
        <v>321</v>
      </c>
      <c r="CB91" t="s">
        <v>321</v>
      </c>
      <c r="CC91" t="s">
        <v>321</v>
      </c>
      <c r="CD91" t="s">
        <v>321</v>
      </c>
      <c r="CE91" t="s">
        <v>321</v>
      </c>
      <c r="CF91" t="s">
        <v>321</v>
      </c>
      <c r="CG91" t="s">
        <v>321</v>
      </c>
      <c r="CH91" t="s">
        <v>321</v>
      </c>
      <c r="CI91" t="s">
        <v>321</v>
      </c>
      <c r="CJ91" t="s">
        <v>321</v>
      </c>
      <c r="CK91" t="s">
        <v>321</v>
      </c>
      <c r="CL91" t="s">
        <v>321</v>
      </c>
      <c r="CM91" t="s">
        <v>321</v>
      </c>
      <c r="CN91" t="s">
        <v>321</v>
      </c>
      <c r="CO91" t="s">
        <v>321</v>
      </c>
      <c r="CP91" t="s">
        <v>321</v>
      </c>
      <c r="CQ91" t="s">
        <v>321</v>
      </c>
      <c r="CR91" t="s">
        <v>321</v>
      </c>
      <c r="CS91" t="s">
        <v>321</v>
      </c>
      <c r="CT91" t="s">
        <v>321</v>
      </c>
      <c r="CU91" t="s">
        <v>321</v>
      </c>
      <c r="CV91" t="s">
        <v>321</v>
      </c>
      <c r="CW91" t="s">
        <v>321</v>
      </c>
      <c r="CX91">
        <v>278779.19130000001</v>
      </c>
      <c r="CY91">
        <v>4925655.6229999997</v>
      </c>
      <c r="CZ91">
        <v>44.450367999999997</v>
      </c>
      <c r="DA91">
        <v>-95.780358000000007</v>
      </c>
      <c r="DB91" s="291">
        <v>42089.334027777775</v>
      </c>
      <c r="DC91" t="s">
        <v>231</v>
      </c>
      <c r="DD91" t="s">
        <v>429</v>
      </c>
      <c r="DE91" t="s">
        <v>430</v>
      </c>
      <c r="DF91" t="s">
        <v>430</v>
      </c>
      <c r="DG91" t="s">
        <v>994</v>
      </c>
      <c r="DH91">
        <v>0</v>
      </c>
      <c r="DI91" t="s">
        <v>334</v>
      </c>
      <c r="DJ91">
        <v>100</v>
      </c>
      <c r="DK91">
        <v>13</v>
      </c>
    </row>
    <row r="92" spans="1:115" x14ac:dyDescent="0.25">
      <c r="A92">
        <v>91</v>
      </c>
      <c r="B92" t="s">
        <v>657</v>
      </c>
      <c r="C92">
        <v>1</v>
      </c>
      <c r="D92">
        <v>107</v>
      </c>
      <c r="E92">
        <v>456161</v>
      </c>
      <c r="F92" t="s">
        <v>464</v>
      </c>
      <c r="G92">
        <v>19</v>
      </c>
      <c r="H92">
        <v>35.33</v>
      </c>
      <c r="I92" t="s">
        <v>297</v>
      </c>
      <c r="J92" t="s">
        <v>299</v>
      </c>
      <c r="K92" t="s">
        <v>321</v>
      </c>
      <c r="L92" t="s">
        <v>406</v>
      </c>
      <c r="M92" t="s">
        <v>299</v>
      </c>
      <c r="N92" t="s">
        <v>321</v>
      </c>
      <c r="O92" t="s">
        <v>993</v>
      </c>
      <c r="P92">
        <v>171510207</v>
      </c>
      <c r="Q92" s="290">
        <v>45051</v>
      </c>
      <c r="R92">
        <v>31</v>
      </c>
      <c r="S92">
        <v>2017</v>
      </c>
      <c r="T92" t="s">
        <v>494</v>
      </c>
      <c r="U92">
        <v>15</v>
      </c>
      <c r="V92" t="s">
        <v>459</v>
      </c>
      <c r="W92" t="s">
        <v>320</v>
      </c>
      <c r="X92">
        <v>0</v>
      </c>
      <c r="Y92">
        <v>2</v>
      </c>
      <c r="Z92" t="s">
        <v>408</v>
      </c>
      <c r="AA92" t="s">
        <v>409</v>
      </c>
      <c r="AB92" t="s">
        <v>410</v>
      </c>
      <c r="AC92" t="s">
        <v>433</v>
      </c>
      <c r="AD92" t="s">
        <v>412</v>
      </c>
      <c r="AE92" t="s">
        <v>321</v>
      </c>
      <c r="AF92" t="s">
        <v>430</v>
      </c>
      <c r="AG92" t="s">
        <v>414</v>
      </c>
      <c r="AH92" t="s">
        <v>477</v>
      </c>
      <c r="AI92" t="s">
        <v>321</v>
      </c>
      <c r="AJ92" t="s">
        <v>471</v>
      </c>
      <c r="AK92" t="s">
        <v>416</v>
      </c>
      <c r="AL92" t="s">
        <v>417</v>
      </c>
      <c r="AM92" t="s">
        <v>425</v>
      </c>
      <c r="AN92" t="s">
        <v>461</v>
      </c>
      <c r="AO92" t="s">
        <v>426</v>
      </c>
      <c r="AP92">
        <v>16</v>
      </c>
      <c r="AQ92" t="s">
        <v>427</v>
      </c>
      <c r="AR92" t="s">
        <v>430</v>
      </c>
      <c r="AS92" t="s">
        <v>430</v>
      </c>
      <c r="AT92" t="s">
        <v>321</v>
      </c>
      <c r="AU92" t="s">
        <v>321</v>
      </c>
      <c r="AV92" t="s">
        <v>321</v>
      </c>
      <c r="AW92" t="s">
        <v>544</v>
      </c>
      <c r="AX92" t="s">
        <v>430</v>
      </c>
      <c r="AY92">
        <v>30</v>
      </c>
      <c r="AZ92" t="s">
        <v>423</v>
      </c>
      <c r="BA92" t="s">
        <v>424</v>
      </c>
      <c r="BB92" t="s">
        <v>417</v>
      </c>
      <c r="BC92" t="s">
        <v>425</v>
      </c>
      <c r="BD92" t="s">
        <v>461</v>
      </c>
      <c r="BE92" t="s">
        <v>426</v>
      </c>
      <c r="BF92">
        <v>17</v>
      </c>
      <c r="BG92" t="s">
        <v>427</v>
      </c>
      <c r="BH92" t="s">
        <v>430</v>
      </c>
      <c r="BI92" t="s">
        <v>430</v>
      </c>
      <c r="BJ92" t="s">
        <v>321</v>
      </c>
      <c r="BK92" t="s">
        <v>321</v>
      </c>
      <c r="BL92" t="s">
        <v>321</v>
      </c>
      <c r="BM92" t="s">
        <v>544</v>
      </c>
      <c r="BN92" t="s">
        <v>430</v>
      </c>
      <c r="BO92">
        <v>30</v>
      </c>
      <c r="BP92" t="s">
        <v>423</v>
      </c>
      <c r="BQ92" t="s">
        <v>424</v>
      </c>
      <c r="BR92" t="s">
        <v>321</v>
      </c>
      <c r="BS92" t="s">
        <v>321</v>
      </c>
      <c r="BT92" t="s">
        <v>321</v>
      </c>
      <c r="BU92" t="s">
        <v>321</v>
      </c>
      <c r="BV92" t="s">
        <v>321</v>
      </c>
      <c r="BW92" t="s">
        <v>321</v>
      </c>
      <c r="BX92" t="s">
        <v>321</v>
      </c>
      <c r="BY92" t="s">
        <v>321</v>
      </c>
      <c r="BZ92" t="s">
        <v>321</v>
      </c>
      <c r="CA92" t="s">
        <v>321</v>
      </c>
      <c r="CB92" t="s">
        <v>321</v>
      </c>
      <c r="CC92" t="s">
        <v>321</v>
      </c>
      <c r="CD92" t="s">
        <v>321</v>
      </c>
      <c r="CE92" t="s">
        <v>321</v>
      </c>
      <c r="CF92" t="s">
        <v>321</v>
      </c>
      <c r="CG92" t="s">
        <v>321</v>
      </c>
      <c r="CH92" t="s">
        <v>321</v>
      </c>
      <c r="CI92" t="s">
        <v>321</v>
      </c>
      <c r="CJ92" t="s">
        <v>321</v>
      </c>
      <c r="CK92" t="s">
        <v>321</v>
      </c>
      <c r="CL92" t="s">
        <v>321</v>
      </c>
      <c r="CM92" t="s">
        <v>321</v>
      </c>
      <c r="CN92" t="s">
        <v>321</v>
      </c>
      <c r="CO92" t="s">
        <v>321</v>
      </c>
      <c r="CP92" t="s">
        <v>321</v>
      </c>
      <c r="CQ92" t="s">
        <v>321</v>
      </c>
      <c r="CR92" t="s">
        <v>321</v>
      </c>
      <c r="CS92" t="s">
        <v>321</v>
      </c>
      <c r="CT92" t="s">
        <v>321</v>
      </c>
      <c r="CU92" t="s">
        <v>321</v>
      </c>
      <c r="CV92" t="s">
        <v>321</v>
      </c>
      <c r="CW92" t="s">
        <v>321</v>
      </c>
      <c r="CX92">
        <v>278840.94429999997</v>
      </c>
      <c r="CY92">
        <v>4925654.4670000002</v>
      </c>
      <c r="CZ92">
        <v>44.450375999999999</v>
      </c>
      <c r="DA92">
        <v>-95.779583000000002</v>
      </c>
      <c r="DB92" s="291">
        <v>42886.638888888891</v>
      </c>
      <c r="DC92" t="s">
        <v>231</v>
      </c>
      <c r="DD92" t="s">
        <v>429</v>
      </c>
      <c r="DE92" t="s">
        <v>455</v>
      </c>
      <c r="DF92" t="s">
        <v>456</v>
      </c>
      <c r="DG92" t="s">
        <v>992</v>
      </c>
      <c r="DH92">
        <v>0</v>
      </c>
      <c r="DI92" t="s">
        <v>324</v>
      </c>
      <c r="DJ92">
        <v>100</v>
      </c>
      <c r="DK92">
        <v>14</v>
      </c>
    </row>
    <row r="93" spans="1:115" x14ac:dyDescent="0.25">
      <c r="A93">
        <v>92</v>
      </c>
      <c r="B93" t="s">
        <v>657</v>
      </c>
      <c r="C93">
        <v>1</v>
      </c>
      <c r="D93">
        <v>108</v>
      </c>
      <c r="E93">
        <v>348679</v>
      </c>
      <c r="F93" t="s">
        <v>464</v>
      </c>
      <c r="G93">
        <v>19</v>
      </c>
      <c r="H93">
        <v>35.341000000000001</v>
      </c>
      <c r="I93" t="s">
        <v>297</v>
      </c>
      <c r="J93" t="s">
        <v>299</v>
      </c>
      <c r="K93" t="s">
        <v>321</v>
      </c>
      <c r="L93" t="s">
        <v>406</v>
      </c>
      <c r="M93" t="s">
        <v>299</v>
      </c>
      <c r="N93" t="s">
        <v>321</v>
      </c>
      <c r="O93" s="292">
        <v>202000000000</v>
      </c>
      <c r="P93">
        <v>161330130</v>
      </c>
      <c r="Q93" s="290">
        <v>45051</v>
      </c>
      <c r="R93">
        <v>12</v>
      </c>
      <c r="S93">
        <v>2016</v>
      </c>
      <c r="T93" t="s">
        <v>458</v>
      </c>
      <c r="U93">
        <v>11</v>
      </c>
      <c r="V93" t="s">
        <v>459</v>
      </c>
      <c r="W93" t="s">
        <v>320</v>
      </c>
      <c r="X93">
        <v>0</v>
      </c>
      <c r="Y93">
        <v>2</v>
      </c>
      <c r="Z93" t="s">
        <v>476</v>
      </c>
      <c r="AA93" t="s">
        <v>409</v>
      </c>
      <c r="AB93" t="s">
        <v>410</v>
      </c>
      <c r="AC93" t="s">
        <v>433</v>
      </c>
      <c r="AD93" t="s">
        <v>412</v>
      </c>
      <c r="AE93" t="s">
        <v>446</v>
      </c>
      <c r="AF93" t="s">
        <v>434</v>
      </c>
      <c r="AG93" t="s">
        <v>414</v>
      </c>
      <c r="AH93" t="s">
        <v>477</v>
      </c>
      <c r="AI93" t="s">
        <v>321</v>
      </c>
      <c r="AJ93" t="s">
        <v>471</v>
      </c>
      <c r="AK93" t="s">
        <v>447</v>
      </c>
      <c r="AL93" t="s">
        <v>417</v>
      </c>
      <c r="AM93" t="s">
        <v>418</v>
      </c>
      <c r="AN93" t="s">
        <v>461</v>
      </c>
      <c r="AO93" t="s">
        <v>594</v>
      </c>
      <c r="AP93">
        <v>77</v>
      </c>
      <c r="AQ93" t="s">
        <v>427</v>
      </c>
      <c r="AR93" t="s">
        <v>421</v>
      </c>
      <c r="AS93" t="s">
        <v>428</v>
      </c>
      <c r="AT93" t="s">
        <v>321</v>
      </c>
      <c r="AU93" t="s">
        <v>321</v>
      </c>
      <c r="AV93" t="s">
        <v>321</v>
      </c>
      <c r="AW93" t="s">
        <v>544</v>
      </c>
      <c r="AX93" t="s">
        <v>442</v>
      </c>
      <c r="AY93">
        <v>30</v>
      </c>
      <c r="AZ93" t="s">
        <v>423</v>
      </c>
      <c r="BA93" t="s">
        <v>424</v>
      </c>
      <c r="BB93" t="s">
        <v>417</v>
      </c>
      <c r="BC93" t="s">
        <v>418</v>
      </c>
      <c r="BD93" t="s">
        <v>461</v>
      </c>
      <c r="BE93" t="s">
        <v>426</v>
      </c>
      <c r="BF93">
        <v>53</v>
      </c>
      <c r="BG93" t="s">
        <v>427</v>
      </c>
      <c r="BH93" t="s">
        <v>421</v>
      </c>
      <c r="BI93" t="s">
        <v>479</v>
      </c>
      <c r="BJ93" t="s">
        <v>321</v>
      </c>
      <c r="BK93" t="s">
        <v>321</v>
      </c>
      <c r="BL93" t="s">
        <v>321</v>
      </c>
      <c r="BM93" t="s">
        <v>544</v>
      </c>
      <c r="BN93" t="s">
        <v>442</v>
      </c>
      <c r="BO93">
        <v>30</v>
      </c>
      <c r="BP93" t="s">
        <v>423</v>
      </c>
      <c r="BQ93" t="s">
        <v>424</v>
      </c>
      <c r="BR93" t="s">
        <v>321</v>
      </c>
      <c r="BS93" t="s">
        <v>321</v>
      </c>
      <c r="BT93" t="s">
        <v>321</v>
      </c>
      <c r="BU93" t="s">
        <v>321</v>
      </c>
      <c r="BV93" t="s">
        <v>321</v>
      </c>
      <c r="BW93" t="s">
        <v>321</v>
      </c>
      <c r="BX93" t="s">
        <v>321</v>
      </c>
      <c r="BY93" t="s">
        <v>321</v>
      </c>
      <c r="BZ93" t="s">
        <v>321</v>
      </c>
      <c r="CA93" t="s">
        <v>321</v>
      </c>
      <c r="CB93" t="s">
        <v>321</v>
      </c>
      <c r="CC93" t="s">
        <v>321</v>
      </c>
      <c r="CD93" t="s">
        <v>321</v>
      </c>
      <c r="CE93" t="s">
        <v>321</v>
      </c>
      <c r="CF93" t="s">
        <v>321</v>
      </c>
      <c r="CG93" t="s">
        <v>321</v>
      </c>
      <c r="CH93" t="s">
        <v>321</v>
      </c>
      <c r="CI93" t="s">
        <v>321</v>
      </c>
      <c r="CJ93" t="s">
        <v>321</v>
      </c>
      <c r="CK93" t="s">
        <v>321</v>
      </c>
      <c r="CL93" t="s">
        <v>321</v>
      </c>
      <c r="CM93" t="s">
        <v>321</v>
      </c>
      <c r="CN93" t="s">
        <v>321</v>
      </c>
      <c r="CO93" t="s">
        <v>321</v>
      </c>
      <c r="CP93" t="s">
        <v>321</v>
      </c>
      <c r="CQ93" t="s">
        <v>321</v>
      </c>
      <c r="CR93" t="s">
        <v>321</v>
      </c>
      <c r="CS93" t="s">
        <v>321</v>
      </c>
      <c r="CT93" t="s">
        <v>321</v>
      </c>
      <c r="CU93" t="s">
        <v>321</v>
      </c>
      <c r="CV93" t="s">
        <v>321</v>
      </c>
      <c r="CW93" t="s">
        <v>321</v>
      </c>
      <c r="CX93">
        <v>278858.7034</v>
      </c>
      <c r="CY93">
        <v>4925654.1339999996</v>
      </c>
      <c r="CZ93">
        <v>44.450378999999998</v>
      </c>
      <c r="DA93">
        <v>-95.779359999999997</v>
      </c>
      <c r="DB93" s="291">
        <v>42502.472222222219</v>
      </c>
      <c r="DC93" t="s">
        <v>231</v>
      </c>
      <c r="DD93" t="s">
        <v>429</v>
      </c>
      <c r="DE93" t="s">
        <v>455</v>
      </c>
      <c r="DF93" t="s">
        <v>456</v>
      </c>
      <c r="DG93" t="s">
        <v>991</v>
      </c>
      <c r="DH93">
        <v>0</v>
      </c>
      <c r="DI93" t="s">
        <v>324</v>
      </c>
      <c r="DJ93">
        <v>100</v>
      </c>
      <c r="DK93">
        <v>14</v>
      </c>
    </row>
    <row r="94" spans="1:115" x14ac:dyDescent="0.25">
      <c r="A94">
        <v>93</v>
      </c>
      <c r="B94" t="s">
        <v>657</v>
      </c>
      <c r="C94">
        <v>1</v>
      </c>
      <c r="D94">
        <v>109</v>
      </c>
      <c r="E94">
        <v>10970443</v>
      </c>
      <c r="F94" t="s">
        <v>464</v>
      </c>
      <c r="G94">
        <v>19</v>
      </c>
      <c r="H94">
        <v>35.363</v>
      </c>
      <c r="I94" t="s">
        <v>297</v>
      </c>
      <c r="J94" t="s">
        <v>299</v>
      </c>
      <c r="K94" t="s">
        <v>321</v>
      </c>
      <c r="L94" t="s">
        <v>406</v>
      </c>
      <c r="M94" t="s">
        <v>299</v>
      </c>
      <c r="N94" t="s">
        <v>321</v>
      </c>
      <c r="O94" t="s">
        <v>990</v>
      </c>
      <c r="P94">
        <v>140690106</v>
      </c>
      <c r="Q94" s="290">
        <v>44988</v>
      </c>
      <c r="R94">
        <v>10</v>
      </c>
      <c r="S94">
        <v>2014</v>
      </c>
      <c r="T94" t="s">
        <v>431</v>
      </c>
      <c r="U94">
        <v>10</v>
      </c>
      <c r="V94" t="s">
        <v>321</v>
      </c>
      <c r="W94" t="s">
        <v>319</v>
      </c>
      <c r="X94">
        <v>0</v>
      </c>
      <c r="Y94">
        <v>2</v>
      </c>
      <c r="Z94" t="s">
        <v>451</v>
      </c>
      <c r="AA94" t="s">
        <v>409</v>
      </c>
      <c r="AB94" t="s">
        <v>452</v>
      </c>
      <c r="AC94" t="s">
        <v>433</v>
      </c>
      <c r="AD94" t="s">
        <v>412</v>
      </c>
      <c r="AE94" t="s">
        <v>321</v>
      </c>
      <c r="AF94" t="s">
        <v>523</v>
      </c>
      <c r="AG94" t="s">
        <v>414</v>
      </c>
      <c r="AH94" t="s">
        <v>898</v>
      </c>
      <c r="AI94" t="s">
        <v>603</v>
      </c>
      <c r="AJ94" t="s">
        <v>471</v>
      </c>
      <c r="AK94" t="s">
        <v>451</v>
      </c>
      <c r="AL94" t="s">
        <v>417</v>
      </c>
      <c r="AM94" t="s">
        <v>478</v>
      </c>
      <c r="AN94" t="s">
        <v>472</v>
      </c>
      <c r="AO94" t="s">
        <v>487</v>
      </c>
      <c r="AP94">
        <v>17</v>
      </c>
      <c r="AQ94" t="s">
        <v>427</v>
      </c>
      <c r="AR94" t="s">
        <v>421</v>
      </c>
      <c r="AS94" t="s">
        <v>454</v>
      </c>
      <c r="AT94" t="s">
        <v>321</v>
      </c>
      <c r="AU94" t="s">
        <v>321</v>
      </c>
      <c r="AV94" t="s">
        <v>321</v>
      </c>
      <c r="AW94" t="s">
        <v>816</v>
      </c>
      <c r="AX94" t="s">
        <v>989</v>
      </c>
      <c r="AY94">
        <v>30</v>
      </c>
      <c r="AZ94" t="s">
        <v>423</v>
      </c>
      <c r="BA94" t="s">
        <v>424</v>
      </c>
      <c r="BB94" t="s">
        <v>417</v>
      </c>
      <c r="BC94" t="s">
        <v>425</v>
      </c>
      <c r="BD94" t="s">
        <v>448</v>
      </c>
      <c r="BE94" t="s">
        <v>426</v>
      </c>
      <c r="BF94">
        <v>62</v>
      </c>
      <c r="BG94" t="s">
        <v>420</v>
      </c>
      <c r="BH94" t="s">
        <v>421</v>
      </c>
      <c r="BI94" t="s">
        <v>428</v>
      </c>
      <c r="BJ94" t="s">
        <v>321</v>
      </c>
      <c r="BK94" t="s">
        <v>321</v>
      </c>
      <c r="BL94" t="s">
        <v>321</v>
      </c>
      <c r="BM94" t="s">
        <v>816</v>
      </c>
      <c r="BN94" t="s">
        <v>989</v>
      </c>
      <c r="BO94">
        <v>30</v>
      </c>
      <c r="BP94" t="s">
        <v>423</v>
      </c>
      <c r="BQ94" t="s">
        <v>424</v>
      </c>
      <c r="BR94" t="s">
        <v>321</v>
      </c>
      <c r="BS94" t="s">
        <v>321</v>
      </c>
      <c r="BT94" t="s">
        <v>321</v>
      </c>
      <c r="BU94" t="s">
        <v>321</v>
      </c>
      <c r="BV94" t="s">
        <v>321</v>
      </c>
      <c r="BW94" t="s">
        <v>321</v>
      </c>
      <c r="BX94" t="s">
        <v>321</v>
      </c>
      <c r="BY94" t="s">
        <v>321</v>
      </c>
      <c r="BZ94" t="s">
        <v>321</v>
      </c>
      <c r="CA94" t="s">
        <v>321</v>
      </c>
      <c r="CB94" t="s">
        <v>321</v>
      </c>
      <c r="CC94" t="s">
        <v>321</v>
      </c>
      <c r="CD94" t="s">
        <v>321</v>
      </c>
      <c r="CE94" t="s">
        <v>321</v>
      </c>
      <c r="CF94" t="s">
        <v>321</v>
      </c>
      <c r="CG94" t="s">
        <v>321</v>
      </c>
      <c r="CH94" t="s">
        <v>321</v>
      </c>
      <c r="CI94" t="s">
        <v>321</v>
      </c>
      <c r="CJ94" t="s">
        <v>321</v>
      </c>
      <c r="CK94" t="s">
        <v>321</v>
      </c>
      <c r="CL94" t="s">
        <v>321</v>
      </c>
      <c r="CM94" t="s">
        <v>321</v>
      </c>
      <c r="CN94" t="s">
        <v>321</v>
      </c>
      <c r="CO94" t="s">
        <v>321</v>
      </c>
      <c r="CP94" t="s">
        <v>321</v>
      </c>
      <c r="CQ94" t="s">
        <v>321</v>
      </c>
      <c r="CR94" t="s">
        <v>321</v>
      </c>
      <c r="CS94" t="s">
        <v>321</v>
      </c>
      <c r="CT94" t="s">
        <v>321</v>
      </c>
      <c r="CU94" t="s">
        <v>321</v>
      </c>
      <c r="CV94" t="s">
        <v>321</v>
      </c>
      <c r="CW94" t="s">
        <v>321</v>
      </c>
      <c r="CX94">
        <v>278893.43699999998</v>
      </c>
      <c r="CY94">
        <v>4925653.6880000001</v>
      </c>
      <c r="CZ94">
        <v>44.450384999999997</v>
      </c>
      <c r="DA94">
        <v>-95.778923000000006</v>
      </c>
      <c r="DB94" s="291">
        <v>41708.451388888891</v>
      </c>
      <c r="DC94" t="s">
        <v>231</v>
      </c>
      <c r="DD94" t="s">
        <v>429</v>
      </c>
      <c r="DE94" t="s">
        <v>430</v>
      </c>
      <c r="DF94" t="s">
        <v>430</v>
      </c>
      <c r="DG94" t="s">
        <v>988</v>
      </c>
      <c r="DH94">
        <v>0</v>
      </c>
      <c r="DI94" t="s">
        <v>324</v>
      </c>
      <c r="DJ94">
        <v>100</v>
      </c>
      <c r="DK94">
        <v>14</v>
      </c>
    </row>
    <row r="95" spans="1:115" x14ac:dyDescent="0.25">
      <c r="A95">
        <v>94</v>
      </c>
      <c r="B95" t="s">
        <v>657</v>
      </c>
      <c r="C95">
        <v>1</v>
      </c>
      <c r="D95">
        <v>111</v>
      </c>
      <c r="E95">
        <v>754443</v>
      </c>
      <c r="F95" t="s">
        <v>602</v>
      </c>
      <c r="G95">
        <v>14</v>
      </c>
      <c r="H95">
        <v>0.35899999999999999</v>
      </c>
      <c r="I95" t="s">
        <v>297</v>
      </c>
      <c r="J95" t="s">
        <v>299</v>
      </c>
      <c r="K95" t="s">
        <v>321</v>
      </c>
      <c r="L95" t="s">
        <v>406</v>
      </c>
      <c r="M95" t="s">
        <v>299</v>
      </c>
      <c r="N95" t="s">
        <v>321</v>
      </c>
      <c r="O95">
        <v>20190017113</v>
      </c>
      <c r="P95">
        <v>192870031</v>
      </c>
      <c r="Q95" s="290">
        <v>45209</v>
      </c>
      <c r="R95">
        <v>14</v>
      </c>
      <c r="S95">
        <v>2019</v>
      </c>
      <c r="T95" t="s">
        <v>431</v>
      </c>
      <c r="U95">
        <v>7</v>
      </c>
      <c r="V95" t="s">
        <v>321</v>
      </c>
      <c r="W95" t="s">
        <v>318</v>
      </c>
      <c r="X95">
        <v>0</v>
      </c>
      <c r="Y95">
        <v>1</v>
      </c>
      <c r="Z95" t="s">
        <v>321</v>
      </c>
      <c r="AA95" t="s">
        <v>552</v>
      </c>
      <c r="AB95" t="s">
        <v>452</v>
      </c>
      <c r="AC95" t="s">
        <v>433</v>
      </c>
      <c r="AD95" t="s">
        <v>412</v>
      </c>
      <c r="AE95" t="s">
        <v>321</v>
      </c>
      <c r="AF95" t="s">
        <v>434</v>
      </c>
      <c r="AG95" t="s">
        <v>414</v>
      </c>
      <c r="AH95" t="s">
        <v>612</v>
      </c>
      <c r="AI95" t="s">
        <v>321</v>
      </c>
      <c r="AJ95" t="s">
        <v>613</v>
      </c>
      <c r="AK95" t="s">
        <v>553</v>
      </c>
      <c r="AL95" t="s">
        <v>417</v>
      </c>
      <c r="AM95" t="s">
        <v>514</v>
      </c>
      <c r="AN95" t="s">
        <v>453</v>
      </c>
      <c r="AO95" t="s">
        <v>426</v>
      </c>
      <c r="AP95">
        <v>38</v>
      </c>
      <c r="AQ95" t="s">
        <v>420</v>
      </c>
      <c r="AR95" t="s">
        <v>421</v>
      </c>
      <c r="AS95" t="s">
        <v>428</v>
      </c>
      <c r="AT95" t="s">
        <v>321</v>
      </c>
      <c r="AU95" t="s">
        <v>321</v>
      </c>
      <c r="AV95" t="s">
        <v>321</v>
      </c>
      <c r="AW95" t="s">
        <v>441</v>
      </c>
      <c r="AX95" t="s">
        <v>512</v>
      </c>
      <c r="AY95">
        <v>30</v>
      </c>
      <c r="AZ95" t="s">
        <v>423</v>
      </c>
      <c r="BA95" t="s">
        <v>424</v>
      </c>
      <c r="BB95" t="s">
        <v>554</v>
      </c>
      <c r="BC95" t="s">
        <v>321</v>
      </c>
      <c r="BD95" t="s">
        <v>321</v>
      </c>
      <c r="BE95" t="s">
        <v>321</v>
      </c>
      <c r="BF95">
        <v>18</v>
      </c>
      <c r="BG95" t="s">
        <v>420</v>
      </c>
      <c r="BH95" t="s">
        <v>421</v>
      </c>
      <c r="BI95" t="s">
        <v>614</v>
      </c>
      <c r="BJ95" t="s">
        <v>321</v>
      </c>
      <c r="BK95" t="s">
        <v>529</v>
      </c>
      <c r="BL95" t="s">
        <v>530</v>
      </c>
      <c r="BM95" t="s">
        <v>321</v>
      </c>
      <c r="BN95" t="s">
        <v>321</v>
      </c>
      <c r="BO95" t="s">
        <v>321</v>
      </c>
      <c r="BP95" t="s">
        <v>321</v>
      </c>
      <c r="BQ95" t="s">
        <v>321</v>
      </c>
      <c r="BR95" t="s">
        <v>321</v>
      </c>
      <c r="BS95" t="s">
        <v>321</v>
      </c>
      <c r="BT95" t="s">
        <v>321</v>
      </c>
      <c r="BU95" t="s">
        <v>321</v>
      </c>
      <c r="BV95" t="s">
        <v>321</v>
      </c>
      <c r="BW95" t="s">
        <v>321</v>
      </c>
      <c r="BX95" t="s">
        <v>321</v>
      </c>
      <c r="BY95" t="s">
        <v>321</v>
      </c>
      <c r="BZ95" t="s">
        <v>321</v>
      </c>
      <c r="CA95" t="s">
        <v>321</v>
      </c>
      <c r="CB95" t="s">
        <v>321</v>
      </c>
      <c r="CC95" t="s">
        <v>321</v>
      </c>
      <c r="CD95" t="s">
        <v>321</v>
      </c>
      <c r="CE95" t="s">
        <v>321</v>
      </c>
      <c r="CF95" t="s">
        <v>321</v>
      </c>
      <c r="CG95" t="s">
        <v>321</v>
      </c>
      <c r="CH95" t="s">
        <v>321</v>
      </c>
      <c r="CI95" t="s">
        <v>321</v>
      </c>
      <c r="CJ95" t="s">
        <v>321</v>
      </c>
      <c r="CK95" t="s">
        <v>321</v>
      </c>
      <c r="CL95" t="s">
        <v>321</v>
      </c>
      <c r="CM95" t="s">
        <v>321</v>
      </c>
      <c r="CN95" t="s">
        <v>321</v>
      </c>
      <c r="CO95" t="s">
        <v>321</v>
      </c>
      <c r="CP95" t="s">
        <v>321</v>
      </c>
      <c r="CQ95" t="s">
        <v>321</v>
      </c>
      <c r="CR95" t="s">
        <v>321</v>
      </c>
      <c r="CS95" t="s">
        <v>321</v>
      </c>
      <c r="CT95" t="s">
        <v>321</v>
      </c>
      <c r="CU95" t="s">
        <v>321</v>
      </c>
      <c r="CV95" t="s">
        <v>321</v>
      </c>
      <c r="CW95" t="s">
        <v>321</v>
      </c>
      <c r="CX95">
        <v>278759.80180000002</v>
      </c>
      <c r="CY95">
        <v>4925651.1849999996</v>
      </c>
      <c r="CZ95">
        <v>44.450322</v>
      </c>
      <c r="DA95">
        <v>-95.780600000000007</v>
      </c>
      <c r="DB95" s="291">
        <v>43752.329861111109</v>
      </c>
      <c r="DC95" t="s">
        <v>231</v>
      </c>
      <c r="DD95" t="s">
        <v>429</v>
      </c>
      <c r="DE95" t="s">
        <v>455</v>
      </c>
      <c r="DF95" t="s">
        <v>456</v>
      </c>
      <c r="DG95" t="s">
        <v>615</v>
      </c>
      <c r="DH95">
        <v>0</v>
      </c>
      <c r="DI95" t="s">
        <v>334</v>
      </c>
      <c r="DJ95">
        <v>100</v>
      </c>
      <c r="DK95">
        <v>13</v>
      </c>
    </row>
    <row r="96" spans="1:115" x14ac:dyDescent="0.25">
      <c r="A96">
        <v>95</v>
      </c>
      <c r="B96" t="s">
        <v>657</v>
      </c>
      <c r="C96">
        <v>1</v>
      </c>
      <c r="D96">
        <v>113</v>
      </c>
      <c r="E96">
        <v>10878487</v>
      </c>
      <c r="F96" t="s">
        <v>464</v>
      </c>
      <c r="G96">
        <v>19</v>
      </c>
      <c r="H96">
        <v>35.494</v>
      </c>
      <c r="I96" t="s">
        <v>297</v>
      </c>
      <c r="J96" t="s">
        <v>299</v>
      </c>
      <c r="K96" t="s">
        <v>321</v>
      </c>
      <c r="L96" t="s">
        <v>406</v>
      </c>
      <c r="M96" t="s">
        <v>299</v>
      </c>
      <c r="N96" t="s">
        <v>321</v>
      </c>
      <c r="O96" t="s">
        <v>987</v>
      </c>
      <c r="P96">
        <v>130250155</v>
      </c>
      <c r="Q96" s="290">
        <v>44927</v>
      </c>
      <c r="R96">
        <v>25</v>
      </c>
      <c r="S96">
        <v>2013</v>
      </c>
      <c r="T96" t="s">
        <v>485</v>
      </c>
      <c r="U96">
        <v>11</v>
      </c>
      <c r="V96" t="s">
        <v>321</v>
      </c>
      <c r="W96" t="s">
        <v>320</v>
      </c>
      <c r="X96">
        <v>0</v>
      </c>
      <c r="Y96">
        <v>2</v>
      </c>
      <c r="Z96" t="s">
        <v>797</v>
      </c>
      <c r="AA96" t="s">
        <v>409</v>
      </c>
      <c r="AB96" t="s">
        <v>452</v>
      </c>
      <c r="AC96" t="s">
        <v>433</v>
      </c>
      <c r="AD96" t="s">
        <v>412</v>
      </c>
      <c r="AE96" t="s">
        <v>321</v>
      </c>
      <c r="AF96" t="s">
        <v>434</v>
      </c>
      <c r="AG96" t="s">
        <v>414</v>
      </c>
      <c r="AH96" t="s">
        <v>841</v>
      </c>
      <c r="AI96" t="s">
        <v>971</v>
      </c>
      <c r="AJ96" t="s">
        <v>471</v>
      </c>
      <c r="AK96" t="s">
        <v>447</v>
      </c>
      <c r="AL96" t="s">
        <v>417</v>
      </c>
      <c r="AM96" t="s">
        <v>425</v>
      </c>
      <c r="AN96" t="s">
        <v>448</v>
      </c>
      <c r="AO96" t="s">
        <v>426</v>
      </c>
      <c r="AP96">
        <v>19</v>
      </c>
      <c r="AQ96" t="s">
        <v>427</v>
      </c>
      <c r="AR96" t="s">
        <v>421</v>
      </c>
      <c r="AS96" t="s">
        <v>806</v>
      </c>
      <c r="AT96" t="s">
        <v>321</v>
      </c>
      <c r="AU96" t="s">
        <v>321</v>
      </c>
      <c r="AV96" t="s">
        <v>321</v>
      </c>
      <c r="AW96" t="s">
        <v>850</v>
      </c>
      <c r="AX96" t="s">
        <v>449</v>
      </c>
      <c r="AY96">
        <v>30</v>
      </c>
      <c r="AZ96" t="s">
        <v>423</v>
      </c>
      <c r="BA96" t="s">
        <v>424</v>
      </c>
      <c r="BB96" t="s">
        <v>417</v>
      </c>
      <c r="BC96" t="s">
        <v>418</v>
      </c>
      <c r="BD96" t="s">
        <v>448</v>
      </c>
      <c r="BE96" t="s">
        <v>794</v>
      </c>
      <c r="BF96">
        <v>36</v>
      </c>
      <c r="BG96" t="s">
        <v>420</v>
      </c>
      <c r="BH96" t="s">
        <v>421</v>
      </c>
      <c r="BI96" t="s">
        <v>428</v>
      </c>
      <c r="BJ96" t="s">
        <v>321</v>
      </c>
      <c r="BK96" t="s">
        <v>321</v>
      </c>
      <c r="BL96" t="s">
        <v>321</v>
      </c>
      <c r="BM96" t="s">
        <v>850</v>
      </c>
      <c r="BN96" t="s">
        <v>449</v>
      </c>
      <c r="BO96">
        <v>30</v>
      </c>
      <c r="BP96" t="s">
        <v>423</v>
      </c>
      <c r="BQ96" t="s">
        <v>424</v>
      </c>
      <c r="BR96" t="s">
        <v>321</v>
      </c>
      <c r="BS96" t="s">
        <v>321</v>
      </c>
      <c r="BT96" t="s">
        <v>321</v>
      </c>
      <c r="BU96" t="s">
        <v>321</v>
      </c>
      <c r="BV96" t="s">
        <v>321</v>
      </c>
      <c r="BW96" t="s">
        <v>321</v>
      </c>
      <c r="BX96" t="s">
        <v>321</v>
      </c>
      <c r="BY96" t="s">
        <v>321</v>
      </c>
      <c r="BZ96" t="s">
        <v>321</v>
      </c>
      <c r="CA96" t="s">
        <v>321</v>
      </c>
      <c r="CB96" t="s">
        <v>321</v>
      </c>
      <c r="CC96" t="s">
        <v>321</v>
      </c>
      <c r="CD96" t="s">
        <v>321</v>
      </c>
      <c r="CE96" t="s">
        <v>321</v>
      </c>
      <c r="CF96" t="s">
        <v>321</v>
      </c>
      <c r="CG96" t="s">
        <v>321</v>
      </c>
      <c r="CH96" t="s">
        <v>321</v>
      </c>
      <c r="CI96" t="s">
        <v>321</v>
      </c>
      <c r="CJ96" t="s">
        <v>321</v>
      </c>
      <c r="CK96" t="s">
        <v>321</v>
      </c>
      <c r="CL96" t="s">
        <v>321</v>
      </c>
      <c r="CM96" t="s">
        <v>321</v>
      </c>
      <c r="CN96" t="s">
        <v>321</v>
      </c>
      <c r="CO96" t="s">
        <v>321</v>
      </c>
      <c r="CP96" t="s">
        <v>321</v>
      </c>
      <c r="CQ96" t="s">
        <v>321</v>
      </c>
      <c r="CR96" t="s">
        <v>321</v>
      </c>
      <c r="CS96" t="s">
        <v>321</v>
      </c>
      <c r="CT96" t="s">
        <v>321</v>
      </c>
      <c r="CU96" t="s">
        <v>321</v>
      </c>
      <c r="CV96" t="s">
        <v>321</v>
      </c>
      <c r="CW96" t="s">
        <v>321</v>
      </c>
      <c r="CX96">
        <v>279104.18369999999</v>
      </c>
      <c r="CY96">
        <v>4925648.4809999997</v>
      </c>
      <c r="CZ96">
        <v>44.450403000000001</v>
      </c>
      <c r="DA96">
        <v>-95.776274999999998</v>
      </c>
      <c r="DB96" s="291">
        <v>41299.491666666669</v>
      </c>
      <c r="DC96" t="s">
        <v>231</v>
      </c>
      <c r="DD96" t="s">
        <v>429</v>
      </c>
      <c r="DE96" t="s">
        <v>430</v>
      </c>
      <c r="DF96" t="s">
        <v>430</v>
      </c>
      <c r="DG96" t="s">
        <v>986</v>
      </c>
      <c r="DH96">
        <v>0</v>
      </c>
      <c r="DI96" t="s">
        <v>322</v>
      </c>
      <c r="DJ96">
        <v>100</v>
      </c>
      <c r="DK96">
        <v>15</v>
      </c>
    </row>
    <row r="97" spans="1:115" x14ac:dyDescent="0.25">
      <c r="A97">
        <v>96</v>
      </c>
      <c r="B97" t="s">
        <v>657</v>
      </c>
      <c r="C97">
        <v>1</v>
      </c>
      <c r="D97">
        <v>114</v>
      </c>
      <c r="E97">
        <v>426442</v>
      </c>
      <c r="F97" t="s">
        <v>464</v>
      </c>
      <c r="G97">
        <v>19</v>
      </c>
      <c r="H97">
        <v>35.494999999999997</v>
      </c>
      <c r="I97" t="s">
        <v>297</v>
      </c>
      <c r="J97" t="s">
        <v>299</v>
      </c>
      <c r="K97" t="s">
        <v>321</v>
      </c>
      <c r="L97" t="s">
        <v>406</v>
      </c>
      <c r="M97" t="s">
        <v>299</v>
      </c>
      <c r="N97" t="s">
        <v>321</v>
      </c>
      <c r="O97">
        <v>17003748</v>
      </c>
      <c r="P97">
        <v>170610025</v>
      </c>
      <c r="Q97" s="290">
        <v>44988</v>
      </c>
      <c r="R97">
        <v>2</v>
      </c>
      <c r="S97">
        <v>2017</v>
      </c>
      <c r="T97" t="s">
        <v>458</v>
      </c>
      <c r="U97">
        <v>7</v>
      </c>
      <c r="V97" t="s">
        <v>495</v>
      </c>
      <c r="W97" t="s">
        <v>320</v>
      </c>
      <c r="X97">
        <v>0</v>
      </c>
      <c r="Y97">
        <v>2</v>
      </c>
      <c r="Z97" t="s">
        <v>463</v>
      </c>
      <c r="AA97" t="s">
        <v>409</v>
      </c>
      <c r="AB97" t="s">
        <v>452</v>
      </c>
      <c r="AC97" t="s">
        <v>433</v>
      </c>
      <c r="AD97" t="s">
        <v>412</v>
      </c>
      <c r="AE97" t="s">
        <v>321</v>
      </c>
      <c r="AF97" t="s">
        <v>434</v>
      </c>
      <c r="AG97" t="s">
        <v>414</v>
      </c>
      <c r="AH97" t="s">
        <v>477</v>
      </c>
      <c r="AI97" t="s">
        <v>571</v>
      </c>
      <c r="AJ97" t="s">
        <v>471</v>
      </c>
      <c r="AK97" t="s">
        <v>463</v>
      </c>
      <c r="AL97" t="s">
        <v>417</v>
      </c>
      <c r="AM97" t="s">
        <v>425</v>
      </c>
      <c r="AN97" t="s">
        <v>472</v>
      </c>
      <c r="AO97" t="s">
        <v>426</v>
      </c>
      <c r="AP97">
        <v>16</v>
      </c>
      <c r="AQ97" t="s">
        <v>427</v>
      </c>
      <c r="AR97" t="s">
        <v>421</v>
      </c>
      <c r="AS97" t="s">
        <v>454</v>
      </c>
      <c r="AT97" t="s">
        <v>321</v>
      </c>
      <c r="AU97" t="s">
        <v>321</v>
      </c>
      <c r="AV97" t="s">
        <v>321</v>
      </c>
      <c r="AW97" t="s">
        <v>441</v>
      </c>
      <c r="AX97" t="s">
        <v>449</v>
      </c>
      <c r="AY97">
        <v>30</v>
      </c>
      <c r="AZ97" t="s">
        <v>423</v>
      </c>
      <c r="BA97" t="s">
        <v>589</v>
      </c>
      <c r="BB97" t="s">
        <v>417</v>
      </c>
      <c r="BC97" t="s">
        <v>425</v>
      </c>
      <c r="BD97" t="s">
        <v>453</v>
      </c>
      <c r="BE97" t="s">
        <v>426</v>
      </c>
      <c r="BF97">
        <v>50</v>
      </c>
      <c r="BG97" t="s">
        <v>427</v>
      </c>
      <c r="BH97" t="s">
        <v>421</v>
      </c>
      <c r="BI97" t="s">
        <v>428</v>
      </c>
      <c r="BJ97" t="s">
        <v>321</v>
      </c>
      <c r="BK97" t="s">
        <v>321</v>
      </c>
      <c r="BL97" t="s">
        <v>321</v>
      </c>
      <c r="BM97" t="s">
        <v>441</v>
      </c>
      <c r="BN97" t="s">
        <v>449</v>
      </c>
      <c r="BO97">
        <v>30</v>
      </c>
      <c r="BP97" t="s">
        <v>423</v>
      </c>
      <c r="BQ97" t="s">
        <v>589</v>
      </c>
      <c r="BR97" t="s">
        <v>321</v>
      </c>
      <c r="BS97" t="s">
        <v>321</v>
      </c>
      <c r="BT97" t="s">
        <v>321</v>
      </c>
      <c r="BU97" t="s">
        <v>321</v>
      </c>
      <c r="BV97" t="s">
        <v>321</v>
      </c>
      <c r="BW97" t="s">
        <v>321</v>
      </c>
      <c r="BX97" t="s">
        <v>321</v>
      </c>
      <c r="BY97" t="s">
        <v>321</v>
      </c>
      <c r="BZ97" t="s">
        <v>321</v>
      </c>
      <c r="CA97" t="s">
        <v>321</v>
      </c>
      <c r="CB97" t="s">
        <v>321</v>
      </c>
      <c r="CC97" t="s">
        <v>321</v>
      </c>
      <c r="CD97" t="s">
        <v>321</v>
      </c>
      <c r="CE97" t="s">
        <v>321</v>
      </c>
      <c r="CF97" t="s">
        <v>321</v>
      </c>
      <c r="CG97" t="s">
        <v>321</v>
      </c>
      <c r="CH97" t="s">
        <v>321</v>
      </c>
      <c r="CI97" t="s">
        <v>321</v>
      </c>
      <c r="CJ97" t="s">
        <v>321</v>
      </c>
      <c r="CK97" t="s">
        <v>321</v>
      </c>
      <c r="CL97" t="s">
        <v>321</v>
      </c>
      <c r="CM97" t="s">
        <v>321</v>
      </c>
      <c r="CN97" t="s">
        <v>321</v>
      </c>
      <c r="CO97" t="s">
        <v>321</v>
      </c>
      <c r="CP97" t="s">
        <v>321</v>
      </c>
      <c r="CQ97" t="s">
        <v>321</v>
      </c>
      <c r="CR97" t="s">
        <v>321</v>
      </c>
      <c r="CS97" t="s">
        <v>321</v>
      </c>
      <c r="CT97" t="s">
        <v>321</v>
      </c>
      <c r="CU97" t="s">
        <v>321</v>
      </c>
      <c r="CV97" t="s">
        <v>321</v>
      </c>
      <c r="CW97" t="s">
        <v>321</v>
      </c>
      <c r="CX97">
        <v>279105.24459999998</v>
      </c>
      <c r="CY97">
        <v>4925648.443</v>
      </c>
      <c r="CZ97">
        <v>44.450403000000001</v>
      </c>
      <c r="DA97">
        <v>-95.776262000000003</v>
      </c>
      <c r="DB97" s="291">
        <v>42796.326388888891</v>
      </c>
      <c r="DC97" t="s">
        <v>231</v>
      </c>
      <c r="DD97" t="s">
        <v>429</v>
      </c>
      <c r="DE97" t="s">
        <v>455</v>
      </c>
      <c r="DF97" t="s">
        <v>456</v>
      </c>
      <c r="DG97" t="s">
        <v>985</v>
      </c>
      <c r="DH97">
        <v>0</v>
      </c>
      <c r="DI97" t="s">
        <v>322</v>
      </c>
      <c r="DJ97">
        <v>100</v>
      </c>
      <c r="DK97">
        <v>15</v>
      </c>
    </row>
    <row r="98" spans="1:115" x14ac:dyDescent="0.25">
      <c r="A98">
        <v>97</v>
      </c>
      <c r="B98" t="s">
        <v>657</v>
      </c>
      <c r="C98">
        <v>1</v>
      </c>
      <c r="D98">
        <v>115</v>
      </c>
      <c r="E98">
        <v>524317</v>
      </c>
      <c r="F98" t="s">
        <v>464</v>
      </c>
      <c r="G98">
        <v>19</v>
      </c>
      <c r="H98">
        <v>35.494</v>
      </c>
      <c r="I98" t="s">
        <v>297</v>
      </c>
      <c r="J98" t="s">
        <v>299</v>
      </c>
      <c r="K98" t="s">
        <v>321</v>
      </c>
      <c r="L98" t="s">
        <v>406</v>
      </c>
      <c r="M98" t="s">
        <v>299</v>
      </c>
      <c r="N98" t="s">
        <v>321</v>
      </c>
      <c r="O98" t="s">
        <v>984</v>
      </c>
      <c r="P98">
        <v>173450427</v>
      </c>
      <c r="Q98" s="290">
        <v>45272</v>
      </c>
      <c r="R98">
        <v>11</v>
      </c>
      <c r="S98">
        <v>2017</v>
      </c>
      <c r="T98" t="s">
        <v>431</v>
      </c>
      <c r="U98">
        <v>16</v>
      </c>
      <c r="V98" t="s">
        <v>422</v>
      </c>
      <c r="W98" t="s">
        <v>320</v>
      </c>
      <c r="X98">
        <v>0</v>
      </c>
      <c r="Y98">
        <v>2</v>
      </c>
      <c r="Z98" t="s">
        <v>451</v>
      </c>
      <c r="AA98" t="s">
        <v>409</v>
      </c>
      <c r="AB98" t="s">
        <v>460</v>
      </c>
      <c r="AC98" t="s">
        <v>433</v>
      </c>
      <c r="AD98" t="s">
        <v>446</v>
      </c>
      <c r="AE98" t="s">
        <v>463</v>
      </c>
      <c r="AF98" t="s">
        <v>434</v>
      </c>
      <c r="AG98" t="s">
        <v>414</v>
      </c>
      <c r="AH98" t="s">
        <v>477</v>
      </c>
      <c r="AI98" t="s">
        <v>321</v>
      </c>
      <c r="AJ98" t="s">
        <v>471</v>
      </c>
      <c r="AK98" t="s">
        <v>451</v>
      </c>
      <c r="AL98" t="s">
        <v>417</v>
      </c>
      <c r="AM98" t="s">
        <v>425</v>
      </c>
      <c r="AN98" t="s">
        <v>472</v>
      </c>
      <c r="AO98" t="s">
        <v>426</v>
      </c>
      <c r="AP98">
        <v>38</v>
      </c>
      <c r="AQ98" t="s">
        <v>420</v>
      </c>
      <c r="AR98" t="s">
        <v>421</v>
      </c>
      <c r="AS98" t="s">
        <v>479</v>
      </c>
      <c r="AT98" t="s">
        <v>516</v>
      </c>
      <c r="AU98" t="s">
        <v>321</v>
      </c>
      <c r="AV98" t="s">
        <v>321</v>
      </c>
      <c r="AW98" t="s">
        <v>441</v>
      </c>
      <c r="AX98" t="s">
        <v>449</v>
      </c>
      <c r="AY98">
        <v>30</v>
      </c>
      <c r="AZ98" t="s">
        <v>423</v>
      </c>
      <c r="BA98" t="s">
        <v>424</v>
      </c>
      <c r="BB98" t="s">
        <v>417</v>
      </c>
      <c r="BC98" t="s">
        <v>514</v>
      </c>
      <c r="BD98" t="s">
        <v>461</v>
      </c>
      <c r="BE98" t="s">
        <v>426</v>
      </c>
      <c r="BF98">
        <v>46</v>
      </c>
      <c r="BG98" t="s">
        <v>427</v>
      </c>
      <c r="BH98" t="s">
        <v>421</v>
      </c>
      <c r="BI98" t="s">
        <v>428</v>
      </c>
      <c r="BJ98" t="s">
        <v>321</v>
      </c>
      <c r="BK98" t="s">
        <v>321</v>
      </c>
      <c r="BL98" t="s">
        <v>321</v>
      </c>
      <c r="BM98" t="s">
        <v>441</v>
      </c>
      <c r="BN98" t="s">
        <v>449</v>
      </c>
      <c r="BO98">
        <v>30</v>
      </c>
      <c r="BP98" t="s">
        <v>423</v>
      </c>
      <c r="BQ98" t="s">
        <v>424</v>
      </c>
      <c r="BR98" t="s">
        <v>321</v>
      </c>
      <c r="BS98" t="s">
        <v>321</v>
      </c>
      <c r="BT98" t="s">
        <v>321</v>
      </c>
      <c r="BU98" t="s">
        <v>321</v>
      </c>
      <c r="BV98" t="s">
        <v>321</v>
      </c>
      <c r="BW98" t="s">
        <v>321</v>
      </c>
      <c r="BX98" t="s">
        <v>321</v>
      </c>
      <c r="BY98" t="s">
        <v>321</v>
      </c>
      <c r="BZ98" t="s">
        <v>321</v>
      </c>
      <c r="CA98" t="s">
        <v>321</v>
      </c>
      <c r="CB98" t="s">
        <v>321</v>
      </c>
      <c r="CC98" t="s">
        <v>321</v>
      </c>
      <c r="CD98" t="s">
        <v>321</v>
      </c>
      <c r="CE98" t="s">
        <v>321</v>
      </c>
      <c r="CF98" t="s">
        <v>321</v>
      </c>
      <c r="CG98" t="s">
        <v>321</v>
      </c>
      <c r="CH98" t="s">
        <v>321</v>
      </c>
      <c r="CI98" t="s">
        <v>321</v>
      </c>
      <c r="CJ98" t="s">
        <v>321</v>
      </c>
      <c r="CK98" t="s">
        <v>321</v>
      </c>
      <c r="CL98" t="s">
        <v>321</v>
      </c>
      <c r="CM98" t="s">
        <v>321</v>
      </c>
      <c r="CN98" t="s">
        <v>321</v>
      </c>
      <c r="CO98" t="s">
        <v>321</v>
      </c>
      <c r="CP98" t="s">
        <v>321</v>
      </c>
      <c r="CQ98" t="s">
        <v>321</v>
      </c>
      <c r="CR98" t="s">
        <v>321</v>
      </c>
      <c r="CS98" t="s">
        <v>321</v>
      </c>
      <c r="CT98" t="s">
        <v>321</v>
      </c>
      <c r="CU98" t="s">
        <v>321</v>
      </c>
      <c r="CV98" t="s">
        <v>321</v>
      </c>
      <c r="CW98" t="s">
        <v>321</v>
      </c>
      <c r="CX98">
        <v>279104.45120000001</v>
      </c>
      <c r="CY98">
        <v>4925648.4709999999</v>
      </c>
      <c r="CZ98">
        <v>44.450403000000001</v>
      </c>
      <c r="DA98">
        <v>-95.776272000000006</v>
      </c>
      <c r="DB98" s="291">
        <v>43080.673611111109</v>
      </c>
      <c r="DC98" t="s">
        <v>231</v>
      </c>
      <c r="DD98" t="s">
        <v>429</v>
      </c>
      <c r="DE98" t="s">
        <v>455</v>
      </c>
      <c r="DF98" t="s">
        <v>456</v>
      </c>
      <c r="DG98" t="s">
        <v>983</v>
      </c>
      <c r="DH98">
        <v>0</v>
      </c>
      <c r="DI98" t="s">
        <v>322</v>
      </c>
      <c r="DJ98">
        <v>100</v>
      </c>
      <c r="DK98">
        <v>15</v>
      </c>
    </row>
    <row r="99" spans="1:115" x14ac:dyDescent="0.25">
      <c r="A99">
        <v>98</v>
      </c>
      <c r="B99" t="s">
        <v>657</v>
      </c>
      <c r="C99">
        <v>1</v>
      </c>
      <c r="D99">
        <v>116</v>
      </c>
      <c r="E99">
        <v>931480</v>
      </c>
      <c r="F99" t="s">
        <v>464</v>
      </c>
      <c r="G99">
        <v>19</v>
      </c>
      <c r="H99">
        <v>35.494999999999997</v>
      </c>
      <c r="I99" t="s">
        <v>297</v>
      </c>
      <c r="J99" t="s">
        <v>299</v>
      </c>
      <c r="K99" t="s">
        <v>321</v>
      </c>
      <c r="L99" t="s">
        <v>406</v>
      </c>
      <c r="M99" t="s">
        <v>299</v>
      </c>
      <c r="N99" t="s">
        <v>321</v>
      </c>
      <c r="O99" s="292">
        <v>202000000000</v>
      </c>
      <c r="P99">
        <v>212110168</v>
      </c>
      <c r="Q99" s="290">
        <v>45114</v>
      </c>
      <c r="R99">
        <v>30</v>
      </c>
      <c r="S99">
        <v>2021</v>
      </c>
      <c r="T99" t="s">
        <v>485</v>
      </c>
      <c r="U99">
        <v>22</v>
      </c>
      <c r="V99" t="s">
        <v>422</v>
      </c>
      <c r="W99" t="s">
        <v>318</v>
      </c>
      <c r="X99">
        <v>0</v>
      </c>
      <c r="Y99">
        <v>2</v>
      </c>
      <c r="Z99" t="s">
        <v>451</v>
      </c>
      <c r="AA99" t="s">
        <v>409</v>
      </c>
      <c r="AB99" t="s">
        <v>452</v>
      </c>
      <c r="AC99" t="s">
        <v>411</v>
      </c>
      <c r="AD99" t="s">
        <v>412</v>
      </c>
      <c r="AE99" t="s">
        <v>321</v>
      </c>
      <c r="AF99" t="s">
        <v>434</v>
      </c>
      <c r="AG99" t="s">
        <v>414</v>
      </c>
      <c r="AH99" t="s">
        <v>477</v>
      </c>
      <c r="AI99" t="s">
        <v>618</v>
      </c>
      <c r="AJ99" t="s">
        <v>471</v>
      </c>
      <c r="AK99" t="s">
        <v>451</v>
      </c>
      <c r="AL99" t="s">
        <v>417</v>
      </c>
      <c r="AM99" t="s">
        <v>478</v>
      </c>
      <c r="AN99" t="s">
        <v>461</v>
      </c>
      <c r="AO99" t="s">
        <v>426</v>
      </c>
      <c r="AP99">
        <v>17</v>
      </c>
      <c r="AQ99" t="s">
        <v>420</v>
      </c>
      <c r="AR99" t="s">
        <v>421</v>
      </c>
      <c r="AS99" t="s">
        <v>428</v>
      </c>
      <c r="AT99" t="s">
        <v>321</v>
      </c>
      <c r="AU99" t="s">
        <v>321</v>
      </c>
      <c r="AV99" t="s">
        <v>321</v>
      </c>
      <c r="AW99" t="s">
        <v>441</v>
      </c>
      <c r="AX99" t="s">
        <v>449</v>
      </c>
      <c r="AY99">
        <v>30</v>
      </c>
      <c r="AZ99" t="s">
        <v>423</v>
      </c>
      <c r="BA99" t="s">
        <v>424</v>
      </c>
      <c r="BB99" t="s">
        <v>417</v>
      </c>
      <c r="BC99" t="s">
        <v>418</v>
      </c>
      <c r="BD99" t="s">
        <v>448</v>
      </c>
      <c r="BE99" t="s">
        <v>426</v>
      </c>
      <c r="BF99">
        <v>48</v>
      </c>
      <c r="BG99" t="s">
        <v>420</v>
      </c>
      <c r="BH99" t="s">
        <v>561</v>
      </c>
      <c r="BI99" t="s">
        <v>454</v>
      </c>
      <c r="BJ99" t="s">
        <v>321</v>
      </c>
      <c r="BK99" t="s">
        <v>321</v>
      </c>
      <c r="BL99" t="s">
        <v>321</v>
      </c>
      <c r="BM99" t="s">
        <v>441</v>
      </c>
      <c r="BN99" t="s">
        <v>449</v>
      </c>
      <c r="BO99">
        <v>30</v>
      </c>
      <c r="BP99" t="s">
        <v>423</v>
      </c>
      <c r="BQ99" t="s">
        <v>424</v>
      </c>
      <c r="BR99" t="s">
        <v>321</v>
      </c>
      <c r="BS99" t="s">
        <v>321</v>
      </c>
      <c r="BT99" t="s">
        <v>321</v>
      </c>
      <c r="BU99" t="s">
        <v>321</v>
      </c>
      <c r="BV99" t="s">
        <v>321</v>
      </c>
      <c r="BW99" t="s">
        <v>321</v>
      </c>
      <c r="BX99" t="s">
        <v>321</v>
      </c>
      <c r="BY99" t="s">
        <v>321</v>
      </c>
      <c r="BZ99" t="s">
        <v>321</v>
      </c>
      <c r="CA99" t="s">
        <v>321</v>
      </c>
      <c r="CB99" t="s">
        <v>321</v>
      </c>
      <c r="CC99" t="s">
        <v>321</v>
      </c>
      <c r="CD99" t="s">
        <v>321</v>
      </c>
      <c r="CE99" t="s">
        <v>321</v>
      </c>
      <c r="CF99" t="s">
        <v>321</v>
      </c>
      <c r="CG99" t="s">
        <v>321</v>
      </c>
      <c r="CH99" t="s">
        <v>321</v>
      </c>
      <c r="CI99" t="s">
        <v>321</v>
      </c>
      <c r="CJ99" t="s">
        <v>321</v>
      </c>
      <c r="CK99" t="s">
        <v>321</v>
      </c>
      <c r="CL99" t="s">
        <v>321</v>
      </c>
      <c r="CM99" t="s">
        <v>321</v>
      </c>
      <c r="CN99" t="s">
        <v>321</v>
      </c>
      <c r="CO99" t="s">
        <v>321</v>
      </c>
      <c r="CP99" t="s">
        <v>321</v>
      </c>
      <c r="CQ99" t="s">
        <v>321</v>
      </c>
      <c r="CR99" t="s">
        <v>321</v>
      </c>
      <c r="CS99" t="s">
        <v>321</v>
      </c>
      <c r="CT99" t="s">
        <v>321</v>
      </c>
      <c r="CU99" t="s">
        <v>321</v>
      </c>
      <c r="CV99" t="s">
        <v>321</v>
      </c>
      <c r="CW99" t="s">
        <v>321</v>
      </c>
      <c r="CX99">
        <v>279106.18589999998</v>
      </c>
      <c r="CY99">
        <v>4925648.41</v>
      </c>
      <c r="CZ99">
        <v>44.450403000000001</v>
      </c>
      <c r="DA99">
        <v>-95.776250000000005</v>
      </c>
      <c r="DB99" s="291">
        <v>44407.944444444445</v>
      </c>
      <c r="DC99" t="s">
        <v>231</v>
      </c>
      <c r="DD99" t="s">
        <v>429</v>
      </c>
      <c r="DE99" t="s">
        <v>455</v>
      </c>
      <c r="DF99" t="s">
        <v>456</v>
      </c>
      <c r="DG99" t="s">
        <v>619</v>
      </c>
      <c r="DH99">
        <v>0</v>
      </c>
      <c r="DI99" t="s">
        <v>322</v>
      </c>
      <c r="DJ99">
        <v>100</v>
      </c>
      <c r="DK99">
        <v>15</v>
      </c>
    </row>
    <row r="100" spans="1:115" x14ac:dyDescent="0.25">
      <c r="A100">
        <v>99</v>
      </c>
      <c r="B100" t="s">
        <v>657</v>
      </c>
      <c r="C100">
        <v>1</v>
      </c>
      <c r="D100">
        <v>117</v>
      </c>
      <c r="E100">
        <v>981366</v>
      </c>
      <c r="F100" t="s">
        <v>464</v>
      </c>
      <c r="G100">
        <v>19</v>
      </c>
      <c r="H100">
        <v>35.496000000000002</v>
      </c>
      <c r="I100" t="s">
        <v>297</v>
      </c>
      <c r="J100" t="s">
        <v>299</v>
      </c>
      <c r="K100" t="s">
        <v>321</v>
      </c>
      <c r="L100" t="s">
        <v>406</v>
      </c>
      <c r="M100" t="s">
        <v>299</v>
      </c>
      <c r="N100" t="s">
        <v>321</v>
      </c>
      <c r="O100" s="292">
        <v>202000000000</v>
      </c>
      <c r="P100">
        <v>213510149</v>
      </c>
      <c r="Q100" s="290">
        <v>45272</v>
      </c>
      <c r="R100">
        <v>17</v>
      </c>
      <c r="S100">
        <v>2021</v>
      </c>
      <c r="T100" t="s">
        <v>485</v>
      </c>
      <c r="U100">
        <v>20</v>
      </c>
      <c r="V100" t="s">
        <v>321</v>
      </c>
      <c r="W100" t="s">
        <v>320</v>
      </c>
      <c r="X100">
        <v>0</v>
      </c>
      <c r="Y100">
        <v>2</v>
      </c>
      <c r="Z100" t="s">
        <v>451</v>
      </c>
      <c r="AA100" t="s">
        <v>409</v>
      </c>
      <c r="AB100" t="s">
        <v>452</v>
      </c>
      <c r="AC100" t="s">
        <v>411</v>
      </c>
      <c r="AD100" t="s">
        <v>412</v>
      </c>
      <c r="AE100" t="s">
        <v>321</v>
      </c>
      <c r="AF100" t="s">
        <v>467</v>
      </c>
      <c r="AG100" t="s">
        <v>414</v>
      </c>
      <c r="AH100" t="s">
        <v>477</v>
      </c>
      <c r="AI100" t="s">
        <v>571</v>
      </c>
      <c r="AJ100" t="s">
        <v>471</v>
      </c>
      <c r="AK100" t="s">
        <v>451</v>
      </c>
      <c r="AL100" t="s">
        <v>417</v>
      </c>
      <c r="AM100" t="s">
        <v>425</v>
      </c>
      <c r="AN100" t="s">
        <v>453</v>
      </c>
      <c r="AO100" t="s">
        <v>426</v>
      </c>
      <c r="AP100">
        <v>36</v>
      </c>
      <c r="AQ100" t="s">
        <v>420</v>
      </c>
      <c r="AR100" t="s">
        <v>421</v>
      </c>
      <c r="AS100" t="s">
        <v>428</v>
      </c>
      <c r="AT100" t="s">
        <v>321</v>
      </c>
      <c r="AU100" t="s">
        <v>321</v>
      </c>
      <c r="AV100" t="s">
        <v>321</v>
      </c>
      <c r="AW100" t="s">
        <v>441</v>
      </c>
      <c r="AX100" t="s">
        <v>449</v>
      </c>
      <c r="AY100">
        <v>30</v>
      </c>
      <c r="AZ100" t="s">
        <v>423</v>
      </c>
      <c r="BA100" t="s">
        <v>424</v>
      </c>
      <c r="BB100" t="s">
        <v>417</v>
      </c>
      <c r="BC100" t="s">
        <v>425</v>
      </c>
      <c r="BD100" t="s">
        <v>448</v>
      </c>
      <c r="BE100" t="s">
        <v>426</v>
      </c>
      <c r="BF100">
        <v>15</v>
      </c>
      <c r="BG100" t="s">
        <v>420</v>
      </c>
      <c r="BH100" t="s">
        <v>421</v>
      </c>
      <c r="BI100" t="s">
        <v>454</v>
      </c>
      <c r="BJ100" t="s">
        <v>321</v>
      </c>
      <c r="BK100" t="s">
        <v>321</v>
      </c>
      <c r="BL100" t="s">
        <v>321</v>
      </c>
      <c r="BM100" t="s">
        <v>441</v>
      </c>
      <c r="BN100" t="s">
        <v>449</v>
      </c>
      <c r="BO100">
        <v>30</v>
      </c>
      <c r="BP100" t="s">
        <v>423</v>
      </c>
      <c r="BQ100" t="s">
        <v>424</v>
      </c>
      <c r="BR100" t="s">
        <v>321</v>
      </c>
      <c r="BS100" t="s">
        <v>321</v>
      </c>
      <c r="BT100" t="s">
        <v>321</v>
      </c>
      <c r="BU100" t="s">
        <v>321</v>
      </c>
      <c r="BV100" t="s">
        <v>321</v>
      </c>
      <c r="BW100" t="s">
        <v>321</v>
      </c>
      <c r="BX100" t="s">
        <v>321</v>
      </c>
      <c r="BY100" t="s">
        <v>321</v>
      </c>
      <c r="BZ100" t="s">
        <v>321</v>
      </c>
      <c r="CA100" t="s">
        <v>321</v>
      </c>
      <c r="CB100" t="s">
        <v>321</v>
      </c>
      <c r="CC100" t="s">
        <v>321</v>
      </c>
      <c r="CD100" t="s">
        <v>321</v>
      </c>
      <c r="CE100" t="s">
        <v>321</v>
      </c>
      <c r="CF100" t="s">
        <v>321</v>
      </c>
      <c r="CG100" t="s">
        <v>321</v>
      </c>
      <c r="CH100" t="s">
        <v>321</v>
      </c>
      <c r="CI100" t="s">
        <v>321</v>
      </c>
      <c r="CJ100" t="s">
        <v>321</v>
      </c>
      <c r="CK100" t="s">
        <v>321</v>
      </c>
      <c r="CL100" t="s">
        <v>321</v>
      </c>
      <c r="CM100" t="s">
        <v>321</v>
      </c>
      <c r="CN100" t="s">
        <v>321</v>
      </c>
      <c r="CO100" t="s">
        <v>321</v>
      </c>
      <c r="CP100" t="s">
        <v>321</v>
      </c>
      <c r="CQ100" t="s">
        <v>321</v>
      </c>
      <c r="CR100" t="s">
        <v>321</v>
      </c>
      <c r="CS100" t="s">
        <v>321</v>
      </c>
      <c r="CT100" t="s">
        <v>321</v>
      </c>
      <c r="CU100" t="s">
        <v>321</v>
      </c>
      <c r="CV100" t="s">
        <v>321</v>
      </c>
      <c r="CW100" t="s">
        <v>321</v>
      </c>
      <c r="CX100">
        <v>279106.88750000001</v>
      </c>
      <c r="CY100">
        <v>4925648.3859999999</v>
      </c>
      <c r="CZ100">
        <v>44.450403000000001</v>
      </c>
      <c r="DA100">
        <v>-95.776240999999999</v>
      </c>
      <c r="DB100" s="291">
        <v>44547.854166666664</v>
      </c>
      <c r="DC100" t="s">
        <v>231</v>
      </c>
      <c r="DD100" t="s">
        <v>429</v>
      </c>
      <c r="DE100" t="s">
        <v>455</v>
      </c>
      <c r="DF100" t="s">
        <v>456</v>
      </c>
      <c r="DG100" t="s">
        <v>620</v>
      </c>
      <c r="DH100">
        <v>0</v>
      </c>
      <c r="DI100" t="s">
        <v>322</v>
      </c>
      <c r="DJ100">
        <v>100</v>
      </c>
      <c r="DK100">
        <v>15</v>
      </c>
    </row>
    <row r="101" spans="1:115" x14ac:dyDescent="0.25">
      <c r="A101">
        <v>100</v>
      </c>
      <c r="B101" t="s">
        <v>657</v>
      </c>
      <c r="C101">
        <v>1</v>
      </c>
      <c r="D101">
        <v>118</v>
      </c>
      <c r="E101">
        <v>10900487</v>
      </c>
      <c r="F101" t="s">
        <v>464</v>
      </c>
      <c r="G101">
        <v>19</v>
      </c>
      <c r="H101">
        <v>35.496000000000002</v>
      </c>
      <c r="I101" t="s">
        <v>297</v>
      </c>
      <c r="J101" t="s">
        <v>299</v>
      </c>
      <c r="K101" t="s">
        <v>321</v>
      </c>
      <c r="L101" t="s">
        <v>406</v>
      </c>
      <c r="M101" t="s">
        <v>299</v>
      </c>
      <c r="N101" t="s">
        <v>321</v>
      </c>
      <c r="O101" t="s">
        <v>982</v>
      </c>
      <c r="P101">
        <v>132690209</v>
      </c>
      <c r="Q101" s="290">
        <v>45178</v>
      </c>
      <c r="R101">
        <v>26</v>
      </c>
      <c r="S101">
        <v>2013</v>
      </c>
      <c r="T101" t="s">
        <v>458</v>
      </c>
      <c r="U101">
        <v>5</v>
      </c>
      <c r="V101" t="s">
        <v>321</v>
      </c>
      <c r="W101" t="s">
        <v>318</v>
      </c>
      <c r="X101">
        <v>0</v>
      </c>
      <c r="Y101">
        <v>2</v>
      </c>
      <c r="Z101" t="s">
        <v>451</v>
      </c>
      <c r="AA101" t="s">
        <v>409</v>
      </c>
      <c r="AB101" t="s">
        <v>452</v>
      </c>
      <c r="AC101" t="s">
        <v>411</v>
      </c>
      <c r="AD101" t="s">
        <v>412</v>
      </c>
      <c r="AE101" t="s">
        <v>412</v>
      </c>
      <c r="AF101" t="s">
        <v>434</v>
      </c>
      <c r="AG101" t="s">
        <v>414</v>
      </c>
      <c r="AH101" t="s">
        <v>852</v>
      </c>
      <c r="AI101" t="s">
        <v>971</v>
      </c>
      <c r="AJ101" t="s">
        <v>471</v>
      </c>
      <c r="AK101" t="s">
        <v>451</v>
      </c>
      <c r="AL101" t="s">
        <v>417</v>
      </c>
      <c r="AM101" t="s">
        <v>418</v>
      </c>
      <c r="AN101" t="s">
        <v>472</v>
      </c>
      <c r="AO101" t="s">
        <v>426</v>
      </c>
      <c r="AP101">
        <v>82</v>
      </c>
      <c r="AQ101" t="s">
        <v>420</v>
      </c>
      <c r="AR101" t="s">
        <v>421</v>
      </c>
      <c r="AS101" t="s">
        <v>428</v>
      </c>
      <c r="AT101" t="s">
        <v>428</v>
      </c>
      <c r="AU101" t="s">
        <v>321</v>
      </c>
      <c r="AV101" t="s">
        <v>321</v>
      </c>
      <c r="AW101" t="s">
        <v>850</v>
      </c>
      <c r="AX101" t="s">
        <v>449</v>
      </c>
      <c r="AY101">
        <v>30</v>
      </c>
      <c r="AZ101" t="s">
        <v>423</v>
      </c>
      <c r="BA101" t="s">
        <v>424</v>
      </c>
      <c r="BB101" t="s">
        <v>417</v>
      </c>
      <c r="BC101" t="s">
        <v>478</v>
      </c>
      <c r="BD101" t="s">
        <v>448</v>
      </c>
      <c r="BE101" t="s">
        <v>426</v>
      </c>
      <c r="BF101">
        <v>66</v>
      </c>
      <c r="BG101" t="s">
        <v>420</v>
      </c>
      <c r="BH101" t="s">
        <v>421</v>
      </c>
      <c r="BI101" t="s">
        <v>428</v>
      </c>
      <c r="BJ101" t="s">
        <v>428</v>
      </c>
      <c r="BK101" t="s">
        <v>321</v>
      </c>
      <c r="BL101" t="s">
        <v>321</v>
      </c>
      <c r="BM101" t="s">
        <v>850</v>
      </c>
      <c r="BN101" t="s">
        <v>449</v>
      </c>
      <c r="BO101">
        <v>30</v>
      </c>
      <c r="BP101" t="s">
        <v>423</v>
      </c>
      <c r="BQ101" t="s">
        <v>424</v>
      </c>
      <c r="BR101" t="s">
        <v>321</v>
      </c>
      <c r="BS101" t="s">
        <v>321</v>
      </c>
      <c r="BT101" t="s">
        <v>321</v>
      </c>
      <c r="BU101" t="s">
        <v>321</v>
      </c>
      <c r="BV101" t="s">
        <v>321</v>
      </c>
      <c r="BW101" t="s">
        <v>321</v>
      </c>
      <c r="BX101" t="s">
        <v>321</v>
      </c>
      <c r="BY101" t="s">
        <v>321</v>
      </c>
      <c r="BZ101" t="s">
        <v>321</v>
      </c>
      <c r="CA101" t="s">
        <v>321</v>
      </c>
      <c r="CB101" t="s">
        <v>321</v>
      </c>
      <c r="CC101" t="s">
        <v>321</v>
      </c>
      <c r="CD101" t="s">
        <v>321</v>
      </c>
      <c r="CE101" t="s">
        <v>321</v>
      </c>
      <c r="CF101" t="s">
        <v>321</v>
      </c>
      <c r="CG101" t="s">
        <v>321</v>
      </c>
      <c r="CH101" t="s">
        <v>321</v>
      </c>
      <c r="CI101" t="s">
        <v>321</v>
      </c>
      <c r="CJ101" t="s">
        <v>321</v>
      </c>
      <c r="CK101" t="s">
        <v>321</v>
      </c>
      <c r="CL101" t="s">
        <v>321</v>
      </c>
      <c r="CM101" t="s">
        <v>321</v>
      </c>
      <c r="CN101" t="s">
        <v>321</v>
      </c>
      <c r="CO101" t="s">
        <v>321</v>
      </c>
      <c r="CP101" t="s">
        <v>321</v>
      </c>
      <c r="CQ101" t="s">
        <v>321</v>
      </c>
      <c r="CR101" t="s">
        <v>321</v>
      </c>
      <c r="CS101" t="s">
        <v>321</v>
      </c>
      <c r="CT101" t="s">
        <v>321</v>
      </c>
      <c r="CU101" t="s">
        <v>321</v>
      </c>
      <c r="CV101" t="s">
        <v>321</v>
      </c>
      <c r="CW101" t="s">
        <v>321</v>
      </c>
      <c r="CX101">
        <v>279107.40029999998</v>
      </c>
      <c r="CY101">
        <v>4925648.3650000002</v>
      </c>
      <c r="CZ101">
        <v>44.450403000000001</v>
      </c>
      <c r="DA101">
        <v>-95.776235</v>
      </c>
      <c r="DB101" s="291">
        <v>41543.231249999997</v>
      </c>
      <c r="DC101" t="s">
        <v>231</v>
      </c>
      <c r="DD101" t="s">
        <v>429</v>
      </c>
      <c r="DE101" t="s">
        <v>430</v>
      </c>
      <c r="DF101" t="s">
        <v>430</v>
      </c>
      <c r="DG101" t="s">
        <v>981</v>
      </c>
      <c r="DH101">
        <v>0</v>
      </c>
      <c r="DI101" t="s">
        <v>322</v>
      </c>
      <c r="DJ101">
        <v>100</v>
      </c>
      <c r="DK101">
        <v>15</v>
      </c>
    </row>
    <row r="102" spans="1:115" x14ac:dyDescent="0.25">
      <c r="A102">
        <v>101</v>
      </c>
      <c r="B102" t="s">
        <v>657</v>
      </c>
      <c r="C102">
        <v>1</v>
      </c>
      <c r="D102">
        <v>119</v>
      </c>
      <c r="E102">
        <v>10965258</v>
      </c>
      <c r="F102" t="s">
        <v>464</v>
      </c>
      <c r="G102">
        <v>19</v>
      </c>
      <c r="H102">
        <v>35.496000000000002</v>
      </c>
      <c r="I102" t="s">
        <v>297</v>
      </c>
      <c r="J102" t="s">
        <v>299</v>
      </c>
      <c r="K102" t="s">
        <v>321</v>
      </c>
      <c r="L102" t="s">
        <v>406</v>
      </c>
      <c r="M102" t="s">
        <v>299</v>
      </c>
      <c r="N102" t="s">
        <v>321</v>
      </c>
      <c r="O102" t="s">
        <v>980</v>
      </c>
      <c r="P102">
        <v>140510326</v>
      </c>
      <c r="Q102" s="290">
        <v>44959</v>
      </c>
      <c r="R102">
        <v>20</v>
      </c>
      <c r="S102">
        <v>2014</v>
      </c>
      <c r="T102" t="s">
        <v>458</v>
      </c>
      <c r="U102">
        <v>19</v>
      </c>
      <c r="V102" t="s">
        <v>321</v>
      </c>
      <c r="W102" t="s">
        <v>320</v>
      </c>
      <c r="X102">
        <v>0</v>
      </c>
      <c r="Y102">
        <v>2</v>
      </c>
      <c r="Z102" t="s">
        <v>797</v>
      </c>
      <c r="AA102" t="s">
        <v>409</v>
      </c>
      <c r="AB102" t="s">
        <v>452</v>
      </c>
      <c r="AC102" t="s">
        <v>411</v>
      </c>
      <c r="AD102" t="s">
        <v>467</v>
      </c>
      <c r="AE102" t="s">
        <v>468</v>
      </c>
      <c r="AF102" t="s">
        <v>413</v>
      </c>
      <c r="AG102" t="s">
        <v>414</v>
      </c>
      <c r="AH102" t="s">
        <v>979</v>
      </c>
      <c r="AI102" t="s">
        <v>971</v>
      </c>
      <c r="AJ102" t="s">
        <v>471</v>
      </c>
      <c r="AK102" t="s">
        <v>447</v>
      </c>
      <c r="AL102" t="s">
        <v>417</v>
      </c>
      <c r="AM102" t="s">
        <v>418</v>
      </c>
      <c r="AN102" t="s">
        <v>453</v>
      </c>
      <c r="AO102" t="s">
        <v>426</v>
      </c>
      <c r="AP102">
        <v>23</v>
      </c>
      <c r="AQ102" t="s">
        <v>420</v>
      </c>
      <c r="AR102" t="s">
        <v>421</v>
      </c>
      <c r="AS102" t="s">
        <v>914</v>
      </c>
      <c r="AT102" t="s">
        <v>321</v>
      </c>
      <c r="AU102" t="s">
        <v>321</v>
      </c>
      <c r="AV102" t="s">
        <v>321</v>
      </c>
      <c r="AW102" t="s">
        <v>805</v>
      </c>
      <c r="AX102" t="s">
        <v>449</v>
      </c>
      <c r="AY102">
        <v>30</v>
      </c>
      <c r="AZ102" t="s">
        <v>423</v>
      </c>
      <c r="BA102" t="s">
        <v>424</v>
      </c>
      <c r="BB102" t="s">
        <v>417</v>
      </c>
      <c r="BC102" t="s">
        <v>478</v>
      </c>
      <c r="BD102" t="s">
        <v>453</v>
      </c>
      <c r="BE102" t="s">
        <v>794</v>
      </c>
      <c r="BF102">
        <v>59</v>
      </c>
      <c r="BG102" t="s">
        <v>420</v>
      </c>
      <c r="BH102" t="s">
        <v>421</v>
      </c>
      <c r="BI102" t="s">
        <v>428</v>
      </c>
      <c r="BJ102" t="s">
        <v>321</v>
      </c>
      <c r="BK102" t="s">
        <v>321</v>
      </c>
      <c r="BL102" t="s">
        <v>321</v>
      </c>
      <c r="BM102" t="s">
        <v>805</v>
      </c>
      <c r="BN102" t="s">
        <v>449</v>
      </c>
      <c r="BO102">
        <v>30</v>
      </c>
      <c r="BP102" t="s">
        <v>423</v>
      </c>
      <c r="BQ102" t="s">
        <v>424</v>
      </c>
      <c r="BR102" t="s">
        <v>321</v>
      </c>
      <c r="BS102" t="s">
        <v>321</v>
      </c>
      <c r="BT102" t="s">
        <v>321</v>
      </c>
      <c r="BU102" t="s">
        <v>321</v>
      </c>
      <c r="BV102" t="s">
        <v>321</v>
      </c>
      <c r="BW102" t="s">
        <v>321</v>
      </c>
      <c r="BX102" t="s">
        <v>321</v>
      </c>
      <c r="BY102" t="s">
        <v>321</v>
      </c>
      <c r="BZ102" t="s">
        <v>321</v>
      </c>
      <c r="CA102" t="s">
        <v>321</v>
      </c>
      <c r="CB102" t="s">
        <v>321</v>
      </c>
      <c r="CC102" t="s">
        <v>321</v>
      </c>
      <c r="CD102" t="s">
        <v>321</v>
      </c>
      <c r="CE102" t="s">
        <v>321</v>
      </c>
      <c r="CF102" t="s">
        <v>321</v>
      </c>
      <c r="CG102" t="s">
        <v>321</v>
      </c>
      <c r="CH102" t="s">
        <v>321</v>
      </c>
      <c r="CI102" t="s">
        <v>321</v>
      </c>
      <c r="CJ102" t="s">
        <v>321</v>
      </c>
      <c r="CK102" t="s">
        <v>321</v>
      </c>
      <c r="CL102" t="s">
        <v>321</v>
      </c>
      <c r="CM102" t="s">
        <v>321</v>
      </c>
      <c r="CN102" t="s">
        <v>321</v>
      </c>
      <c r="CO102" t="s">
        <v>321</v>
      </c>
      <c r="CP102" t="s">
        <v>321</v>
      </c>
      <c r="CQ102" t="s">
        <v>321</v>
      </c>
      <c r="CR102" t="s">
        <v>321</v>
      </c>
      <c r="CS102" t="s">
        <v>321</v>
      </c>
      <c r="CT102" t="s">
        <v>321</v>
      </c>
      <c r="CU102" t="s">
        <v>321</v>
      </c>
      <c r="CV102" t="s">
        <v>321</v>
      </c>
      <c r="CW102" t="s">
        <v>321</v>
      </c>
      <c r="CX102">
        <v>279107.40029999998</v>
      </c>
      <c r="CY102">
        <v>4925648.3650000002</v>
      </c>
      <c r="CZ102">
        <v>44.450403000000001</v>
      </c>
      <c r="DA102">
        <v>-95.776235</v>
      </c>
      <c r="DB102" s="291">
        <v>41690.80972222222</v>
      </c>
      <c r="DC102" t="s">
        <v>231</v>
      </c>
      <c r="DD102" t="s">
        <v>429</v>
      </c>
      <c r="DE102" t="s">
        <v>430</v>
      </c>
      <c r="DF102" t="s">
        <v>430</v>
      </c>
      <c r="DG102" t="s">
        <v>978</v>
      </c>
      <c r="DH102">
        <v>0</v>
      </c>
      <c r="DI102" t="s">
        <v>322</v>
      </c>
      <c r="DJ102">
        <v>100</v>
      </c>
      <c r="DK102">
        <v>15</v>
      </c>
    </row>
    <row r="103" spans="1:115" x14ac:dyDescent="0.25">
      <c r="A103">
        <v>102</v>
      </c>
      <c r="B103" t="s">
        <v>657</v>
      </c>
      <c r="C103">
        <v>1</v>
      </c>
      <c r="D103">
        <v>120</v>
      </c>
      <c r="E103">
        <v>10973680</v>
      </c>
      <c r="F103" t="s">
        <v>464</v>
      </c>
      <c r="G103">
        <v>19</v>
      </c>
      <c r="H103">
        <v>35.496000000000002</v>
      </c>
      <c r="I103" t="s">
        <v>297</v>
      </c>
      <c r="J103" t="s">
        <v>299</v>
      </c>
      <c r="K103" t="s">
        <v>321</v>
      </c>
      <c r="L103" t="s">
        <v>406</v>
      </c>
      <c r="M103" t="s">
        <v>299</v>
      </c>
      <c r="N103" t="s">
        <v>321</v>
      </c>
      <c r="O103" t="s">
        <v>977</v>
      </c>
      <c r="P103">
        <v>141280025</v>
      </c>
      <c r="Q103" s="290">
        <v>45051</v>
      </c>
      <c r="R103">
        <v>7</v>
      </c>
      <c r="S103">
        <v>2014</v>
      </c>
      <c r="T103" t="s">
        <v>494</v>
      </c>
      <c r="U103">
        <v>16</v>
      </c>
      <c r="V103" t="s">
        <v>321</v>
      </c>
      <c r="W103" t="s">
        <v>320</v>
      </c>
      <c r="X103">
        <v>0</v>
      </c>
      <c r="Y103">
        <v>2</v>
      </c>
      <c r="Z103" t="s">
        <v>463</v>
      </c>
      <c r="AA103" t="s">
        <v>409</v>
      </c>
      <c r="AB103" t="s">
        <v>452</v>
      </c>
      <c r="AC103" t="s">
        <v>433</v>
      </c>
      <c r="AD103" t="s">
        <v>412</v>
      </c>
      <c r="AE103" t="s">
        <v>412</v>
      </c>
      <c r="AF103" t="s">
        <v>434</v>
      </c>
      <c r="AG103" t="s">
        <v>414</v>
      </c>
      <c r="AH103" t="s">
        <v>976</v>
      </c>
      <c r="AI103" t="s">
        <v>852</v>
      </c>
      <c r="AJ103" t="s">
        <v>471</v>
      </c>
      <c r="AK103" t="s">
        <v>463</v>
      </c>
      <c r="AL103" t="s">
        <v>417</v>
      </c>
      <c r="AM103" t="s">
        <v>478</v>
      </c>
      <c r="AN103" t="s">
        <v>472</v>
      </c>
      <c r="AO103" t="s">
        <v>439</v>
      </c>
      <c r="AP103">
        <v>25</v>
      </c>
      <c r="AQ103" t="s">
        <v>420</v>
      </c>
      <c r="AR103" t="s">
        <v>421</v>
      </c>
      <c r="AS103" t="s">
        <v>877</v>
      </c>
      <c r="AT103" t="s">
        <v>806</v>
      </c>
      <c r="AU103" t="s">
        <v>321</v>
      </c>
      <c r="AV103" t="s">
        <v>321</v>
      </c>
      <c r="AW103" t="s">
        <v>321</v>
      </c>
      <c r="AX103" t="s">
        <v>449</v>
      </c>
      <c r="AY103">
        <v>30</v>
      </c>
      <c r="AZ103" t="s">
        <v>423</v>
      </c>
      <c r="BA103" t="s">
        <v>424</v>
      </c>
      <c r="BB103" t="s">
        <v>417</v>
      </c>
      <c r="BC103" t="s">
        <v>817</v>
      </c>
      <c r="BD103" t="s">
        <v>453</v>
      </c>
      <c r="BE103" t="s">
        <v>426</v>
      </c>
      <c r="BF103">
        <v>25</v>
      </c>
      <c r="BG103" t="s">
        <v>427</v>
      </c>
      <c r="BH103" t="s">
        <v>421</v>
      </c>
      <c r="BI103" t="s">
        <v>806</v>
      </c>
      <c r="BJ103" t="s">
        <v>321</v>
      </c>
      <c r="BK103" t="s">
        <v>321</v>
      </c>
      <c r="BL103" t="s">
        <v>321</v>
      </c>
      <c r="BM103" t="s">
        <v>321</v>
      </c>
      <c r="BN103" t="s">
        <v>449</v>
      </c>
      <c r="BO103">
        <v>30</v>
      </c>
      <c r="BP103" t="s">
        <v>423</v>
      </c>
      <c r="BQ103" t="s">
        <v>424</v>
      </c>
      <c r="BR103" t="s">
        <v>321</v>
      </c>
      <c r="BS103" t="s">
        <v>321</v>
      </c>
      <c r="BT103" t="s">
        <v>321</v>
      </c>
      <c r="BU103" t="s">
        <v>321</v>
      </c>
      <c r="BV103" t="s">
        <v>321</v>
      </c>
      <c r="BW103" t="s">
        <v>321</v>
      </c>
      <c r="BX103" t="s">
        <v>321</v>
      </c>
      <c r="BY103" t="s">
        <v>321</v>
      </c>
      <c r="BZ103" t="s">
        <v>321</v>
      </c>
      <c r="CA103" t="s">
        <v>321</v>
      </c>
      <c r="CB103" t="s">
        <v>321</v>
      </c>
      <c r="CC103" t="s">
        <v>321</v>
      </c>
      <c r="CD103" t="s">
        <v>321</v>
      </c>
      <c r="CE103" t="s">
        <v>321</v>
      </c>
      <c r="CF103" t="s">
        <v>321</v>
      </c>
      <c r="CG103" t="s">
        <v>321</v>
      </c>
      <c r="CH103" t="s">
        <v>321</v>
      </c>
      <c r="CI103" t="s">
        <v>321</v>
      </c>
      <c r="CJ103" t="s">
        <v>321</v>
      </c>
      <c r="CK103" t="s">
        <v>321</v>
      </c>
      <c r="CL103" t="s">
        <v>321</v>
      </c>
      <c r="CM103" t="s">
        <v>321</v>
      </c>
      <c r="CN103" t="s">
        <v>321</v>
      </c>
      <c r="CO103" t="s">
        <v>321</v>
      </c>
      <c r="CP103" t="s">
        <v>321</v>
      </c>
      <c r="CQ103" t="s">
        <v>321</v>
      </c>
      <c r="CR103" t="s">
        <v>321</v>
      </c>
      <c r="CS103" t="s">
        <v>321</v>
      </c>
      <c r="CT103" t="s">
        <v>321</v>
      </c>
      <c r="CU103" t="s">
        <v>321</v>
      </c>
      <c r="CV103" t="s">
        <v>321</v>
      </c>
      <c r="CW103" t="s">
        <v>321</v>
      </c>
      <c r="CX103">
        <v>279107.40029999998</v>
      </c>
      <c r="CY103">
        <v>4925648.3650000002</v>
      </c>
      <c r="CZ103">
        <v>44.450403000000001</v>
      </c>
      <c r="DA103">
        <v>-95.776235</v>
      </c>
      <c r="DB103" s="291">
        <v>41766.680555555555</v>
      </c>
      <c r="DC103" t="s">
        <v>231</v>
      </c>
      <c r="DD103" t="s">
        <v>429</v>
      </c>
      <c r="DE103" t="s">
        <v>430</v>
      </c>
      <c r="DF103" t="s">
        <v>430</v>
      </c>
      <c r="DG103" t="s">
        <v>975</v>
      </c>
      <c r="DH103">
        <v>0</v>
      </c>
      <c r="DI103" t="s">
        <v>322</v>
      </c>
      <c r="DJ103">
        <v>100</v>
      </c>
      <c r="DK103">
        <v>15</v>
      </c>
    </row>
    <row r="104" spans="1:115" x14ac:dyDescent="0.25">
      <c r="A104">
        <v>103</v>
      </c>
      <c r="B104" t="s">
        <v>657</v>
      </c>
      <c r="C104">
        <v>1</v>
      </c>
      <c r="D104">
        <v>121</v>
      </c>
      <c r="E104">
        <v>11067299</v>
      </c>
      <c r="F104" t="s">
        <v>464</v>
      </c>
      <c r="G104">
        <v>19</v>
      </c>
      <c r="H104">
        <v>35.496000000000002</v>
      </c>
      <c r="I104" t="s">
        <v>297</v>
      </c>
      <c r="J104" t="s">
        <v>299</v>
      </c>
      <c r="K104" t="s">
        <v>321</v>
      </c>
      <c r="L104" t="s">
        <v>406</v>
      </c>
      <c r="M104" t="s">
        <v>299</v>
      </c>
      <c r="N104" t="s">
        <v>321</v>
      </c>
      <c r="O104" t="s">
        <v>974</v>
      </c>
      <c r="P104">
        <v>152580120</v>
      </c>
      <c r="Q104" s="290">
        <v>45178</v>
      </c>
      <c r="R104">
        <v>15</v>
      </c>
      <c r="S104">
        <v>2015</v>
      </c>
      <c r="T104" t="s">
        <v>407</v>
      </c>
      <c r="U104">
        <v>9</v>
      </c>
      <c r="V104" t="s">
        <v>321</v>
      </c>
      <c r="W104" t="s">
        <v>319</v>
      </c>
      <c r="X104">
        <v>0</v>
      </c>
      <c r="Y104">
        <v>2</v>
      </c>
      <c r="Z104" t="s">
        <v>451</v>
      </c>
      <c r="AA104" t="s">
        <v>409</v>
      </c>
      <c r="AB104" t="s">
        <v>452</v>
      </c>
      <c r="AC104" t="s">
        <v>433</v>
      </c>
      <c r="AD104" t="s">
        <v>412</v>
      </c>
      <c r="AE104" t="s">
        <v>321</v>
      </c>
      <c r="AF104" t="s">
        <v>434</v>
      </c>
      <c r="AG104" t="s">
        <v>414</v>
      </c>
      <c r="AH104" t="s">
        <v>796</v>
      </c>
      <c r="AI104" t="s">
        <v>973</v>
      </c>
      <c r="AJ104" t="s">
        <v>471</v>
      </c>
      <c r="AK104" t="s">
        <v>451</v>
      </c>
      <c r="AL104" t="s">
        <v>417</v>
      </c>
      <c r="AM104" t="s">
        <v>817</v>
      </c>
      <c r="AN104" t="s">
        <v>448</v>
      </c>
      <c r="AO104" t="s">
        <v>426</v>
      </c>
      <c r="AP104">
        <v>88</v>
      </c>
      <c r="AQ104" t="s">
        <v>420</v>
      </c>
      <c r="AR104" t="s">
        <v>421</v>
      </c>
      <c r="AS104" t="s">
        <v>321</v>
      </c>
      <c r="AT104" t="s">
        <v>321</v>
      </c>
      <c r="AU104" t="s">
        <v>321</v>
      </c>
      <c r="AV104" t="s">
        <v>321</v>
      </c>
      <c r="AW104" t="s">
        <v>850</v>
      </c>
      <c r="AX104" t="s">
        <v>449</v>
      </c>
      <c r="AY104">
        <v>30</v>
      </c>
      <c r="AZ104" t="s">
        <v>423</v>
      </c>
      <c r="BA104" t="s">
        <v>424</v>
      </c>
      <c r="BB104" t="s">
        <v>417</v>
      </c>
      <c r="BC104" t="s">
        <v>425</v>
      </c>
      <c r="BD104" t="s">
        <v>472</v>
      </c>
      <c r="BE104" t="s">
        <v>426</v>
      </c>
      <c r="BF104">
        <v>34</v>
      </c>
      <c r="BG104" t="s">
        <v>420</v>
      </c>
      <c r="BH104" t="s">
        <v>421</v>
      </c>
      <c r="BI104" t="s">
        <v>321</v>
      </c>
      <c r="BJ104" t="s">
        <v>321</v>
      </c>
      <c r="BK104" t="s">
        <v>321</v>
      </c>
      <c r="BL104" t="s">
        <v>321</v>
      </c>
      <c r="BM104" t="s">
        <v>850</v>
      </c>
      <c r="BN104" t="s">
        <v>449</v>
      </c>
      <c r="BO104">
        <v>30</v>
      </c>
      <c r="BP104" t="s">
        <v>423</v>
      </c>
      <c r="BQ104" t="s">
        <v>424</v>
      </c>
      <c r="BR104" t="s">
        <v>321</v>
      </c>
      <c r="BS104" t="s">
        <v>321</v>
      </c>
      <c r="BT104" t="s">
        <v>321</v>
      </c>
      <c r="BU104" t="s">
        <v>321</v>
      </c>
      <c r="BV104" t="s">
        <v>321</v>
      </c>
      <c r="BW104" t="s">
        <v>321</v>
      </c>
      <c r="BX104" t="s">
        <v>321</v>
      </c>
      <c r="BY104" t="s">
        <v>321</v>
      </c>
      <c r="BZ104" t="s">
        <v>321</v>
      </c>
      <c r="CA104" t="s">
        <v>321</v>
      </c>
      <c r="CB104" t="s">
        <v>321</v>
      </c>
      <c r="CC104" t="s">
        <v>321</v>
      </c>
      <c r="CD104" t="s">
        <v>321</v>
      </c>
      <c r="CE104" t="s">
        <v>321</v>
      </c>
      <c r="CF104" t="s">
        <v>321</v>
      </c>
      <c r="CG104" t="s">
        <v>321</v>
      </c>
      <c r="CH104" t="s">
        <v>321</v>
      </c>
      <c r="CI104" t="s">
        <v>321</v>
      </c>
      <c r="CJ104" t="s">
        <v>321</v>
      </c>
      <c r="CK104" t="s">
        <v>321</v>
      </c>
      <c r="CL104" t="s">
        <v>321</v>
      </c>
      <c r="CM104" t="s">
        <v>321</v>
      </c>
      <c r="CN104" t="s">
        <v>321</v>
      </c>
      <c r="CO104" t="s">
        <v>321</v>
      </c>
      <c r="CP104" t="s">
        <v>321</v>
      </c>
      <c r="CQ104" t="s">
        <v>321</v>
      </c>
      <c r="CR104" t="s">
        <v>321</v>
      </c>
      <c r="CS104" t="s">
        <v>321</v>
      </c>
      <c r="CT104" t="s">
        <v>321</v>
      </c>
      <c r="CU104" t="s">
        <v>321</v>
      </c>
      <c r="CV104" t="s">
        <v>321</v>
      </c>
      <c r="CW104" t="s">
        <v>321</v>
      </c>
      <c r="CX104">
        <v>279107.40029999998</v>
      </c>
      <c r="CY104">
        <v>4925648.3650000002</v>
      </c>
      <c r="CZ104">
        <v>44.450403000000001</v>
      </c>
      <c r="DA104">
        <v>-95.776235</v>
      </c>
      <c r="DB104" s="291">
        <v>42262.381944444445</v>
      </c>
      <c r="DC104" t="s">
        <v>231</v>
      </c>
      <c r="DD104" t="s">
        <v>429</v>
      </c>
      <c r="DE104" t="s">
        <v>430</v>
      </c>
      <c r="DF104" t="s">
        <v>430</v>
      </c>
      <c r="DG104" t="s">
        <v>972</v>
      </c>
      <c r="DH104">
        <v>0</v>
      </c>
      <c r="DI104" t="s">
        <v>322</v>
      </c>
      <c r="DJ104">
        <v>100</v>
      </c>
      <c r="DK104">
        <v>15</v>
      </c>
    </row>
    <row r="105" spans="1:115" x14ac:dyDescent="0.25">
      <c r="A105">
        <v>104</v>
      </c>
      <c r="B105" t="s">
        <v>657</v>
      </c>
      <c r="C105">
        <v>1</v>
      </c>
      <c r="D105">
        <v>122</v>
      </c>
      <c r="E105">
        <v>11072468</v>
      </c>
      <c r="F105" t="s">
        <v>464</v>
      </c>
      <c r="G105">
        <v>19</v>
      </c>
      <c r="H105">
        <v>35.496000000000002</v>
      </c>
      <c r="I105" t="s">
        <v>297</v>
      </c>
      <c r="J105" t="s">
        <v>299</v>
      </c>
      <c r="K105" t="s">
        <v>321</v>
      </c>
      <c r="L105" t="s">
        <v>406</v>
      </c>
      <c r="M105" t="s">
        <v>299</v>
      </c>
      <c r="N105" t="s">
        <v>321</v>
      </c>
      <c r="O105" s="292">
        <v>202000000000</v>
      </c>
      <c r="P105">
        <v>152960120</v>
      </c>
      <c r="Q105" s="290">
        <v>45209</v>
      </c>
      <c r="R105">
        <v>23</v>
      </c>
      <c r="S105">
        <v>2015</v>
      </c>
      <c r="T105" t="s">
        <v>485</v>
      </c>
      <c r="U105">
        <v>11</v>
      </c>
      <c r="V105" t="s">
        <v>321</v>
      </c>
      <c r="W105" t="s">
        <v>319</v>
      </c>
      <c r="X105">
        <v>0</v>
      </c>
      <c r="Y105">
        <v>2</v>
      </c>
      <c r="Z105" t="s">
        <v>797</v>
      </c>
      <c r="AA105" t="s">
        <v>409</v>
      </c>
      <c r="AB105" t="s">
        <v>410</v>
      </c>
      <c r="AC105" t="s">
        <v>433</v>
      </c>
      <c r="AD105" t="s">
        <v>446</v>
      </c>
      <c r="AE105" t="s">
        <v>521</v>
      </c>
      <c r="AF105" t="s">
        <v>523</v>
      </c>
      <c r="AG105" t="s">
        <v>414</v>
      </c>
      <c r="AH105" t="s">
        <v>852</v>
      </c>
      <c r="AI105" t="s">
        <v>971</v>
      </c>
      <c r="AJ105" t="s">
        <v>471</v>
      </c>
      <c r="AK105" t="s">
        <v>447</v>
      </c>
      <c r="AL105" t="s">
        <v>417</v>
      </c>
      <c r="AM105" t="s">
        <v>425</v>
      </c>
      <c r="AN105" t="s">
        <v>448</v>
      </c>
      <c r="AO105" t="s">
        <v>426</v>
      </c>
      <c r="AP105">
        <v>30</v>
      </c>
      <c r="AQ105" t="s">
        <v>427</v>
      </c>
      <c r="AR105" t="s">
        <v>421</v>
      </c>
      <c r="AS105" t="s">
        <v>428</v>
      </c>
      <c r="AT105" t="s">
        <v>321</v>
      </c>
      <c r="AU105" t="s">
        <v>321</v>
      </c>
      <c r="AV105" t="s">
        <v>321</v>
      </c>
      <c r="AW105" t="s">
        <v>850</v>
      </c>
      <c r="AX105" t="s">
        <v>422</v>
      </c>
      <c r="AY105">
        <v>30</v>
      </c>
      <c r="AZ105" t="s">
        <v>423</v>
      </c>
      <c r="BA105" t="s">
        <v>424</v>
      </c>
      <c r="BB105" t="s">
        <v>417</v>
      </c>
      <c r="BC105" t="s">
        <v>425</v>
      </c>
      <c r="BD105" t="s">
        <v>448</v>
      </c>
      <c r="BE105" t="s">
        <v>426</v>
      </c>
      <c r="BF105">
        <v>40</v>
      </c>
      <c r="BG105" t="s">
        <v>427</v>
      </c>
      <c r="BH105" t="s">
        <v>421</v>
      </c>
      <c r="BI105" t="s">
        <v>538</v>
      </c>
      <c r="BJ105" t="s">
        <v>806</v>
      </c>
      <c r="BK105" t="s">
        <v>321</v>
      </c>
      <c r="BL105" t="s">
        <v>321</v>
      </c>
      <c r="BM105" t="s">
        <v>850</v>
      </c>
      <c r="BN105" t="s">
        <v>422</v>
      </c>
      <c r="BO105">
        <v>30</v>
      </c>
      <c r="BP105" t="s">
        <v>423</v>
      </c>
      <c r="BQ105" t="s">
        <v>424</v>
      </c>
      <c r="BR105" t="s">
        <v>321</v>
      </c>
      <c r="BS105" t="s">
        <v>321</v>
      </c>
      <c r="BT105" t="s">
        <v>321</v>
      </c>
      <c r="BU105" t="s">
        <v>321</v>
      </c>
      <c r="BV105" t="s">
        <v>321</v>
      </c>
      <c r="BW105" t="s">
        <v>321</v>
      </c>
      <c r="BX105" t="s">
        <v>321</v>
      </c>
      <c r="BY105" t="s">
        <v>321</v>
      </c>
      <c r="BZ105" t="s">
        <v>321</v>
      </c>
      <c r="CA105" t="s">
        <v>321</v>
      </c>
      <c r="CB105" t="s">
        <v>321</v>
      </c>
      <c r="CC105" t="s">
        <v>321</v>
      </c>
      <c r="CD105" t="s">
        <v>321</v>
      </c>
      <c r="CE105" t="s">
        <v>321</v>
      </c>
      <c r="CF105" t="s">
        <v>321</v>
      </c>
      <c r="CG105" t="s">
        <v>321</v>
      </c>
      <c r="CH105" t="s">
        <v>321</v>
      </c>
      <c r="CI105" t="s">
        <v>321</v>
      </c>
      <c r="CJ105" t="s">
        <v>321</v>
      </c>
      <c r="CK105" t="s">
        <v>321</v>
      </c>
      <c r="CL105" t="s">
        <v>321</v>
      </c>
      <c r="CM105" t="s">
        <v>321</v>
      </c>
      <c r="CN105" t="s">
        <v>321</v>
      </c>
      <c r="CO105" t="s">
        <v>321</v>
      </c>
      <c r="CP105" t="s">
        <v>321</v>
      </c>
      <c r="CQ105" t="s">
        <v>321</v>
      </c>
      <c r="CR105" t="s">
        <v>321</v>
      </c>
      <c r="CS105" t="s">
        <v>321</v>
      </c>
      <c r="CT105" t="s">
        <v>321</v>
      </c>
      <c r="CU105" t="s">
        <v>321</v>
      </c>
      <c r="CV105" t="s">
        <v>321</v>
      </c>
      <c r="CW105" t="s">
        <v>321</v>
      </c>
      <c r="CX105">
        <v>279107.40029999998</v>
      </c>
      <c r="CY105">
        <v>4925648.3650000002</v>
      </c>
      <c r="CZ105">
        <v>44.450403000000001</v>
      </c>
      <c r="DA105">
        <v>-95.776235</v>
      </c>
      <c r="DB105" s="291">
        <v>42300.487500000003</v>
      </c>
      <c r="DC105" t="s">
        <v>231</v>
      </c>
      <c r="DD105" t="s">
        <v>429</v>
      </c>
      <c r="DE105" t="s">
        <v>430</v>
      </c>
      <c r="DF105" t="s">
        <v>430</v>
      </c>
      <c r="DG105" t="s">
        <v>970</v>
      </c>
      <c r="DH105">
        <v>0</v>
      </c>
      <c r="DI105" t="s">
        <v>322</v>
      </c>
      <c r="DJ105">
        <v>100</v>
      </c>
      <c r="DK105">
        <v>15</v>
      </c>
    </row>
    <row r="106" spans="1:115" x14ac:dyDescent="0.25">
      <c r="A106">
        <v>105</v>
      </c>
      <c r="B106" t="s">
        <v>657</v>
      </c>
      <c r="C106">
        <v>1</v>
      </c>
      <c r="D106">
        <v>123</v>
      </c>
      <c r="E106">
        <v>911833</v>
      </c>
      <c r="F106" t="s">
        <v>464</v>
      </c>
      <c r="G106">
        <v>19</v>
      </c>
      <c r="H106">
        <v>35.496000000000002</v>
      </c>
      <c r="I106" t="s">
        <v>297</v>
      </c>
      <c r="J106" t="s">
        <v>299</v>
      </c>
      <c r="K106" t="s">
        <v>321</v>
      </c>
      <c r="L106" t="s">
        <v>406</v>
      </c>
      <c r="M106" t="s">
        <v>299</v>
      </c>
      <c r="N106" t="s">
        <v>321</v>
      </c>
      <c r="O106" s="292">
        <v>202000000000</v>
      </c>
      <c r="P106">
        <v>211620198</v>
      </c>
      <c r="Q106" s="290">
        <v>45083</v>
      </c>
      <c r="R106">
        <v>11</v>
      </c>
      <c r="S106">
        <v>2021</v>
      </c>
      <c r="T106" t="s">
        <v>485</v>
      </c>
      <c r="U106">
        <v>15</v>
      </c>
      <c r="V106" t="s">
        <v>495</v>
      </c>
      <c r="W106" t="s">
        <v>320</v>
      </c>
      <c r="X106">
        <v>0</v>
      </c>
      <c r="Y106">
        <v>2</v>
      </c>
      <c r="Z106" t="s">
        <v>568</v>
      </c>
      <c r="AA106" t="s">
        <v>409</v>
      </c>
      <c r="AB106" t="s">
        <v>452</v>
      </c>
      <c r="AC106" t="s">
        <v>433</v>
      </c>
      <c r="AD106" t="s">
        <v>412</v>
      </c>
      <c r="AE106" t="s">
        <v>321</v>
      </c>
      <c r="AF106" t="s">
        <v>434</v>
      </c>
      <c r="AG106" t="s">
        <v>414</v>
      </c>
      <c r="AH106" t="s">
        <v>477</v>
      </c>
      <c r="AI106" t="s">
        <v>321</v>
      </c>
      <c r="AJ106" t="s">
        <v>471</v>
      </c>
      <c r="AK106" t="s">
        <v>578</v>
      </c>
      <c r="AL106" t="s">
        <v>417</v>
      </c>
      <c r="AM106" t="s">
        <v>425</v>
      </c>
      <c r="AN106" t="s">
        <v>472</v>
      </c>
      <c r="AO106" t="s">
        <v>487</v>
      </c>
      <c r="AP106">
        <v>16</v>
      </c>
      <c r="AQ106" t="s">
        <v>427</v>
      </c>
      <c r="AR106" t="s">
        <v>421</v>
      </c>
      <c r="AS106" t="s">
        <v>454</v>
      </c>
      <c r="AT106" t="s">
        <v>321</v>
      </c>
      <c r="AU106" t="s">
        <v>321</v>
      </c>
      <c r="AV106" t="s">
        <v>321</v>
      </c>
      <c r="AW106" t="s">
        <v>441</v>
      </c>
      <c r="AX106" t="s">
        <v>449</v>
      </c>
      <c r="AY106">
        <v>30</v>
      </c>
      <c r="AZ106" t="s">
        <v>423</v>
      </c>
      <c r="BA106" t="s">
        <v>424</v>
      </c>
      <c r="BB106" t="s">
        <v>417</v>
      </c>
      <c r="BC106" t="s">
        <v>418</v>
      </c>
      <c r="BD106" t="s">
        <v>453</v>
      </c>
      <c r="BE106" t="s">
        <v>426</v>
      </c>
      <c r="BF106">
        <v>34</v>
      </c>
      <c r="BG106" t="s">
        <v>427</v>
      </c>
      <c r="BH106" t="s">
        <v>421</v>
      </c>
      <c r="BI106" t="s">
        <v>430</v>
      </c>
      <c r="BJ106" t="s">
        <v>321</v>
      </c>
      <c r="BK106" t="s">
        <v>321</v>
      </c>
      <c r="BL106" t="s">
        <v>321</v>
      </c>
      <c r="BM106" t="s">
        <v>441</v>
      </c>
      <c r="BN106" t="s">
        <v>449</v>
      </c>
      <c r="BO106">
        <v>30</v>
      </c>
      <c r="BP106" t="s">
        <v>423</v>
      </c>
      <c r="BQ106" t="s">
        <v>424</v>
      </c>
      <c r="BR106" t="s">
        <v>321</v>
      </c>
      <c r="BS106" t="s">
        <v>321</v>
      </c>
      <c r="BT106" t="s">
        <v>321</v>
      </c>
      <c r="BU106" t="s">
        <v>321</v>
      </c>
      <c r="BV106" t="s">
        <v>321</v>
      </c>
      <c r="BW106" t="s">
        <v>321</v>
      </c>
      <c r="BX106" t="s">
        <v>321</v>
      </c>
      <c r="BY106" t="s">
        <v>321</v>
      </c>
      <c r="BZ106" t="s">
        <v>321</v>
      </c>
      <c r="CA106" t="s">
        <v>321</v>
      </c>
      <c r="CB106" t="s">
        <v>321</v>
      </c>
      <c r="CC106" t="s">
        <v>321</v>
      </c>
      <c r="CD106" t="s">
        <v>321</v>
      </c>
      <c r="CE106" t="s">
        <v>321</v>
      </c>
      <c r="CF106" t="s">
        <v>321</v>
      </c>
      <c r="CG106" t="s">
        <v>321</v>
      </c>
      <c r="CH106" t="s">
        <v>321</v>
      </c>
      <c r="CI106" t="s">
        <v>321</v>
      </c>
      <c r="CJ106" t="s">
        <v>321</v>
      </c>
      <c r="CK106" t="s">
        <v>321</v>
      </c>
      <c r="CL106" t="s">
        <v>321</v>
      </c>
      <c r="CM106" t="s">
        <v>321</v>
      </c>
      <c r="CN106" t="s">
        <v>321</v>
      </c>
      <c r="CO106" t="s">
        <v>321</v>
      </c>
      <c r="CP106" t="s">
        <v>321</v>
      </c>
      <c r="CQ106" t="s">
        <v>321</v>
      </c>
      <c r="CR106" t="s">
        <v>321</v>
      </c>
      <c r="CS106" t="s">
        <v>321</v>
      </c>
      <c r="CT106" t="s">
        <v>321</v>
      </c>
      <c r="CU106" t="s">
        <v>321</v>
      </c>
      <c r="CV106" t="s">
        <v>321</v>
      </c>
      <c r="CW106" t="s">
        <v>321</v>
      </c>
      <c r="CX106">
        <v>279107.64500000002</v>
      </c>
      <c r="CY106">
        <v>4925648.3559999997</v>
      </c>
      <c r="CZ106">
        <v>44.450403000000001</v>
      </c>
      <c r="DA106">
        <v>-95.776231999999993</v>
      </c>
      <c r="DB106" s="291">
        <v>44358.663194444445</v>
      </c>
      <c r="DC106" t="s">
        <v>231</v>
      </c>
      <c r="DD106" t="s">
        <v>429</v>
      </c>
      <c r="DE106" t="s">
        <v>455</v>
      </c>
      <c r="DF106" t="s">
        <v>456</v>
      </c>
      <c r="DG106" t="s">
        <v>621</v>
      </c>
      <c r="DH106">
        <v>0</v>
      </c>
      <c r="DI106" t="s">
        <v>322</v>
      </c>
      <c r="DJ106">
        <v>100</v>
      </c>
      <c r="DK106">
        <v>15</v>
      </c>
    </row>
    <row r="107" spans="1:115" x14ac:dyDescent="0.25">
      <c r="A107">
        <v>106</v>
      </c>
      <c r="B107" t="s">
        <v>657</v>
      </c>
      <c r="C107">
        <v>1</v>
      </c>
      <c r="D107">
        <v>124</v>
      </c>
      <c r="E107">
        <v>672041</v>
      </c>
      <c r="F107" t="s">
        <v>464</v>
      </c>
      <c r="G107">
        <v>19</v>
      </c>
      <c r="H107">
        <v>35.497</v>
      </c>
      <c r="I107" t="s">
        <v>297</v>
      </c>
      <c r="J107" t="s">
        <v>299</v>
      </c>
      <c r="K107" t="s">
        <v>321</v>
      </c>
      <c r="L107" t="s">
        <v>406</v>
      </c>
      <c r="M107" t="s">
        <v>299</v>
      </c>
      <c r="N107" t="s">
        <v>321</v>
      </c>
      <c r="O107">
        <v>2018022898</v>
      </c>
      <c r="P107">
        <v>183620229</v>
      </c>
      <c r="Q107" s="290">
        <v>45272</v>
      </c>
      <c r="R107">
        <v>28</v>
      </c>
      <c r="S107">
        <v>2018</v>
      </c>
      <c r="T107" t="s">
        <v>485</v>
      </c>
      <c r="U107">
        <v>18</v>
      </c>
      <c r="V107" t="s">
        <v>422</v>
      </c>
      <c r="W107" t="s">
        <v>320</v>
      </c>
      <c r="X107">
        <v>0</v>
      </c>
      <c r="Y107">
        <v>2</v>
      </c>
      <c r="Z107" t="s">
        <v>451</v>
      </c>
      <c r="AA107" t="s">
        <v>409</v>
      </c>
      <c r="AB107" t="s">
        <v>452</v>
      </c>
      <c r="AC107" t="s">
        <v>411</v>
      </c>
      <c r="AD107" t="s">
        <v>412</v>
      </c>
      <c r="AE107" t="s">
        <v>321</v>
      </c>
      <c r="AF107" t="s">
        <v>413</v>
      </c>
      <c r="AG107" t="s">
        <v>414</v>
      </c>
      <c r="AH107" t="s">
        <v>477</v>
      </c>
      <c r="AI107" t="s">
        <v>321</v>
      </c>
      <c r="AJ107" t="s">
        <v>471</v>
      </c>
      <c r="AK107" t="s">
        <v>486</v>
      </c>
      <c r="AL107" t="s">
        <v>417</v>
      </c>
      <c r="AM107" t="s">
        <v>425</v>
      </c>
      <c r="AN107" t="s">
        <v>461</v>
      </c>
      <c r="AO107" t="s">
        <v>487</v>
      </c>
      <c r="AP107">
        <v>21</v>
      </c>
      <c r="AQ107" t="s">
        <v>420</v>
      </c>
      <c r="AR107" t="s">
        <v>421</v>
      </c>
      <c r="AS107" t="s">
        <v>430</v>
      </c>
      <c r="AT107" t="s">
        <v>321</v>
      </c>
      <c r="AU107" t="s">
        <v>321</v>
      </c>
      <c r="AV107" t="s">
        <v>321</v>
      </c>
      <c r="AW107" t="s">
        <v>441</v>
      </c>
      <c r="AX107" t="s">
        <v>449</v>
      </c>
      <c r="AY107">
        <v>30</v>
      </c>
      <c r="AZ107" t="s">
        <v>423</v>
      </c>
      <c r="BA107" t="s">
        <v>424</v>
      </c>
      <c r="BB107" t="s">
        <v>417</v>
      </c>
      <c r="BC107" t="s">
        <v>425</v>
      </c>
      <c r="BD107" t="s">
        <v>448</v>
      </c>
      <c r="BE107" t="s">
        <v>426</v>
      </c>
      <c r="BF107">
        <v>54</v>
      </c>
      <c r="BG107" t="s">
        <v>427</v>
      </c>
      <c r="BH107" t="s">
        <v>421</v>
      </c>
      <c r="BI107" t="s">
        <v>430</v>
      </c>
      <c r="BJ107" t="s">
        <v>321</v>
      </c>
      <c r="BK107" t="s">
        <v>321</v>
      </c>
      <c r="BL107" t="s">
        <v>321</v>
      </c>
      <c r="BM107" t="s">
        <v>441</v>
      </c>
      <c r="BN107" t="s">
        <v>449</v>
      </c>
      <c r="BO107">
        <v>30</v>
      </c>
      <c r="BP107" t="s">
        <v>423</v>
      </c>
      <c r="BQ107" t="s">
        <v>424</v>
      </c>
      <c r="BR107" t="s">
        <v>321</v>
      </c>
      <c r="BS107" t="s">
        <v>321</v>
      </c>
      <c r="BT107" t="s">
        <v>321</v>
      </c>
      <c r="BU107" t="s">
        <v>321</v>
      </c>
      <c r="BV107" t="s">
        <v>321</v>
      </c>
      <c r="BW107" t="s">
        <v>321</v>
      </c>
      <c r="BX107" t="s">
        <v>321</v>
      </c>
      <c r="BY107" t="s">
        <v>321</v>
      </c>
      <c r="BZ107" t="s">
        <v>321</v>
      </c>
      <c r="CA107" t="s">
        <v>321</v>
      </c>
      <c r="CB107" t="s">
        <v>321</v>
      </c>
      <c r="CC107" t="s">
        <v>321</v>
      </c>
      <c r="CD107" t="s">
        <v>321</v>
      </c>
      <c r="CE107" t="s">
        <v>321</v>
      </c>
      <c r="CF107" t="s">
        <v>321</v>
      </c>
      <c r="CG107" t="s">
        <v>321</v>
      </c>
      <c r="CH107" t="s">
        <v>321</v>
      </c>
      <c r="CI107" t="s">
        <v>321</v>
      </c>
      <c r="CJ107" t="s">
        <v>321</v>
      </c>
      <c r="CK107" t="s">
        <v>321</v>
      </c>
      <c r="CL107" t="s">
        <v>321</v>
      </c>
      <c r="CM107" t="s">
        <v>321</v>
      </c>
      <c r="CN107" t="s">
        <v>321</v>
      </c>
      <c r="CO107" t="s">
        <v>321</v>
      </c>
      <c r="CP107" t="s">
        <v>321</v>
      </c>
      <c r="CQ107" t="s">
        <v>321</v>
      </c>
      <c r="CR107" t="s">
        <v>321</v>
      </c>
      <c r="CS107" t="s">
        <v>321</v>
      </c>
      <c r="CT107" t="s">
        <v>321</v>
      </c>
      <c r="CU107" t="s">
        <v>321</v>
      </c>
      <c r="CV107" t="s">
        <v>321</v>
      </c>
      <c r="CW107" t="s">
        <v>321</v>
      </c>
      <c r="CX107">
        <v>279109.02879999997</v>
      </c>
      <c r="CY107">
        <v>4925648.301</v>
      </c>
      <c r="CZ107">
        <v>44.450403000000001</v>
      </c>
      <c r="DA107">
        <v>-95.776214999999993</v>
      </c>
      <c r="DB107" s="291">
        <v>43462.775694444441</v>
      </c>
      <c r="DC107" t="s">
        <v>231</v>
      </c>
      <c r="DD107" t="s">
        <v>429</v>
      </c>
      <c r="DE107" t="s">
        <v>455</v>
      </c>
      <c r="DF107" t="s">
        <v>456</v>
      </c>
      <c r="DG107" t="s">
        <v>969</v>
      </c>
      <c r="DH107">
        <v>0</v>
      </c>
      <c r="DI107" t="s">
        <v>322</v>
      </c>
      <c r="DJ107">
        <v>100</v>
      </c>
      <c r="DK107">
        <v>15</v>
      </c>
    </row>
    <row r="108" spans="1:115" x14ac:dyDescent="0.25">
      <c r="A108">
        <v>107</v>
      </c>
      <c r="B108" t="s">
        <v>657</v>
      </c>
      <c r="C108">
        <v>1</v>
      </c>
      <c r="D108">
        <v>125</v>
      </c>
      <c r="E108">
        <v>797494</v>
      </c>
      <c r="F108" t="s">
        <v>464</v>
      </c>
      <c r="G108">
        <v>19</v>
      </c>
      <c r="H108">
        <v>35.497999999999998</v>
      </c>
      <c r="I108" t="s">
        <v>297</v>
      </c>
      <c r="J108" t="s">
        <v>299</v>
      </c>
      <c r="K108" t="s">
        <v>321</v>
      </c>
      <c r="L108" t="s">
        <v>406</v>
      </c>
      <c r="M108" t="s">
        <v>299</v>
      </c>
      <c r="N108" t="s">
        <v>321</v>
      </c>
      <c r="O108" t="s">
        <v>622</v>
      </c>
      <c r="P108">
        <v>200440066</v>
      </c>
      <c r="Q108" s="290">
        <v>44959</v>
      </c>
      <c r="R108">
        <v>13</v>
      </c>
      <c r="S108">
        <v>2020</v>
      </c>
      <c r="T108" t="s">
        <v>458</v>
      </c>
      <c r="U108">
        <v>13</v>
      </c>
      <c r="V108" t="s">
        <v>495</v>
      </c>
      <c r="W108" t="s">
        <v>320</v>
      </c>
      <c r="X108">
        <v>0</v>
      </c>
      <c r="Y108">
        <v>3</v>
      </c>
      <c r="Z108" t="s">
        <v>476</v>
      </c>
      <c r="AA108" t="s">
        <v>409</v>
      </c>
      <c r="AB108" t="s">
        <v>452</v>
      </c>
      <c r="AC108" t="s">
        <v>433</v>
      </c>
      <c r="AD108" t="s">
        <v>412</v>
      </c>
      <c r="AE108" t="s">
        <v>321</v>
      </c>
      <c r="AF108" t="s">
        <v>434</v>
      </c>
      <c r="AG108" t="s">
        <v>414</v>
      </c>
      <c r="AH108" t="s">
        <v>477</v>
      </c>
      <c r="AI108" t="s">
        <v>571</v>
      </c>
      <c r="AJ108" t="s">
        <v>471</v>
      </c>
      <c r="AK108" t="s">
        <v>447</v>
      </c>
      <c r="AL108" t="s">
        <v>417</v>
      </c>
      <c r="AM108" t="s">
        <v>425</v>
      </c>
      <c r="AN108" t="s">
        <v>472</v>
      </c>
      <c r="AO108" t="s">
        <v>480</v>
      </c>
      <c r="AP108">
        <v>20</v>
      </c>
      <c r="AQ108" t="s">
        <v>427</v>
      </c>
      <c r="AR108" t="s">
        <v>421</v>
      </c>
      <c r="AS108" t="s">
        <v>428</v>
      </c>
      <c r="AT108" t="s">
        <v>321</v>
      </c>
      <c r="AU108" t="s">
        <v>321</v>
      </c>
      <c r="AV108" t="s">
        <v>321</v>
      </c>
      <c r="AW108" t="s">
        <v>441</v>
      </c>
      <c r="AX108" t="s">
        <v>449</v>
      </c>
      <c r="AY108">
        <v>30</v>
      </c>
      <c r="AZ108" t="s">
        <v>423</v>
      </c>
      <c r="BA108" t="s">
        <v>623</v>
      </c>
      <c r="BB108" t="s">
        <v>417</v>
      </c>
      <c r="BC108" t="s">
        <v>425</v>
      </c>
      <c r="BD108" t="s">
        <v>472</v>
      </c>
      <c r="BE108" t="s">
        <v>426</v>
      </c>
      <c r="BF108">
        <v>71</v>
      </c>
      <c r="BG108" t="s">
        <v>420</v>
      </c>
      <c r="BH108" t="s">
        <v>595</v>
      </c>
      <c r="BI108" t="s">
        <v>454</v>
      </c>
      <c r="BJ108" t="s">
        <v>321</v>
      </c>
      <c r="BK108" t="s">
        <v>321</v>
      </c>
      <c r="BL108" t="s">
        <v>321</v>
      </c>
      <c r="BM108" t="s">
        <v>441</v>
      </c>
      <c r="BN108" t="s">
        <v>449</v>
      </c>
      <c r="BO108">
        <v>30</v>
      </c>
      <c r="BP108" t="s">
        <v>423</v>
      </c>
      <c r="BQ108" t="s">
        <v>623</v>
      </c>
      <c r="BR108" t="s">
        <v>417</v>
      </c>
      <c r="BS108" t="s">
        <v>425</v>
      </c>
      <c r="BT108" t="s">
        <v>461</v>
      </c>
      <c r="BU108" t="s">
        <v>426</v>
      </c>
      <c r="BV108">
        <v>20</v>
      </c>
      <c r="BW108" t="s">
        <v>427</v>
      </c>
      <c r="BX108" t="s">
        <v>421</v>
      </c>
      <c r="BY108" t="s">
        <v>428</v>
      </c>
      <c r="BZ108" t="s">
        <v>321</v>
      </c>
      <c r="CA108" t="s">
        <v>321</v>
      </c>
      <c r="CB108" t="s">
        <v>321</v>
      </c>
      <c r="CC108" t="s">
        <v>441</v>
      </c>
      <c r="CD108" t="s">
        <v>449</v>
      </c>
      <c r="CE108">
        <v>30</v>
      </c>
      <c r="CF108" t="s">
        <v>423</v>
      </c>
      <c r="CG108" t="s">
        <v>623</v>
      </c>
      <c r="CH108" t="s">
        <v>321</v>
      </c>
      <c r="CI108" t="s">
        <v>321</v>
      </c>
      <c r="CJ108" t="s">
        <v>321</v>
      </c>
      <c r="CK108" t="s">
        <v>321</v>
      </c>
      <c r="CL108" t="s">
        <v>321</v>
      </c>
      <c r="CM108" t="s">
        <v>321</v>
      </c>
      <c r="CN108" t="s">
        <v>321</v>
      </c>
      <c r="CO108" t="s">
        <v>321</v>
      </c>
      <c r="CP108" t="s">
        <v>321</v>
      </c>
      <c r="CQ108" t="s">
        <v>321</v>
      </c>
      <c r="CR108" t="s">
        <v>321</v>
      </c>
      <c r="CS108" t="s">
        <v>321</v>
      </c>
      <c r="CT108" t="s">
        <v>321</v>
      </c>
      <c r="CU108" t="s">
        <v>321</v>
      </c>
      <c r="CV108" t="s">
        <v>321</v>
      </c>
      <c r="CW108" t="s">
        <v>321</v>
      </c>
      <c r="CX108">
        <v>279110.83919999999</v>
      </c>
      <c r="CY108">
        <v>4925648.2300000004</v>
      </c>
      <c r="CZ108">
        <v>44.450403000000001</v>
      </c>
      <c r="DA108">
        <v>-95.776191999999995</v>
      </c>
      <c r="DB108" s="291">
        <v>43874.541666666664</v>
      </c>
      <c r="DC108" t="s">
        <v>231</v>
      </c>
      <c r="DD108" t="s">
        <v>429</v>
      </c>
      <c r="DE108" t="s">
        <v>455</v>
      </c>
      <c r="DF108" t="s">
        <v>456</v>
      </c>
      <c r="DG108" t="s">
        <v>624</v>
      </c>
      <c r="DH108">
        <v>0</v>
      </c>
      <c r="DI108" t="s">
        <v>322</v>
      </c>
      <c r="DJ108">
        <v>100</v>
      </c>
      <c r="DK108">
        <v>15</v>
      </c>
    </row>
    <row r="109" spans="1:115" x14ac:dyDescent="0.25">
      <c r="A109">
        <v>108</v>
      </c>
      <c r="B109" t="s">
        <v>657</v>
      </c>
      <c r="C109">
        <v>1</v>
      </c>
      <c r="D109">
        <v>126</v>
      </c>
      <c r="E109">
        <v>471522</v>
      </c>
      <c r="F109" t="s">
        <v>464</v>
      </c>
      <c r="G109">
        <v>19</v>
      </c>
      <c r="H109">
        <v>35.499000000000002</v>
      </c>
      <c r="I109" t="s">
        <v>297</v>
      </c>
      <c r="J109" t="s">
        <v>299</v>
      </c>
      <c r="K109" t="s">
        <v>321</v>
      </c>
      <c r="L109" t="s">
        <v>406</v>
      </c>
      <c r="M109" t="s">
        <v>299</v>
      </c>
      <c r="N109" t="s">
        <v>321</v>
      </c>
      <c r="O109">
        <v>17300909</v>
      </c>
      <c r="P109">
        <v>171720162</v>
      </c>
      <c r="Q109" s="290">
        <v>45083</v>
      </c>
      <c r="R109">
        <v>21</v>
      </c>
      <c r="S109">
        <v>2017</v>
      </c>
      <c r="T109" t="s">
        <v>494</v>
      </c>
      <c r="U109">
        <v>20</v>
      </c>
      <c r="V109" t="s">
        <v>495</v>
      </c>
      <c r="W109" t="s">
        <v>320</v>
      </c>
      <c r="X109">
        <v>0</v>
      </c>
      <c r="Y109">
        <v>2</v>
      </c>
      <c r="Z109" t="s">
        <v>451</v>
      </c>
      <c r="AA109" t="s">
        <v>409</v>
      </c>
      <c r="AB109" t="s">
        <v>452</v>
      </c>
      <c r="AC109" t="s">
        <v>547</v>
      </c>
      <c r="AD109" t="s">
        <v>412</v>
      </c>
      <c r="AE109" t="s">
        <v>321</v>
      </c>
      <c r="AF109" t="s">
        <v>434</v>
      </c>
      <c r="AG109" t="s">
        <v>414</v>
      </c>
      <c r="AH109" t="s">
        <v>477</v>
      </c>
      <c r="AI109" t="s">
        <v>321</v>
      </c>
      <c r="AJ109" t="s">
        <v>471</v>
      </c>
      <c r="AK109" t="s">
        <v>451</v>
      </c>
      <c r="AL109" t="s">
        <v>417</v>
      </c>
      <c r="AM109" t="s">
        <v>478</v>
      </c>
      <c r="AN109" t="s">
        <v>472</v>
      </c>
      <c r="AO109" t="s">
        <v>426</v>
      </c>
      <c r="AP109">
        <v>23</v>
      </c>
      <c r="AQ109" t="s">
        <v>420</v>
      </c>
      <c r="AR109" t="s">
        <v>421</v>
      </c>
      <c r="AS109" t="s">
        <v>454</v>
      </c>
      <c r="AT109" t="s">
        <v>321</v>
      </c>
      <c r="AU109" t="s">
        <v>321</v>
      </c>
      <c r="AV109" t="s">
        <v>321</v>
      </c>
      <c r="AW109" t="s">
        <v>441</v>
      </c>
      <c r="AX109" t="s">
        <v>449</v>
      </c>
      <c r="AY109">
        <v>25</v>
      </c>
      <c r="AZ109" t="s">
        <v>423</v>
      </c>
      <c r="BA109" t="s">
        <v>424</v>
      </c>
      <c r="BB109" t="s">
        <v>417</v>
      </c>
      <c r="BC109" t="s">
        <v>425</v>
      </c>
      <c r="BD109" t="s">
        <v>448</v>
      </c>
      <c r="BE109" t="s">
        <v>426</v>
      </c>
      <c r="BF109">
        <v>30</v>
      </c>
      <c r="BG109" t="s">
        <v>427</v>
      </c>
      <c r="BH109" t="s">
        <v>421</v>
      </c>
      <c r="BI109" t="s">
        <v>428</v>
      </c>
      <c r="BJ109" t="s">
        <v>321</v>
      </c>
      <c r="BK109" t="s">
        <v>321</v>
      </c>
      <c r="BL109" t="s">
        <v>321</v>
      </c>
      <c r="BM109" t="s">
        <v>441</v>
      </c>
      <c r="BN109" t="s">
        <v>449</v>
      </c>
      <c r="BO109">
        <v>30</v>
      </c>
      <c r="BP109" t="s">
        <v>423</v>
      </c>
      <c r="BQ109" t="s">
        <v>424</v>
      </c>
      <c r="BR109" t="s">
        <v>321</v>
      </c>
      <c r="BS109" t="s">
        <v>321</v>
      </c>
      <c r="BT109" t="s">
        <v>321</v>
      </c>
      <c r="BU109" t="s">
        <v>321</v>
      </c>
      <c r="BV109" t="s">
        <v>321</v>
      </c>
      <c r="BW109" t="s">
        <v>321</v>
      </c>
      <c r="BX109" t="s">
        <v>321</v>
      </c>
      <c r="BY109" t="s">
        <v>321</v>
      </c>
      <c r="BZ109" t="s">
        <v>321</v>
      </c>
      <c r="CA109" t="s">
        <v>321</v>
      </c>
      <c r="CB109" t="s">
        <v>321</v>
      </c>
      <c r="CC109" t="s">
        <v>321</v>
      </c>
      <c r="CD109" t="s">
        <v>321</v>
      </c>
      <c r="CE109" t="s">
        <v>321</v>
      </c>
      <c r="CF109" t="s">
        <v>321</v>
      </c>
      <c r="CG109" t="s">
        <v>321</v>
      </c>
      <c r="CH109" t="s">
        <v>321</v>
      </c>
      <c r="CI109" t="s">
        <v>321</v>
      </c>
      <c r="CJ109" t="s">
        <v>321</v>
      </c>
      <c r="CK109" t="s">
        <v>321</v>
      </c>
      <c r="CL109" t="s">
        <v>321</v>
      </c>
      <c r="CM109" t="s">
        <v>321</v>
      </c>
      <c r="CN109" t="s">
        <v>321</v>
      </c>
      <c r="CO109" t="s">
        <v>321</v>
      </c>
      <c r="CP109" t="s">
        <v>321</v>
      </c>
      <c r="CQ109" t="s">
        <v>321</v>
      </c>
      <c r="CR109" t="s">
        <v>321</v>
      </c>
      <c r="CS109" t="s">
        <v>321</v>
      </c>
      <c r="CT109" t="s">
        <v>321</v>
      </c>
      <c r="CU109" t="s">
        <v>321</v>
      </c>
      <c r="CV109" t="s">
        <v>321</v>
      </c>
      <c r="CW109" t="s">
        <v>321</v>
      </c>
      <c r="CX109">
        <v>279112.6876</v>
      </c>
      <c r="CY109">
        <v>4925648.1569999997</v>
      </c>
      <c r="CZ109">
        <v>44.450401999999997</v>
      </c>
      <c r="DA109">
        <v>-95.776168999999996</v>
      </c>
      <c r="DB109" s="291">
        <v>42907.854166666664</v>
      </c>
      <c r="DC109" t="s">
        <v>231</v>
      </c>
      <c r="DD109" t="s">
        <v>429</v>
      </c>
      <c r="DE109" t="s">
        <v>583</v>
      </c>
      <c r="DF109" t="s">
        <v>444</v>
      </c>
      <c r="DG109" t="s">
        <v>968</v>
      </c>
      <c r="DH109">
        <v>0</v>
      </c>
      <c r="DI109" t="s">
        <v>322</v>
      </c>
      <c r="DJ109">
        <v>100</v>
      </c>
      <c r="DK109">
        <v>15</v>
      </c>
    </row>
    <row r="110" spans="1:115" x14ac:dyDescent="0.25">
      <c r="A110">
        <v>109</v>
      </c>
      <c r="B110" t="s">
        <v>657</v>
      </c>
      <c r="C110">
        <v>1</v>
      </c>
      <c r="D110">
        <v>127</v>
      </c>
      <c r="E110">
        <v>739879</v>
      </c>
      <c r="F110" t="s">
        <v>602</v>
      </c>
      <c r="G110">
        <v>49</v>
      </c>
      <c r="H110">
        <v>8.2000000000000003E-2</v>
      </c>
      <c r="I110" t="s">
        <v>297</v>
      </c>
      <c r="J110" t="s">
        <v>299</v>
      </c>
      <c r="K110" t="s">
        <v>321</v>
      </c>
      <c r="L110" t="s">
        <v>406</v>
      </c>
      <c r="M110" t="s">
        <v>299</v>
      </c>
      <c r="N110" t="s">
        <v>321</v>
      </c>
      <c r="O110">
        <v>190013151</v>
      </c>
      <c r="P110">
        <v>192240106</v>
      </c>
      <c r="Q110" s="290">
        <v>45146</v>
      </c>
      <c r="R110">
        <v>12</v>
      </c>
      <c r="S110">
        <v>2019</v>
      </c>
      <c r="T110" t="s">
        <v>431</v>
      </c>
      <c r="U110">
        <v>11</v>
      </c>
      <c r="V110" t="s">
        <v>495</v>
      </c>
      <c r="W110" t="s">
        <v>319</v>
      </c>
      <c r="X110">
        <v>0</v>
      </c>
      <c r="Y110">
        <v>2</v>
      </c>
      <c r="Z110" t="s">
        <v>476</v>
      </c>
      <c r="AA110" t="s">
        <v>409</v>
      </c>
      <c r="AB110" t="s">
        <v>452</v>
      </c>
      <c r="AC110" t="s">
        <v>433</v>
      </c>
      <c r="AD110" t="s">
        <v>412</v>
      </c>
      <c r="AE110" t="s">
        <v>321</v>
      </c>
      <c r="AF110" t="s">
        <v>434</v>
      </c>
      <c r="AG110" t="s">
        <v>414</v>
      </c>
      <c r="AH110" t="s">
        <v>585</v>
      </c>
      <c r="AI110" t="s">
        <v>321</v>
      </c>
      <c r="AJ110" t="s">
        <v>625</v>
      </c>
      <c r="AK110" t="s">
        <v>447</v>
      </c>
      <c r="AL110" t="s">
        <v>417</v>
      </c>
      <c r="AM110" t="s">
        <v>478</v>
      </c>
      <c r="AN110" t="s">
        <v>472</v>
      </c>
      <c r="AO110" t="s">
        <v>426</v>
      </c>
      <c r="AP110">
        <v>29</v>
      </c>
      <c r="AQ110" t="s">
        <v>427</v>
      </c>
      <c r="AR110" t="s">
        <v>421</v>
      </c>
      <c r="AS110" t="s">
        <v>479</v>
      </c>
      <c r="AT110" t="s">
        <v>321</v>
      </c>
      <c r="AU110" t="s">
        <v>321</v>
      </c>
      <c r="AV110" t="s">
        <v>321</v>
      </c>
      <c r="AW110" t="s">
        <v>441</v>
      </c>
      <c r="AX110" t="s">
        <v>449</v>
      </c>
      <c r="AY110">
        <v>30</v>
      </c>
      <c r="AZ110" t="s">
        <v>423</v>
      </c>
      <c r="BA110" t="s">
        <v>424</v>
      </c>
      <c r="BB110" t="s">
        <v>417</v>
      </c>
      <c r="BC110" t="s">
        <v>425</v>
      </c>
      <c r="BD110" t="s">
        <v>472</v>
      </c>
      <c r="BE110" t="s">
        <v>463</v>
      </c>
      <c r="BF110">
        <v>74</v>
      </c>
      <c r="BG110" t="s">
        <v>427</v>
      </c>
      <c r="BH110" t="s">
        <v>421</v>
      </c>
      <c r="BI110" t="s">
        <v>428</v>
      </c>
      <c r="BJ110" t="s">
        <v>321</v>
      </c>
      <c r="BK110" t="s">
        <v>321</v>
      </c>
      <c r="BL110" t="s">
        <v>321</v>
      </c>
      <c r="BM110" t="s">
        <v>441</v>
      </c>
      <c r="BN110" t="s">
        <v>449</v>
      </c>
      <c r="BO110">
        <v>30</v>
      </c>
      <c r="BP110" t="s">
        <v>423</v>
      </c>
      <c r="BQ110" t="s">
        <v>424</v>
      </c>
      <c r="BR110" t="s">
        <v>321</v>
      </c>
      <c r="BS110" t="s">
        <v>321</v>
      </c>
      <c r="BT110" t="s">
        <v>321</v>
      </c>
      <c r="BU110" t="s">
        <v>321</v>
      </c>
      <c r="BV110" t="s">
        <v>321</v>
      </c>
      <c r="BW110" t="s">
        <v>321</v>
      </c>
      <c r="BX110" t="s">
        <v>321</v>
      </c>
      <c r="BY110" t="s">
        <v>321</v>
      </c>
      <c r="BZ110" t="s">
        <v>321</v>
      </c>
      <c r="CA110" t="s">
        <v>321</v>
      </c>
      <c r="CB110" t="s">
        <v>321</v>
      </c>
      <c r="CC110" t="s">
        <v>321</v>
      </c>
      <c r="CD110" t="s">
        <v>321</v>
      </c>
      <c r="CE110" t="s">
        <v>321</v>
      </c>
      <c r="CF110" t="s">
        <v>321</v>
      </c>
      <c r="CG110" t="s">
        <v>321</v>
      </c>
      <c r="CH110" t="s">
        <v>321</v>
      </c>
      <c r="CI110" t="s">
        <v>321</v>
      </c>
      <c r="CJ110" t="s">
        <v>321</v>
      </c>
      <c r="CK110" t="s">
        <v>321</v>
      </c>
      <c r="CL110" t="s">
        <v>321</v>
      </c>
      <c r="CM110" t="s">
        <v>321</v>
      </c>
      <c r="CN110" t="s">
        <v>321</v>
      </c>
      <c r="CO110" t="s">
        <v>321</v>
      </c>
      <c r="CP110" t="s">
        <v>321</v>
      </c>
      <c r="CQ110" t="s">
        <v>321</v>
      </c>
      <c r="CR110" t="s">
        <v>321</v>
      </c>
      <c r="CS110" t="s">
        <v>321</v>
      </c>
      <c r="CT110" t="s">
        <v>321</v>
      </c>
      <c r="CU110" t="s">
        <v>321</v>
      </c>
      <c r="CV110" t="s">
        <v>321</v>
      </c>
      <c r="CW110" t="s">
        <v>321</v>
      </c>
      <c r="CX110">
        <v>278175.11550000001</v>
      </c>
      <c r="CY110">
        <v>4925378.78</v>
      </c>
      <c r="CZ110">
        <v>44.447693000000001</v>
      </c>
      <c r="DA110">
        <v>-95.787823000000003</v>
      </c>
      <c r="DB110" s="291">
        <v>43689.478472222225</v>
      </c>
      <c r="DC110" t="s">
        <v>231</v>
      </c>
      <c r="DD110" t="s">
        <v>429</v>
      </c>
      <c r="DE110" t="s">
        <v>455</v>
      </c>
      <c r="DF110" t="s">
        <v>456</v>
      </c>
      <c r="DG110" t="s">
        <v>626</v>
      </c>
      <c r="DH110">
        <v>0</v>
      </c>
      <c r="DI110" t="s">
        <v>326</v>
      </c>
      <c r="DJ110">
        <v>100</v>
      </c>
      <c r="DK110">
        <v>10</v>
      </c>
    </row>
    <row r="111" spans="1:115" x14ac:dyDescent="0.25">
      <c r="A111">
        <v>110</v>
      </c>
      <c r="B111" t="s">
        <v>657</v>
      </c>
      <c r="C111">
        <v>1</v>
      </c>
      <c r="D111">
        <v>128</v>
      </c>
      <c r="E111">
        <v>11084349</v>
      </c>
      <c r="F111" t="s">
        <v>464</v>
      </c>
      <c r="G111">
        <v>19</v>
      </c>
      <c r="H111">
        <v>35.514000000000003</v>
      </c>
      <c r="I111" t="s">
        <v>297</v>
      </c>
      <c r="J111" t="s">
        <v>299</v>
      </c>
      <c r="K111" t="s">
        <v>321</v>
      </c>
      <c r="L111" t="s">
        <v>406</v>
      </c>
      <c r="M111" t="s">
        <v>299</v>
      </c>
      <c r="N111" t="s">
        <v>321</v>
      </c>
      <c r="O111">
        <v>150023033</v>
      </c>
      <c r="P111">
        <v>153490112</v>
      </c>
      <c r="Q111" s="290">
        <v>45272</v>
      </c>
      <c r="R111">
        <v>15</v>
      </c>
      <c r="S111">
        <v>2015</v>
      </c>
      <c r="T111" t="s">
        <v>407</v>
      </c>
      <c r="U111">
        <v>12</v>
      </c>
      <c r="V111" t="s">
        <v>321</v>
      </c>
      <c r="W111" t="s">
        <v>320</v>
      </c>
      <c r="X111">
        <v>0</v>
      </c>
      <c r="Y111">
        <v>2</v>
      </c>
      <c r="Z111" t="s">
        <v>451</v>
      </c>
      <c r="AA111" t="s">
        <v>409</v>
      </c>
      <c r="AB111" t="s">
        <v>410</v>
      </c>
      <c r="AC111" t="s">
        <v>433</v>
      </c>
      <c r="AD111" t="s">
        <v>446</v>
      </c>
      <c r="AE111" t="s">
        <v>521</v>
      </c>
      <c r="AF111" t="s">
        <v>523</v>
      </c>
      <c r="AG111" t="s">
        <v>414</v>
      </c>
      <c r="AH111" t="s">
        <v>852</v>
      </c>
      <c r="AI111" t="s">
        <v>967</v>
      </c>
      <c r="AJ111" t="s">
        <v>471</v>
      </c>
      <c r="AK111" t="s">
        <v>451</v>
      </c>
      <c r="AL111" t="s">
        <v>417</v>
      </c>
      <c r="AM111" t="s">
        <v>418</v>
      </c>
      <c r="AN111" t="s">
        <v>448</v>
      </c>
      <c r="AO111" t="s">
        <v>487</v>
      </c>
      <c r="AP111">
        <v>29</v>
      </c>
      <c r="AQ111" t="s">
        <v>420</v>
      </c>
      <c r="AR111" t="s">
        <v>421</v>
      </c>
      <c r="AS111" t="s">
        <v>454</v>
      </c>
      <c r="AT111" t="s">
        <v>321</v>
      </c>
      <c r="AU111" t="s">
        <v>321</v>
      </c>
      <c r="AV111" t="s">
        <v>321</v>
      </c>
      <c r="AW111" t="s">
        <v>966</v>
      </c>
      <c r="AX111" t="s">
        <v>422</v>
      </c>
      <c r="AY111">
        <v>30</v>
      </c>
      <c r="AZ111" t="s">
        <v>423</v>
      </c>
      <c r="BA111" t="s">
        <v>424</v>
      </c>
      <c r="BB111" t="s">
        <v>417</v>
      </c>
      <c r="BC111" t="s">
        <v>478</v>
      </c>
      <c r="BD111" t="s">
        <v>461</v>
      </c>
      <c r="BE111" t="s">
        <v>426</v>
      </c>
      <c r="BF111">
        <v>16</v>
      </c>
      <c r="BG111" t="s">
        <v>420</v>
      </c>
      <c r="BH111" t="s">
        <v>421</v>
      </c>
      <c r="BI111" t="s">
        <v>428</v>
      </c>
      <c r="BJ111" t="s">
        <v>321</v>
      </c>
      <c r="BK111" t="s">
        <v>321</v>
      </c>
      <c r="BL111" t="s">
        <v>321</v>
      </c>
      <c r="BM111" t="s">
        <v>966</v>
      </c>
      <c r="BN111" t="s">
        <v>422</v>
      </c>
      <c r="BO111">
        <v>30</v>
      </c>
      <c r="BP111" t="s">
        <v>423</v>
      </c>
      <c r="BQ111" t="s">
        <v>424</v>
      </c>
      <c r="BR111" t="s">
        <v>321</v>
      </c>
      <c r="BS111" t="s">
        <v>321</v>
      </c>
      <c r="BT111" t="s">
        <v>321</v>
      </c>
      <c r="BU111" t="s">
        <v>321</v>
      </c>
      <c r="BV111" t="s">
        <v>321</v>
      </c>
      <c r="BW111" t="s">
        <v>321</v>
      </c>
      <c r="BX111" t="s">
        <v>321</v>
      </c>
      <c r="BY111" t="s">
        <v>321</v>
      </c>
      <c r="BZ111" t="s">
        <v>321</v>
      </c>
      <c r="CA111" t="s">
        <v>321</v>
      </c>
      <c r="CB111" t="s">
        <v>321</v>
      </c>
      <c r="CC111" t="s">
        <v>321</v>
      </c>
      <c r="CD111" t="s">
        <v>321</v>
      </c>
      <c r="CE111" t="s">
        <v>321</v>
      </c>
      <c r="CF111" t="s">
        <v>321</v>
      </c>
      <c r="CG111" t="s">
        <v>321</v>
      </c>
      <c r="CH111" t="s">
        <v>321</v>
      </c>
      <c r="CI111" t="s">
        <v>321</v>
      </c>
      <c r="CJ111" t="s">
        <v>321</v>
      </c>
      <c r="CK111" t="s">
        <v>321</v>
      </c>
      <c r="CL111" t="s">
        <v>321</v>
      </c>
      <c r="CM111" t="s">
        <v>321</v>
      </c>
      <c r="CN111" t="s">
        <v>321</v>
      </c>
      <c r="CO111" t="s">
        <v>321</v>
      </c>
      <c r="CP111" t="s">
        <v>321</v>
      </c>
      <c r="CQ111" t="s">
        <v>321</v>
      </c>
      <c r="CR111" t="s">
        <v>321</v>
      </c>
      <c r="CS111" t="s">
        <v>321</v>
      </c>
      <c r="CT111" t="s">
        <v>321</v>
      </c>
      <c r="CU111" t="s">
        <v>321</v>
      </c>
      <c r="CV111" t="s">
        <v>321</v>
      </c>
      <c r="CW111" t="s">
        <v>321</v>
      </c>
      <c r="CX111">
        <v>279136.34600000002</v>
      </c>
      <c r="CY111">
        <v>4925647.2230000002</v>
      </c>
      <c r="CZ111">
        <v>44.450400999999999</v>
      </c>
      <c r="DA111">
        <v>-95.775870999999995</v>
      </c>
      <c r="DB111" s="291">
        <v>42353.500694444447</v>
      </c>
      <c r="DC111" t="s">
        <v>231</v>
      </c>
      <c r="DD111" t="s">
        <v>429</v>
      </c>
      <c r="DE111" t="s">
        <v>430</v>
      </c>
      <c r="DF111" t="s">
        <v>430</v>
      </c>
      <c r="DG111" t="s">
        <v>965</v>
      </c>
      <c r="DH111">
        <v>0</v>
      </c>
      <c r="DI111" t="s">
        <v>322</v>
      </c>
      <c r="DJ111">
        <v>100</v>
      </c>
      <c r="DK111">
        <v>15</v>
      </c>
    </row>
    <row r="112" spans="1:115" x14ac:dyDescent="0.25">
      <c r="A112">
        <v>111</v>
      </c>
      <c r="B112" t="s">
        <v>657</v>
      </c>
      <c r="C112">
        <v>1</v>
      </c>
      <c r="D112">
        <v>131</v>
      </c>
      <c r="E112">
        <v>363085</v>
      </c>
      <c r="F112" t="s">
        <v>464</v>
      </c>
      <c r="G112">
        <v>68</v>
      </c>
      <c r="H112">
        <v>39.222000000000001</v>
      </c>
      <c r="I112" t="s">
        <v>297</v>
      </c>
      <c r="J112" t="s">
        <v>299</v>
      </c>
      <c r="K112" t="s">
        <v>321</v>
      </c>
      <c r="L112" t="s">
        <v>406</v>
      </c>
      <c r="M112" t="s">
        <v>299</v>
      </c>
      <c r="N112" t="s">
        <v>321</v>
      </c>
      <c r="O112">
        <v>16012448</v>
      </c>
      <c r="P112">
        <v>161930126</v>
      </c>
      <c r="Q112" s="290">
        <v>45114</v>
      </c>
      <c r="R112">
        <v>11</v>
      </c>
      <c r="S112">
        <v>2016</v>
      </c>
      <c r="T112" t="s">
        <v>431</v>
      </c>
      <c r="U112">
        <v>12</v>
      </c>
      <c r="V112" t="s">
        <v>495</v>
      </c>
      <c r="W112" t="s">
        <v>320</v>
      </c>
      <c r="X112">
        <v>0</v>
      </c>
      <c r="Y112">
        <v>3</v>
      </c>
      <c r="Z112" t="s">
        <v>476</v>
      </c>
      <c r="AA112" t="s">
        <v>409</v>
      </c>
      <c r="AB112" t="s">
        <v>452</v>
      </c>
      <c r="AC112" t="s">
        <v>433</v>
      </c>
      <c r="AD112" t="s">
        <v>412</v>
      </c>
      <c r="AE112" t="s">
        <v>321</v>
      </c>
      <c r="AF112" t="s">
        <v>434</v>
      </c>
      <c r="AG112" t="s">
        <v>414</v>
      </c>
      <c r="AH112" t="s">
        <v>558</v>
      </c>
      <c r="AI112" t="s">
        <v>321</v>
      </c>
      <c r="AJ112" t="s">
        <v>559</v>
      </c>
      <c r="AK112" t="s">
        <v>447</v>
      </c>
      <c r="AL112" t="s">
        <v>417</v>
      </c>
      <c r="AM112" t="s">
        <v>418</v>
      </c>
      <c r="AN112" t="s">
        <v>472</v>
      </c>
      <c r="AO112" t="s">
        <v>594</v>
      </c>
      <c r="AP112">
        <v>37</v>
      </c>
      <c r="AQ112" t="s">
        <v>427</v>
      </c>
      <c r="AR112" t="s">
        <v>421</v>
      </c>
      <c r="AS112" t="s">
        <v>479</v>
      </c>
      <c r="AT112" t="s">
        <v>321</v>
      </c>
      <c r="AU112" t="s">
        <v>321</v>
      </c>
      <c r="AV112" t="s">
        <v>321</v>
      </c>
      <c r="AW112" t="s">
        <v>463</v>
      </c>
      <c r="AX112" t="s">
        <v>449</v>
      </c>
      <c r="AY112">
        <v>30</v>
      </c>
      <c r="AZ112" t="s">
        <v>423</v>
      </c>
      <c r="BA112" t="s">
        <v>424</v>
      </c>
      <c r="BB112" t="s">
        <v>417</v>
      </c>
      <c r="BC112" t="s">
        <v>418</v>
      </c>
      <c r="BD112" t="s">
        <v>472</v>
      </c>
      <c r="BE112" t="s">
        <v>594</v>
      </c>
      <c r="BF112">
        <v>31</v>
      </c>
      <c r="BG112" t="s">
        <v>427</v>
      </c>
      <c r="BH112" t="s">
        <v>421</v>
      </c>
      <c r="BI112" t="s">
        <v>428</v>
      </c>
      <c r="BJ112" t="s">
        <v>321</v>
      </c>
      <c r="BK112" t="s">
        <v>321</v>
      </c>
      <c r="BL112" t="s">
        <v>321</v>
      </c>
      <c r="BM112" t="s">
        <v>463</v>
      </c>
      <c r="BN112" t="s">
        <v>449</v>
      </c>
      <c r="BO112">
        <v>30</v>
      </c>
      <c r="BP112" t="s">
        <v>423</v>
      </c>
      <c r="BQ112" t="s">
        <v>424</v>
      </c>
      <c r="BR112" t="s">
        <v>417</v>
      </c>
      <c r="BS112" t="s">
        <v>425</v>
      </c>
      <c r="BT112" t="s">
        <v>472</v>
      </c>
      <c r="BU112" t="s">
        <v>480</v>
      </c>
      <c r="BV112">
        <v>72</v>
      </c>
      <c r="BW112" t="s">
        <v>420</v>
      </c>
      <c r="BX112" t="s">
        <v>421</v>
      </c>
      <c r="BY112" t="s">
        <v>428</v>
      </c>
      <c r="BZ112" t="s">
        <v>321</v>
      </c>
      <c r="CA112" t="s">
        <v>321</v>
      </c>
      <c r="CB112" t="s">
        <v>321</v>
      </c>
      <c r="CC112" t="s">
        <v>463</v>
      </c>
      <c r="CD112" t="s">
        <v>449</v>
      </c>
      <c r="CE112">
        <v>30</v>
      </c>
      <c r="CF112" t="s">
        <v>423</v>
      </c>
      <c r="CG112" t="s">
        <v>424</v>
      </c>
      <c r="CH112" t="s">
        <v>321</v>
      </c>
      <c r="CI112" t="s">
        <v>321</v>
      </c>
      <c r="CJ112" t="s">
        <v>321</v>
      </c>
      <c r="CK112" t="s">
        <v>321</v>
      </c>
      <c r="CL112" t="s">
        <v>321</v>
      </c>
      <c r="CM112" t="s">
        <v>321</v>
      </c>
      <c r="CN112" t="s">
        <v>321</v>
      </c>
      <c r="CO112" t="s">
        <v>321</v>
      </c>
      <c r="CP112" t="s">
        <v>321</v>
      </c>
      <c r="CQ112" t="s">
        <v>321</v>
      </c>
      <c r="CR112" t="s">
        <v>321</v>
      </c>
      <c r="CS112" t="s">
        <v>321</v>
      </c>
      <c r="CT112" t="s">
        <v>321</v>
      </c>
      <c r="CU112" t="s">
        <v>321</v>
      </c>
      <c r="CV112" t="s">
        <v>321</v>
      </c>
      <c r="CW112" t="s">
        <v>321</v>
      </c>
      <c r="CX112">
        <v>278082.2942</v>
      </c>
      <c r="CY112">
        <v>4925313.49</v>
      </c>
      <c r="CZ112">
        <v>44.447077999999998</v>
      </c>
      <c r="DA112">
        <v>-95.788960000000003</v>
      </c>
      <c r="DB112" s="291">
        <v>42562.53125</v>
      </c>
      <c r="DC112" t="s">
        <v>231</v>
      </c>
      <c r="DD112" t="s">
        <v>429</v>
      </c>
      <c r="DE112" t="s">
        <v>455</v>
      </c>
      <c r="DF112" t="s">
        <v>456</v>
      </c>
      <c r="DG112" t="s">
        <v>964</v>
      </c>
      <c r="DH112">
        <v>0</v>
      </c>
      <c r="DI112" t="s">
        <v>327</v>
      </c>
      <c r="DJ112">
        <v>100</v>
      </c>
      <c r="DK112">
        <v>9</v>
      </c>
    </row>
    <row r="113" spans="1:115" x14ac:dyDescent="0.25">
      <c r="A113">
        <v>112</v>
      </c>
      <c r="B113" t="s">
        <v>657</v>
      </c>
      <c r="C113">
        <v>1</v>
      </c>
      <c r="D113">
        <v>132</v>
      </c>
      <c r="E113">
        <v>1059049</v>
      </c>
      <c r="F113" t="s">
        <v>405</v>
      </c>
      <c r="G113">
        <v>59</v>
      </c>
      <c r="H113">
        <v>73.897999999999996</v>
      </c>
      <c r="I113" t="s">
        <v>297</v>
      </c>
      <c r="J113" t="s">
        <v>299</v>
      </c>
      <c r="K113" t="s">
        <v>321</v>
      </c>
      <c r="L113" t="s">
        <v>321</v>
      </c>
      <c r="M113" t="s">
        <v>299</v>
      </c>
      <c r="N113" t="s">
        <v>321</v>
      </c>
      <c r="O113">
        <v>22017815</v>
      </c>
      <c r="P113">
        <v>223190309</v>
      </c>
      <c r="Q113" s="290">
        <v>45241</v>
      </c>
      <c r="R113">
        <v>15</v>
      </c>
      <c r="S113">
        <v>2022</v>
      </c>
      <c r="T113" t="s">
        <v>407</v>
      </c>
      <c r="U113">
        <v>10</v>
      </c>
      <c r="V113" t="s">
        <v>450</v>
      </c>
      <c r="W113" t="s">
        <v>320</v>
      </c>
      <c r="X113">
        <v>0</v>
      </c>
      <c r="Y113">
        <v>2</v>
      </c>
      <c r="Z113" t="s">
        <v>476</v>
      </c>
      <c r="AA113" t="s">
        <v>409</v>
      </c>
      <c r="AB113" t="s">
        <v>452</v>
      </c>
      <c r="AC113" t="s">
        <v>433</v>
      </c>
      <c r="AD113" t="s">
        <v>412</v>
      </c>
      <c r="AE113" t="s">
        <v>321</v>
      </c>
      <c r="AF113" t="s">
        <v>467</v>
      </c>
      <c r="AG113" t="s">
        <v>414</v>
      </c>
      <c r="AH113" t="s">
        <v>435</v>
      </c>
      <c r="AI113" t="s">
        <v>884</v>
      </c>
      <c r="AJ113" t="s">
        <v>415</v>
      </c>
      <c r="AK113" t="s">
        <v>447</v>
      </c>
      <c r="AL113" t="s">
        <v>417</v>
      </c>
      <c r="AM113" t="s">
        <v>425</v>
      </c>
      <c r="AN113" t="s">
        <v>453</v>
      </c>
      <c r="AO113" t="s">
        <v>594</v>
      </c>
      <c r="AP113">
        <v>48</v>
      </c>
      <c r="AQ113" t="s">
        <v>420</v>
      </c>
      <c r="AR113" t="s">
        <v>421</v>
      </c>
      <c r="AS113" t="s">
        <v>428</v>
      </c>
      <c r="AT113" t="s">
        <v>321</v>
      </c>
      <c r="AU113" t="s">
        <v>321</v>
      </c>
      <c r="AV113" t="s">
        <v>321</v>
      </c>
      <c r="AW113" t="s">
        <v>441</v>
      </c>
      <c r="AX113" t="s">
        <v>449</v>
      </c>
      <c r="AY113">
        <v>30</v>
      </c>
      <c r="AZ113" t="s">
        <v>423</v>
      </c>
      <c r="BA113" t="s">
        <v>424</v>
      </c>
      <c r="BB113" t="s">
        <v>417</v>
      </c>
      <c r="BC113" t="s">
        <v>425</v>
      </c>
      <c r="BD113" t="s">
        <v>453</v>
      </c>
      <c r="BE113" t="s">
        <v>426</v>
      </c>
      <c r="BF113">
        <v>24</v>
      </c>
      <c r="BG113" t="s">
        <v>420</v>
      </c>
      <c r="BH113" t="s">
        <v>421</v>
      </c>
      <c r="BI113" t="s">
        <v>532</v>
      </c>
      <c r="BJ113" t="s">
        <v>321</v>
      </c>
      <c r="BK113" t="s">
        <v>321</v>
      </c>
      <c r="BL113" t="s">
        <v>321</v>
      </c>
      <c r="BM113" t="s">
        <v>441</v>
      </c>
      <c r="BN113" t="s">
        <v>449</v>
      </c>
      <c r="BO113">
        <v>30</v>
      </c>
      <c r="BP113" t="s">
        <v>423</v>
      </c>
      <c r="BQ113" t="s">
        <v>424</v>
      </c>
      <c r="BR113" t="s">
        <v>321</v>
      </c>
      <c r="BS113" t="s">
        <v>321</v>
      </c>
      <c r="BT113" t="s">
        <v>321</v>
      </c>
      <c r="BU113" t="s">
        <v>321</v>
      </c>
      <c r="BV113" t="s">
        <v>321</v>
      </c>
      <c r="BW113" t="s">
        <v>321</v>
      </c>
      <c r="BX113" t="s">
        <v>321</v>
      </c>
      <c r="BY113" t="s">
        <v>321</v>
      </c>
      <c r="BZ113" t="s">
        <v>321</v>
      </c>
      <c r="CA113" t="s">
        <v>321</v>
      </c>
      <c r="CB113" t="s">
        <v>321</v>
      </c>
      <c r="CC113" t="s">
        <v>321</v>
      </c>
      <c r="CD113" t="s">
        <v>321</v>
      </c>
      <c r="CE113" t="s">
        <v>321</v>
      </c>
      <c r="CF113" t="s">
        <v>321</v>
      </c>
      <c r="CG113" t="s">
        <v>321</v>
      </c>
      <c r="CH113" t="s">
        <v>321</v>
      </c>
      <c r="CI113" t="s">
        <v>321</v>
      </c>
      <c r="CJ113" t="s">
        <v>321</v>
      </c>
      <c r="CK113" t="s">
        <v>321</v>
      </c>
      <c r="CL113" t="s">
        <v>321</v>
      </c>
      <c r="CM113" t="s">
        <v>321</v>
      </c>
      <c r="CN113" t="s">
        <v>321</v>
      </c>
      <c r="CO113" t="s">
        <v>321</v>
      </c>
      <c r="CP113" t="s">
        <v>321</v>
      </c>
      <c r="CQ113" t="s">
        <v>321</v>
      </c>
      <c r="CR113" t="s">
        <v>321</v>
      </c>
      <c r="CS113" t="s">
        <v>321</v>
      </c>
      <c r="CT113" t="s">
        <v>321</v>
      </c>
      <c r="CU113" t="s">
        <v>321</v>
      </c>
      <c r="CV113" t="s">
        <v>321</v>
      </c>
      <c r="CW113" t="s">
        <v>321</v>
      </c>
      <c r="CX113">
        <v>278101.8186</v>
      </c>
      <c r="CY113">
        <v>4925292.4270000001</v>
      </c>
      <c r="CZ113">
        <v>44.446886999999997</v>
      </c>
      <c r="DA113">
        <v>-95.788697999999997</v>
      </c>
      <c r="DB113" s="291">
        <v>44880.4375</v>
      </c>
      <c r="DC113" t="s">
        <v>231</v>
      </c>
      <c r="DD113" t="s">
        <v>429</v>
      </c>
      <c r="DE113" t="s">
        <v>455</v>
      </c>
      <c r="DF113" t="s">
        <v>456</v>
      </c>
      <c r="DG113" t="s">
        <v>963</v>
      </c>
      <c r="DH113">
        <v>0</v>
      </c>
      <c r="DI113" t="s">
        <v>327</v>
      </c>
      <c r="DJ113">
        <v>100</v>
      </c>
      <c r="DK113">
        <v>9</v>
      </c>
    </row>
    <row r="114" spans="1:115" x14ac:dyDescent="0.25">
      <c r="A114">
        <v>113</v>
      </c>
      <c r="B114" t="s">
        <v>657</v>
      </c>
      <c r="C114">
        <v>1</v>
      </c>
      <c r="D114">
        <v>133</v>
      </c>
      <c r="E114">
        <v>10877885</v>
      </c>
      <c r="F114" t="s">
        <v>464</v>
      </c>
      <c r="G114">
        <v>68</v>
      </c>
      <c r="H114">
        <v>39.223999999999997</v>
      </c>
      <c r="I114" t="s">
        <v>297</v>
      </c>
      <c r="J114" t="s">
        <v>299</v>
      </c>
      <c r="K114" t="s">
        <v>321</v>
      </c>
      <c r="L114" t="s">
        <v>406</v>
      </c>
      <c r="M114" t="s">
        <v>299</v>
      </c>
      <c r="N114" t="s">
        <v>321</v>
      </c>
      <c r="O114" t="s">
        <v>962</v>
      </c>
      <c r="P114">
        <v>130160083</v>
      </c>
      <c r="Q114" s="290">
        <v>44927</v>
      </c>
      <c r="R114">
        <v>16</v>
      </c>
      <c r="S114">
        <v>2013</v>
      </c>
      <c r="T114" t="s">
        <v>494</v>
      </c>
      <c r="U114">
        <v>7</v>
      </c>
      <c r="V114" t="s">
        <v>321</v>
      </c>
      <c r="W114" t="s">
        <v>320</v>
      </c>
      <c r="X114">
        <v>0</v>
      </c>
      <c r="Y114">
        <v>2</v>
      </c>
      <c r="Z114" t="s">
        <v>463</v>
      </c>
      <c r="AA114" t="s">
        <v>409</v>
      </c>
      <c r="AB114" t="s">
        <v>452</v>
      </c>
      <c r="AC114" t="s">
        <v>433</v>
      </c>
      <c r="AD114" t="s">
        <v>446</v>
      </c>
      <c r="AE114" t="s">
        <v>321</v>
      </c>
      <c r="AF114" t="s">
        <v>434</v>
      </c>
      <c r="AG114" t="s">
        <v>414</v>
      </c>
      <c r="AH114" t="s">
        <v>918</v>
      </c>
      <c r="AI114" t="s">
        <v>852</v>
      </c>
      <c r="AJ114" t="s">
        <v>559</v>
      </c>
      <c r="AK114" t="s">
        <v>463</v>
      </c>
      <c r="AL114" t="s">
        <v>417</v>
      </c>
      <c r="AM114" t="s">
        <v>425</v>
      </c>
      <c r="AN114" t="s">
        <v>472</v>
      </c>
      <c r="AO114" t="s">
        <v>794</v>
      </c>
      <c r="AP114">
        <v>53</v>
      </c>
      <c r="AQ114" t="s">
        <v>427</v>
      </c>
      <c r="AR114" t="s">
        <v>421</v>
      </c>
      <c r="AS114" t="s">
        <v>428</v>
      </c>
      <c r="AT114" t="s">
        <v>321</v>
      </c>
      <c r="AU114" t="s">
        <v>321</v>
      </c>
      <c r="AV114" t="s">
        <v>321</v>
      </c>
      <c r="AW114" t="s">
        <v>850</v>
      </c>
      <c r="AX114" t="s">
        <v>449</v>
      </c>
      <c r="AY114">
        <v>30</v>
      </c>
      <c r="AZ114" t="s">
        <v>423</v>
      </c>
      <c r="BA114" t="s">
        <v>424</v>
      </c>
      <c r="BB114" t="s">
        <v>417</v>
      </c>
      <c r="BC114" t="s">
        <v>478</v>
      </c>
      <c r="BD114" t="s">
        <v>472</v>
      </c>
      <c r="BE114" t="s">
        <v>439</v>
      </c>
      <c r="BF114">
        <v>18</v>
      </c>
      <c r="BG114" t="s">
        <v>420</v>
      </c>
      <c r="BH114" t="s">
        <v>421</v>
      </c>
      <c r="BI114" t="s">
        <v>877</v>
      </c>
      <c r="BJ114" t="s">
        <v>806</v>
      </c>
      <c r="BK114" t="s">
        <v>321</v>
      </c>
      <c r="BL114" t="s">
        <v>321</v>
      </c>
      <c r="BM114" t="s">
        <v>850</v>
      </c>
      <c r="BN114" t="s">
        <v>449</v>
      </c>
      <c r="BO114">
        <v>30</v>
      </c>
      <c r="BP114" t="s">
        <v>423</v>
      </c>
      <c r="BQ114" t="s">
        <v>424</v>
      </c>
      <c r="BR114" t="s">
        <v>321</v>
      </c>
      <c r="BS114" t="s">
        <v>321</v>
      </c>
      <c r="BT114" t="s">
        <v>321</v>
      </c>
      <c r="BU114" t="s">
        <v>321</v>
      </c>
      <c r="BV114" t="s">
        <v>321</v>
      </c>
      <c r="BW114" t="s">
        <v>321</v>
      </c>
      <c r="BX114" t="s">
        <v>321</v>
      </c>
      <c r="BY114" t="s">
        <v>321</v>
      </c>
      <c r="BZ114" t="s">
        <v>321</v>
      </c>
      <c r="CA114" t="s">
        <v>321</v>
      </c>
      <c r="CB114" t="s">
        <v>321</v>
      </c>
      <c r="CC114" t="s">
        <v>321</v>
      </c>
      <c r="CD114" t="s">
        <v>321</v>
      </c>
      <c r="CE114" t="s">
        <v>321</v>
      </c>
      <c r="CF114" t="s">
        <v>321</v>
      </c>
      <c r="CG114" t="s">
        <v>321</v>
      </c>
      <c r="CH114" t="s">
        <v>321</v>
      </c>
      <c r="CI114" t="s">
        <v>321</v>
      </c>
      <c r="CJ114" t="s">
        <v>321</v>
      </c>
      <c r="CK114" t="s">
        <v>321</v>
      </c>
      <c r="CL114" t="s">
        <v>321</v>
      </c>
      <c r="CM114" t="s">
        <v>321</v>
      </c>
      <c r="CN114" t="s">
        <v>321</v>
      </c>
      <c r="CO114" t="s">
        <v>321</v>
      </c>
      <c r="CP114" t="s">
        <v>321</v>
      </c>
      <c r="CQ114" t="s">
        <v>321</v>
      </c>
      <c r="CR114" t="s">
        <v>321</v>
      </c>
      <c r="CS114" t="s">
        <v>321</v>
      </c>
      <c r="CT114" t="s">
        <v>321</v>
      </c>
      <c r="CU114" t="s">
        <v>321</v>
      </c>
      <c r="CV114" t="s">
        <v>321</v>
      </c>
      <c r="CW114" t="s">
        <v>321</v>
      </c>
      <c r="CX114">
        <v>278084.24290000001</v>
      </c>
      <c r="CY114">
        <v>4925311.4630000005</v>
      </c>
      <c r="CZ114">
        <v>44.44706</v>
      </c>
      <c r="DA114">
        <v>-95.788934999999995</v>
      </c>
      <c r="DB114" s="291">
        <v>41290.319444444445</v>
      </c>
      <c r="DC114" t="s">
        <v>231</v>
      </c>
      <c r="DD114" t="s">
        <v>429</v>
      </c>
      <c r="DE114" t="s">
        <v>430</v>
      </c>
      <c r="DF114" t="s">
        <v>430</v>
      </c>
      <c r="DG114" t="s">
        <v>961</v>
      </c>
      <c r="DH114">
        <v>0</v>
      </c>
      <c r="DI114" t="s">
        <v>327</v>
      </c>
      <c r="DJ114">
        <v>100</v>
      </c>
      <c r="DK114">
        <v>9</v>
      </c>
    </row>
    <row r="115" spans="1:115" x14ac:dyDescent="0.25">
      <c r="A115">
        <v>114</v>
      </c>
      <c r="B115" t="s">
        <v>657</v>
      </c>
      <c r="C115">
        <v>1</v>
      </c>
      <c r="D115">
        <v>134</v>
      </c>
      <c r="E115">
        <v>913332</v>
      </c>
      <c r="F115" t="s">
        <v>464</v>
      </c>
      <c r="G115">
        <v>68</v>
      </c>
      <c r="H115">
        <v>39.225999999999999</v>
      </c>
      <c r="I115" t="s">
        <v>297</v>
      </c>
      <c r="J115" t="s">
        <v>299</v>
      </c>
      <c r="K115" t="s">
        <v>321</v>
      </c>
      <c r="L115" t="s">
        <v>406</v>
      </c>
      <c r="M115" t="s">
        <v>299</v>
      </c>
      <c r="N115" t="s">
        <v>321</v>
      </c>
      <c r="O115" t="s">
        <v>627</v>
      </c>
      <c r="P115">
        <v>211710079</v>
      </c>
      <c r="Q115" s="290">
        <v>45083</v>
      </c>
      <c r="R115">
        <v>20</v>
      </c>
      <c r="S115">
        <v>2021</v>
      </c>
      <c r="T115" t="s">
        <v>489</v>
      </c>
      <c r="U115">
        <v>18</v>
      </c>
      <c r="V115" t="s">
        <v>450</v>
      </c>
      <c r="W115" t="s">
        <v>320</v>
      </c>
      <c r="X115">
        <v>0</v>
      </c>
      <c r="Y115">
        <v>2</v>
      </c>
      <c r="Z115" t="s">
        <v>451</v>
      </c>
      <c r="AA115" t="s">
        <v>409</v>
      </c>
      <c r="AB115" t="s">
        <v>452</v>
      </c>
      <c r="AC115" t="s">
        <v>547</v>
      </c>
      <c r="AD115" t="s">
        <v>412</v>
      </c>
      <c r="AE115" t="s">
        <v>321</v>
      </c>
      <c r="AF115" t="s">
        <v>434</v>
      </c>
      <c r="AG115" t="s">
        <v>414</v>
      </c>
      <c r="AH115" t="s">
        <v>558</v>
      </c>
      <c r="AI115" t="s">
        <v>477</v>
      </c>
      <c r="AJ115" t="s">
        <v>559</v>
      </c>
      <c r="AK115" t="s">
        <v>451</v>
      </c>
      <c r="AL115" t="s">
        <v>417</v>
      </c>
      <c r="AM115" t="s">
        <v>418</v>
      </c>
      <c r="AN115" t="s">
        <v>461</v>
      </c>
      <c r="AO115" t="s">
        <v>419</v>
      </c>
      <c r="AP115">
        <v>70</v>
      </c>
      <c r="AQ115" t="s">
        <v>427</v>
      </c>
      <c r="AR115" t="s">
        <v>421</v>
      </c>
      <c r="AS115" t="s">
        <v>454</v>
      </c>
      <c r="AT115" t="s">
        <v>321</v>
      </c>
      <c r="AU115" t="s">
        <v>321</v>
      </c>
      <c r="AV115" t="s">
        <v>321</v>
      </c>
      <c r="AW115" t="s">
        <v>441</v>
      </c>
      <c r="AX115" t="s">
        <v>449</v>
      </c>
      <c r="AY115">
        <v>30</v>
      </c>
      <c r="AZ115" t="s">
        <v>423</v>
      </c>
      <c r="BA115" t="s">
        <v>424</v>
      </c>
      <c r="BB115" t="s">
        <v>417</v>
      </c>
      <c r="BC115" t="s">
        <v>514</v>
      </c>
      <c r="BD115" t="s">
        <v>453</v>
      </c>
      <c r="BE115" t="s">
        <v>426</v>
      </c>
      <c r="BF115">
        <v>21</v>
      </c>
      <c r="BG115" t="s">
        <v>420</v>
      </c>
      <c r="BH115" t="s">
        <v>421</v>
      </c>
      <c r="BI115" t="s">
        <v>428</v>
      </c>
      <c r="BJ115" t="s">
        <v>321</v>
      </c>
      <c r="BK115" t="s">
        <v>321</v>
      </c>
      <c r="BL115" t="s">
        <v>321</v>
      </c>
      <c r="BM115" t="s">
        <v>441</v>
      </c>
      <c r="BN115" t="s">
        <v>449</v>
      </c>
      <c r="BO115">
        <v>30</v>
      </c>
      <c r="BP115" t="s">
        <v>423</v>
      </c>
      <c r="BQ115" t="s">
        <v>424</v>
      </c>
      <c r="BR115" t="s">
        <v>321</v>
      </c>
      <c r="BS115" t="s">
        <v>321</v>
      </c>
      <c r="BT115" t="s">
        <v>321</v>
      </c>
      <c r="BU115" t="s">
        <v>321</v>
      </c>
      <c r="BV115" t="s">
        <v>321</v>
      </c>
      <c r="BW115" t="s">
        <v>321</v>
      </c>
      <c r="BX115" t="s">
        <v>321</v>
      </c>
      <c r="BY115" t="s">
        <v>321</v>
      </c>
      <c r="BZ115" t="s">
        <v>321</v>
      </c>
      <c r="CA115" t="s">
        <v>321</v>
      </c>
      <c r="CB115" t="s">
        <v>321</v>
      </c>
      <c r="CC115" t="s">
        <v>321</v>
      </c>
      <c r="CD115" t="s">
        <v>321</v>
      </c>
      <c r="CE115" t="s">
        <v>321</v>
      </c>
      <c r="CF115" t="s">
        <v>321</v>
      </c>
      <c r="CG115" t="s">
        <v>321</v>
      </c>
      <c r="CH115" t="s">
        <v>321</v>
      </c>
      <c r="CI115" t="s">
        <v>321</v>
      </c>
      <c r="CJ115" t="s">
        <v>321</v>
      </c>
      <c r="CK115" t="s">
        <v>321</v>
      </c>
      <c r="CL115" t="s">
        <v>321</v>
      </c>
      <c r="CM115" t="s">
        <v>321</v>
      </c>
      <c r="CN115" t="s">
        <v>321</v>
      </c>
      <c r="CO115" t="s">
        <v>321</v>
      </c>
      <c r="CP115" t="s">
        <v>321</v>
      </c>
      <c r="CQ115" t="s">
        <v>321</v>
      </c>
      <c r="CR115" t="s">
        <v>321</v>
      </c>
      <c r="CS115" t="s">
        <v>321</v>
      </c>
      <c r="CT115" t="s">
        <v>321</v>
      </c>
      <c r="CU115" t="s">
        <v>321</v>
      </c>
      <c r="CV115" t="s">
        <v>321</v>
      </c>
      <c r="CW115" t="s">
        <v>321</v>
      </c>
      <c r="CX115">
        <v>278086.36489999999</v>
      </c>
      <c r="CY115">
        <v>4925309.2560000001</v>
      </c>
      <c r="CZ115">
        <v>44.447040999999999</v>
      </c>
      <c r="DA115">
        <v>-95.788906999999995</v>
      </c>
      <c r="DB115" s="291">
        <v>44367.784722222219</v>
      </c>
      <c r="DC115" t="s">
        <v>231</v>
      </c>
      <c r="DD115" t="s">
        <v>429</v>
      </c>
      <c r="DE115" t="s">
        <v>455</v>
      </c>
      <c r="DF115" t="s">
        <v>456</v>
      </c>
      <c r="DG115" t="s">
        <v>628</v>
      </c>
      <c r="DH115">
        <v>0</v>
      </c>
      <c r="DI115" t="s">
        <v>327</v>
      </c>
      <c r="DJ115">
        <v>100</v>
      </c>
      <c r="DK115">
        <v>9</v>
      </c>
    </row>
    <row r="116" spans="1:115" x14ac:dyDescent="0.25">
      <c r="A116">
        <v>115</v>
      </c>
      <c r="B116" t="s">
        <v>657</v>
      </c>
      <c r="C116">
        <v>1</v>
      </c>
      <c r="D116">
        <v>135</v>
      </c>
      <c r="E116">
        <v>1004435</v>
      </c>
      <c r="F116" t="s">
        <v>405</v>
      </c>
      <c r="G116">
        <v>59</v>
      </c>
      <c r="H116">
        <v>73.899000000000001</v>
      </c>
      <c r="I116" t="s">
        <v>297</v>
      </c>
      <c r="J116" t="s">
        <v>299</v>
      </c>
      <c r="K116" t="s">
        <v>321</v>
      </c>
      <c r="L116" t="s">
        <v>406</v>
      </c>
      <c r="M116" t="s">
        <v>299</v>
      </c>
      <c r="N116" t="s">
        <v>321</v>
      </c>
      <c r="O116">
        <v>22001779</v>
      </c>
      <c r="P116">
        <v>220370060</v>
      </c>
      <c r="Q116" s="290">
        <v>44959</v>
      </c>
      <c r="R116">
        <v>6</v>
      </c>
      <c r="S116">
        <v>2022</v>
      </c>
      <c r="T116" t="s">
        <v>489</v>
      </c>
      <c r="U116">
        <v>12</v>
      </c>
      <c r="V116" t="s">
        <v>422</v>
      </c>
      <c r="W116" t="s">
        <v>320</v>
      </c>
      <c r="X116">
        <v>0</v>
      </c>
      <c r="Y116">
        <v>2</v>
      </c>
      <c r="Z116" t="s">
        <v>476</v>
      </c>
      <c r="AA116" t="s">
        <v>409</v>
      </c>
      <c r="AB116" t="s">
        <v>452</v>
      </c>
      <c r="AC116" t="s">
        <v>433</v>
      </c>
      <c r="AD116" t="s">
        <v>467</v>
      </c>
      <c r="AE116" t="s">
        <v>321</v>
      </c>
      <c r="AF116" t="s">
        <v>467</v>
      </c>
      <c r="AG116" t="s">
        <v>414</v>
      </c>
      <c r="AH116" t="s">
        <v>435</v>
      </c>
      <c r="AI116" t="s">
        <v>960</v>
      </c>
      <c r="AJ116" t="s">
        <v>415</v>
      </c>
      <c r="AK116" t="s">
        <v>447</v>
      </c>
      <c r="AL116" t="s">
        <v>417</v>
      </c>
      <c r="AM116" t="s">
        <v>610</v>
      </c>
      <c r="AN116" t="s">
        <v>472</v>
      </c>
      <c r="AO116" t="s">
        <v>419</v>
      </c>
      <c r="AP116">
        <v>49</v>
      </c>
      <c r="AQ116" t="s">
        <v>420</v>
      </c>
      <c r="AR116" t="s">
        <v>421</v>
      </c>
      <c r="AS116" t="s">
        <v>430</v>
      </c>
      <c r="AT116" t="s">
        <v>321</v>
      </c>
      <c r="AU116" t="s">
        <v>321</v>
      </c>
      <c r="AV116" t="s">
        <v>321</v>
      </c>
      <c r="AW116" t="s">
        <v>441</v>
      </c>
      <c r="AX116" t="s">
        <v>449</v>
      </c>
      <c r="AY116">
        <v>30</v>
      </c>
      <c r="AZ116" t="s">
        <v>423</v>
      </c>
      <c r="BA116" t="s">
        <v>424</v>
      </c>
      <c r="BB116" t="s">
        <v>417</v>
      </c>
      <c r="BC116" t="s">
        <v>425</v>
      </c>
      <c r="BD116" t="s">
        <v>472</v>
      </c>
      <c r="BE116" t="s">
        <v>426</v>
      </c>
      <c r="BF116">
        <v>25</v>
      </c>
      <c r="BG116" t="s">
        <v>420</v>
      </c>
      <c r="BH116" t="s">
        <v>421</v>
      </c>
      <c r="BI116" t="s">
        <v>428</v>
      </c>
      <c r="BJ116" t="s">
        <v>321</v>
      </c>
      <c r="BK116" t="s">
        <v>321</v>
      </c>
      <c r="BL116" t="s">
        <v>321</v>
      </c>
      <c r="BM116" t="s">
        <v>441</v>
      </c>
      <c r="BN116" t="s">
        <v>449</v>
      </c>
      <c r="BO116">
        <v>30</v>
      </c>
      <c r="BP116" t="s">
        <v>423</v>
      </c>
      <c r="BQ116" t="s">
        <v>424</v>
      </c>
      <c r="BR116" t="s">
        <v>321</v>
      </c>
      <c r="BS116" t="s">
        <v>321</v>
      </c>
      <c r="BT116" t="s">
        <v>321</v>
      </c>
      <c r="BU116" t="s">
        <v>321</v>
      </c>
      <c r="BV116" t="s">
        <v>321</v>
      </c>
      <c r="BW116" t="s">
        <v>321</v>
      </c>
      <c r="BX116" t="s">
        <v>321</v>
      </c>
      <c r="BY116" t="s">
        <v>321</v>
      </c>
      <c r="BZ116" t="s">
        <v>321</v>
      </c>
      <c r="CA116" t="s">
        <v>321</v>
      </c>
      <c r="CB116" t="s">
        <v>321</v>
      </c>
      <c r="CC116" t="s">
        <v>321</v>
      </c>
      <c r="CD116" t="s">
        <v>321</v>
      </c>
      <c r="CE116" t="s">
        <v>321</v>
      </c>
      <c r="CF116" t="s">
        <v>321</v>
      </c>
      <c r="CG116" t="s">
        <v>321</v>
      </c>
      <c r="CH116" t="s">
        <v>321</v>
      </c>
      <c r="CI116" t="s">
        <v>321</v>
      </c>
      <c r="CJ116" t="s">
        <v>321</v>
      </c>
      <c r="CK116" t="s">
        <v>321</v>
      </c>
      <c r="CL116" t="s">
        <v>321</v>
      </c>
      <c r="CM116" t="s">
        <v>321</v>
      </c>
      <c r="CN116" t="s">
        <v>321</v>
      </c>
      <c r="CO116" t="s">
        <v>321</v>
      </c>
      <c r="CP116" t="s">
        <v>321</v>
      </c>
      <c r="CQ116" t="s">
        <v>321</v>
      </c>
      <c r="CR116" t="s">
        <v>321</v>
      </c>
      <c r="CS116" t="s">
        <v>321</v>
      </c>
      <c r="CT116" t="s">
        <v>321</v>
      </c>
      <c r="CU116" t="s">
        <v>321</v>
      </c>
      <c r="CV116" t="s">
        <v>321</v>
      </c>
      <c r="CW116" t="s">
        <v>321</v>
      </c>
      <c r="CX116">
        <v>278100.80160000001</v>
      </c>
      <c r="CY116">
        <v>4925294.1840000004</v>
      </c>
      <c r="CZ116">
        <v>44.446910000000003</v>
      </c>
      <c r="DA116">
        <v>-95.788719999999998</v>
      </c>
      <c r="DB116" s="291">
        <v>44598.502083333333</v>
      </c>
      <c r="DC116" t="s">
        <v>231</v>
      </c>
      <c r="DD116" t="s">
        <v>429</v>
      </c>
      <c r="DE116" t="s">
        <v>455</v>
      </c>
      <c r="DF116" t="s">
        <v>456</v>
      </c>
      <c r="DG116" t="s">
        <v>959</v>
      </c>
      <c r="DH116">
        <v>0</v>
      </c>
      <c r="DI116" t="s">
        <v>327</v>
      </c>
      <c r="DJ116">
        <v>100</v>
      </c>
      <c r="DK116">
        <v>9</v>
      </c>
    </row>
    <row r="117" spans="1:115" x14ac:dyDescent="0.25">
      <c r="A117">
        <v>116</v>
      </c>
      <c r="B117" t="s">
        <v>657</v>
      </c>
      <c r="C117">
        <v>1</v>
      </c>
      <c r="D117">
        <v>136</v>
      </c>
      <c r="E117">
        <v>405244</v>
      </c>
      <c r="F117" t="s">
        <v>464</v>
      </c>
      <c r="G117">
        <v>68</v>
      </c>
      <c r="H117">
        <v>39.231999999999999</v>
      </c>
      <c r="I117" t="s">
        <v>297</v>
      </c>
      <c r="J117" t="s">
        <v>299</v>
      </c>
      <c r="K117" t="s">
        <v>321</v>
      </c>
      <c r="L117" t="s">
        <v>406</v>
      </c>
      <c r="M117" t="s">
        <v>299</v>
      </c>
      <c r="N117" t="s">
        <v>321</v>
      </c>
      <c r="O117" t="s">
        <v>958</v>
      </c>
      <c r="P117">
        <v>163520144</v>
      </c>
      <c r="Q117" s="290">
        <v>45272</v>
      </c>
      <c r="R117">
        <v>17</v>
      </c>
      <c r="S117">
        <v>2016</v>
      </c>
      <c r="T117" t="s">
        <v>506</v>
      </c>
      <c r="U117">
        <v>14</v>
      </c>
      <c r="V117" t="s">
        <v>450</v>
      </c>
      <c r="W117" t="s">
        <v>320</v>
      </c>
      <c r="X117">
        <v>0</v>
      </c>
      <c r="Y117">
        <v>1</v>
      </c>
      <c r="Z117" t="s">
        <v>321</v>
      </c>
      <c r="AA117" t="s">
        <v>566</v>
      </c>
      <c r="AB117" t="s">
        <v>452</v>
      </c>
      <c r="AC117" t="s">
        <v>433</v>
      </c>
      <c r="AD117" t="s">
        <v>412</v>
      </c>
      <c r="AE117" t="s">
        <v>321</v>
      </c>
      <c r="AF117" t="s">
        <v>413</v>
      </c>
      <c r="AG117" t="s">
        <v>414</v>
      </c>
      <c r="AH117" t="s">
        <v>558</v>
      </c>
      <c r="AI117" t="s">
        <v>477</v>
      </c>
      <c r="AJ117" t="s">
        <v>559</v>
      </c>
      <c r="AK117" t="s">
        <v>436</v>
      </c>
      <c r="AL117" t="s">
        <v>417</v>
      </c>
      <c r="AM117" t="s">
        <v>425</v>
      </c>
      <c r="AN117" t="s">
        <v>453</v>
      </c>
      <c r="AO117" t="s">
        <v>487</v>
      </c>
      <c r="AP117">
        <v>29</v>
      </c>
      <c r="AQ117" t="s">
        <v>427</v>
      </c>
      <c r="AR117" t="s">
        <v>421</v>
      </c>
      <c r="AS117" t="s">
        <v>957</v>
      </c>
      <c r="AT117" t="s">
        <v>321</v>
      </c>
      <c r="AU117" t="s">
        <v>321</v>
      </c>
      <c r="AV117" t="s">
        <v>321</v>
      </c>
      <c r="AW117" t="s">
        <v>441</v>
      </c>
      <c r="AX117" t="s">
        <v>449</v>
      </c>
      <c r="AY117">
        <v>30</v>
      </c>
      <c r="AZ117" t="s">
        <v>423</v>
      </c>
      <c r="BA117" t="s">
        <v>424</v>
      </c>
      <c r="BB117" t="s">
        <v>321</v>
      </c>
      <c r="BC117" t="s">
        <v>321</v>
      </c>
      <c r="BD117" t="s">
        <v>321</v>
      </c>
      <c r="BE117" t="s">
        <v>321</v>
      </c>
      <c r="BF117" t="s">
        <v>321</v>
      </c>
      <c r="BG117" t="s">
        <v>321</v>
      </c>
      <c r="BH117" t="s">
        <v>321</v>
      </c>
      <c r="BI117" t="s">
        <v>321</v>
      </c>
      <c r="BJ117" t="s">
        <v>321</v>
      </c>
      <c r="BK117" t="s">
        <v>321</v>
      </c>
      <c r="BL117" t="s">
        <v>321</v>
      </c>
      <c r="BM117" t="s">
        <v>321</v>
      </c>
      <c r="BN117" t="s">
        <v>321</v>
      </c>
      <c r="BO117" t="s">
        <v>321</v>
      </c>
      <c r="BP117" t="s">
        <v>321</v>
      </c>
      <c r="BQ117" t="s">
        <v>321</v>
      </c>
      <c r="BR117" t="s">
        <v>321</v>
      </c>
      <c r="BS117" t="s">
        <v>321</v>
      </c>
      <c r="BT117" t="s">
        <v>321</v>
      </c>
      <c r="BU117" t="s">
        <v>321</v>
      </c>
      <c r="BV117" t="s">
        <v>321</v>
      </c>
      <c r="BW117" t="s">
        <v>321</v>
      </c>
      <c r="BX117" t="s">
        <v>321</v>
      </c>
      <c r="BY117" t="s">
        <v>321</v>
      </c>
      <c r="BZ117" t="s">
        <v>321</v>
      </c>
      <c r="CA117" t="s">
        <v>321</v>
      </c>
      <c r="CB117" t="s">
        <v>321</v>
      </c>
      <c r="CC117" t="s">
        <v>321</v>
      </c>
      <c r="CD117" t="s">
        <v>321</v>
      </c>
      <c r="CE117" t="s">
        <v>321</v>
      </c>
      <c r="CF117" t="s">
        <v>321</v>
      </c>
      <c r="CG117" t="s">
        <v>321</v>
      </c>
      <c r="CH117" t="s">
        <v>321</v>
      </c>
      <c r="CI117" t="s">
        <v>321</v>
      </c>
      <c r="CJ117" t="s">
        <v>321</v>
      </c>
      <c r="CK117" t="s">
        <v>321</v>
      </c>
      <c r="CL117" t="s">
        <v>321</v>
      </c>
      <c r="CM117" t="s">
        <v>321</v>
      </c>
      <c r="CN117" t="s">
        <v>321</v>
      </c>
      <c r="CO117" t="s">
        <v>321</v>
      </c>
      <c r="CP117" t="s">
        <v>321</v>
      </c>
      <c r="CQ117" t="s">
        <v>321</v>
      </c>
      <c r="CR117" t="s">
        <v>321</v>
      </c>
      <c r="CS117" t="s">
        <v>321</v>
      </c>
      <c r="CT117" t="s">
        <v>321</v>
      </c>
      <c r="CU117" t="s">
        <v>321</v>
      </c>
      <c r="CV117" t="s">
        <v>321</v>
      </c>
      <c r="CW117" t="s">
        <v>321</v>
      </c>
      <c r="CX117">
        <v>278093.0588</v>
      </c>
      <c r="CY117">
        <v>4925302.2929999996</v>
      </c>
      <c r="CZ117">
        <v>44.446980000000003</v>
      </c>
      <c r="DA117">
        <v>-95.788820000000001</v>
      </c>
      <c r="DB117" s="291">
        <v>42721.600694444445</v>
      </c>
      <c r="DC117" t="s">
        <v>231</v>
      </c>
      <c r="DD117" t="s">
        <v>429</v>
      </c>
      <c r="DE117" t="s">
        <v>455</v>
      </c>
      <c r="DF117" t="s">
        <v>456</v>
      </c>
      <c r="DG117" t="s">
        <v>956</v>
      </c>
      <c r="DH117">
        <v>0</v>
      </c>
      <c r="DI117" t="s">
        <v>327</v>
      </c>
      <c r="DJ117">
        <v>100</v>
      </c>
      <c r="DK117">
        <v>9</v>
      </c>
    </row>
    <row r="118" spans="1:115" x14ac:dyDescent="0.25">
      <c r="A118">
        <v>117</v>
      </c>
      <c r="B118" t="s">
        <v>657</v>
      </c>
      <c r="C118">
        <v>1</v>
      </c>
      <c r="D118">
        <v>137</v>
      </c>
      <c r="E118">
        <v>1060800</v>
      </c>
      <c r="F118" t="s">
        <v>405</v>
      </c>
      <c r="G118">
        <v>59</v>
      </c>
      <c r="H118">
        <v>73.899000000000001</v>
      </c>
      <c r="I118" t="s">
        <v>297</v>
      </c>
      <c r="J118" t="s">
        <v>299</v>
      </c>
      <c r="K118" t="s">
        <v>321</v>
      </c>
      <c r="L118" t="s">
        <v>321</v>
      </c>
      <c r="M118" t="s">
        <v>299</v>
      </c>
      <c r="N118" t="s">
        <v>321</v>
      </c>
      <c r="O118">
        <v>22018337</v>
      </c>
      <c r="P118">
        <v>223280058</v>
      </c>
      <c r="Q118" s="290">
        <v>45241</v>
      </c>
      <c r="R118">
        <v>24</v>
      </c>
      <c r="S118">
        <v>2022</v>
      </c>
      <c r="T118" t="s">
        <v>458</v>
      </c>
      <c r="U118">
        <v>21</v>
      </c>
      <c r="V118" t="s">
        <v>422</v>
      </c>
      <c r="W118" t="s">
        <v>320</v>
      </c>
      <c r="X118">
        <v>0</v>
      </c>
      <c r="Y118">
        <v>2</v>
      </c>
      <c r="Z118" t="s">
        <v>568</v>
      </c>
      <c r="AA118" t="s">
        <v>409</v>
      </c>
      <c r="AB118" t="s">
        <v>452</v>
      </c>
      <c r="AC118" t="s">
        <v>411</v>
      </c>
      <c r="AD118" t="s">
        <v>412</v>
      </c>
      <c r="AE118" t="s">
        <v>321</v>
      </c>
      <c r="AF118" t="s">
        <v>434</v>
      </c>
      <c r="AG118" t="s">
        <v>414</v>
      </c>
      <c r="AH118" t="s">
        <v>435</v>
      </c>
      <c r="AI118" t="s">
        <v>477</v>
      </c>
      <c r="AJ118" t="s">
        <v>415</v>
      </c>
      <c r="AK118" t="s">
        <v>578</v>
      </c>
      <c r="AL118" t="s">
        <v>417</v>
      </c>
      <c r="AM118" t="s">
        <v>425</v>
      </c>
      <c r="AN118" t="s">
        <v>448</v>
      </c>
      <c r="AO118" t="s">
        <v>426</v>
      </c>
      <c r="AP118">
        <v>46</v>
      </c>
      <c r="AQ118" t="s">
        <v>420</v>
      </c>
      <c r="AR118" t="s">
        <v>421</v>
      </c>
      <c r="AS118" t="s">
        <v>428</v>
      </c>
      <c r="AT118" t="s">
        <v>321</v>
      </c>
      <c r="AU118" t="s">
        <v>321</v>
      </c>
      <c r="AV118" t="s">
        <v>321</v>
      </c>
      <c r="AW118" t="s">
        <v>441</v>
      </c>
      <c r="AX118" t="s">
        <v>449</v>
      </c>
      <c r="AY118">
        <v>30</v>
      </c>
      <c r="AZ118" t="s">
        <v>423</v>
      </c>
      <c r="BA118" t="s">
        <v>424</v>
      </c>
      <c r="BB118" t="s">
        <v>417</v>
      </c>
      <c r="BC118" t="s">
        <v>425</v>
      </c>
      <c r="BD118" t="s">
        <v>461</v>
      </c>
      <c r="BE118" t="s">
        <v>487</v>
      </c>
      <c r="BF118">
        <v>19</v>
      </c>
      <c r="BG118" t="s">
        <v>427</v>
      </c>
      <c r="BH118" t="s">
        <v>421</v>
      </c>
      <c r="BI118" t="s">
        <v>454</v>
      </c>
      <c r="BJ118" t="s">
        <v>321</v>
      </c>
      <c r="BK118" t="s">
        <v>321</v>
      </c>
      <c r="BL118" t="s">
        <v>321</v>
      </c>
      <c r="BM118" t="s">
        <v>441</v>
      </c>
      <c r="BN118" t="s">
        <v>449</v>
      </c>
      <c r="BO118">
        <v>30</v>
      </c>
      <c r="BP118" t="s">
        <v>423</v>
      </c>
      <c r="BQ118" t="s">
        <v>424</v>
      </c>
      <c r="BR118" t="s">
        <v>321</v>
      </c>
      <c r="BS118" t="s">
        <v>321</v>
      </c>
      <c r="BT118" t="s">
        <v>321</v>
      </c>
      <c r="BU118" t="s">
        <v>321</v>
      </c>
      <c r="BV118" t="s">
        <v>321</v>
      </c>
      <c r="BW118" t="s">
        <v>321</v>
      </c>
      <c r="BX118" t="s">
        <v>321</v>
      </c>
      <c r="BY118" t="s">
        <v>321</v>
      </c>
      <c r="BZ118" t="s">
        <v>321</v>
      </c>
      <c r="CA118" t="s">
        <v>321</v>
      </c>
      <c r="CB118" t="s">
        <v>321</v>
      </c>
      <c r="CC118" t="s">
        <v>321</v>
      </c>
      <c r="CD118" t="s">
        <v>321</v>
      </c>
      <c r="CE118" t="s">
        <v>321</v>
      </c>
      <c r="CF118" t="s">
        <v>321</v>
      </c>
      <c r="CG118" t="s">
        <v>321</v>
      </c>
      <c r="CH118" t="s">
        <v>321</v>
      </c>
      <c r="CI118" t="s">
        <v>321</v>
      </c>
      <c r="CJ118" t="s">
        <v>321</v>
      </c>
      <c r="CK118" t="s">
        <v>321</v>
      </c>
      <c r="CL118" t="s">
        <v>321</v>
      </c>
      <c r="CM118" t="s">
        <v>321</v>
      </c>
      <c r="CN118" t="s">
        <v>321</v>
      </c>
      <c r="CO118" t="s">
        <v>321</v>
      </c>
      <c r="CP118" t="s">
        <v>321</v>
      </c>
      <c r="CQ118" t="s">
        <v>321</v>
      </c>
      <c r="CR118" t="s">
        <v>321</v>
      </c>
      <c r="CS118" t="s">
        <v>321</v>
      </c>
      <c r="CT118" t="s">
        <v>321</v>
      </c>
      <c r="CU118" t="s">
        <v>321</v>
      </c>
      <c r="CV118" t="s">
        <v>321</v>
      </c>
      <c r="CW118" t="s">
        <v>321</v>
      </c>
      <c r="CX118">
        <v>278100.71090000001</v>
      </c>
      <c r="CY118">
        <v>4925295.4400000004</v>
      </c>
      <c r="CZ118">
        <v>44.446913000000002</v>
      </c>
      <c r="DA118">
        <v>-95.788713000000001</v>
      </c>
      <c r="DB118" s="291">
        <v>44889.878472222219</v>
      </c>
      <c r="DC118" t="s">
        <v>231</v>
      </c>
      <c r="DD118" t="s">
        <v>429</v>
      </c>
      <c r="DE118" t="s">
        <v>455</v>
      </c>
      <c r="DF118" t="s">
        <v>456</v>
      </c>
      <c r="DG118" t="s">
        <v>955</v>
      </c>
      <c r="DH118">
        <v>0</v>
      </c>
      <c r="DI118" t="s">
        <v>327</v>
      </c>
      <c r="DJ118">
        <v>100</v>
      </c>
      <c r="DK118">
        <v>9</v>
      </c>
    </row>
    <row r="119" spans="1:115" x14ac:dyDescent="0.25">
      <c r="A119">
        <v>118</v>
      </c>
      <c r="B119" t="s">
        <v>657</v>
      </c>
      <c r="C119">
        <v>1</v>
      </c>
      <c r="D119">
        <v>138</v>
      </c>
      <c r="E119">
        <v>401640</v>
      </c>
      <c r="F119" t="s">
        <v>464</v>
      </c>
      <c r="G119">
        <v>68</v>
      </c>
      <c r="H119">
        <v>39.231999999999999</v>
      </c>
      <c r="I119" t="s">
        <v>297</v>
      </c>
      <c r="J119" t="s">
        <v>299</v>
      </c>
      <c r="K119" t="s">
        <v>321</v>
      </c>
      <c r="L119" t="s">
        <v>406</v>
      </c>
      <c r="M119" t="s">
        <v>299</v>
      </c>
      <c r="N119" t="s">
        <v>321</v>
      </c>
      <c r="O119" t="s">
        <v>954</v>
      </c>
      <c r="P119">
        <v>163440105</v>
      </c>
      <c r="Q119" s="290">
        <v>45272</v>
      </c>
      <c r="R119">
        <v>9</v>
      </c>
      <c r="S119">
        <v>2016</v>
      </c>
      <c r="T119" t="s">
        <v>485</v>
      </c>
      <c r="U119">
        <v>15</v>
      </c>
      <c r="V119" t="s">
        <v>450</v>
      </c>
      <c r="W119" t="s">
        <v>320</v>
      </c>
      <c r="X119">
        <v>0</v>
      </c>
      <c r="Y119">
        <v>2</v>
      </c>
      <c r="Z119" t="s">
        <v>525</v>
      </c>
      <c r="AA119" t="s">
        <v>409</v>
      </c>
      <c r="AB119" t="s">
        <v>452</v>
      </c>
      <c r="AC119" t="s">
        <v>433</v>
      </c>
      <c r="AD119" t="s">
        <v>412</v>
      </c>
      <c r="AE119" t="s">
        <v>321</v>
      </c>
      <c r="AF119" t="s">
        <v>434</v>
      </c>
      <c r="AG119" t="s">
        <v>414</v>
      </c>
      <c r="AH119" t="s">
        <v>558</v>
      </c>
      <c r="AI119" t="s">
        <v>321</v>
      </c>
      <c r="AJ119" t="s">
        <v>559</v>
      </c>
      <c r="AK119" t="s">
        <v>526</v>
      </c>
      <c r="AL119" t="s">
        <v>417</v>
      </c>
      <c r="AM119" t="s">
        <v>425</v>
      </c>
      <c r="AN119" t="s">
        <v>453</v>
      </c>
      <c r="AO119" t="s">
        <v>439</v>
      </c>
      <c r="AP119">
        <v>36</v>
      </c>
      <c r="AQ119" t="s">
        <v>420</v>
      </c>
      <c r="AR119" t="s">
        <v>421</v>
      </c>
      <c r="AS119" t="s">
        <v>428</v>
      </c>
      <c r="AT119" t="s">
        <v>321</v>
      </c>
      <c r="AU119" t="s">
        <v>321</v>
      </c>
      <c r="AV119" t="s">
        <v>321</v>
      </c>
      <c r="AW119" t="s">
        <v>441</v>
      </c>
      <c r="AX119" t="s">
        <v>449</v>
      </c>
      <c r="AY119" t="s">
        <v>321</v>
      </c>
      <c r="AZ119" t="s">
        <v>423</v>
      </c>
      <c r="BA119" t="s">
        <v>424</v>
      </c>
      <c r="BB119" t="s">
        <v>504</v>
      </c>
      <c r="BC119" t="s">
        <v>437</v>
      </c>
      <c r="BD119" t="s">
        <v>453</v>
      </c>
      <c r="BE119" t="s">
        <v>419</v>
      </c>
      <c r="BF119" t="s">
        <v>321</v>
      </c>
      <c r="BG119" t="s">
        <v>321</v>
      </c>
      <c r="BH119" t="s">
        <v>321</v>
      </c>
      <c r="BI119" t="s">
        <v>321</v>
      </c>
      <c r="BJ119" t="s">
        <v>321</v>
      </c>
      <c r="BK119" t="s">
        <v>321</v>
      </c>
      <c r="BL119" t="s">
        <v>321</v>
      </c>
      <c r="BM119" t="s">
        <v>441</v>
      </c>
      <c r="BN119" t="s">
        <v>449</v>
      </c>
      <c r="BO119">
        <v>30</v>
      </c>
      <c r="BP119" t="s">
        <v>423</v>
      </c>
      <c r="BQ119" t="s">
        <v>424</v>
      </c>
      <c r="BR119" t="s">
        <v>321</v>
      </c>
      <c r="BS119" t="s">
        <v>321</v>
      </c>
      <c r="BT119" t="s">
        <v>321</v>
      </c>
      <c r="BU119" t="s">
        <v>321</v>
      </c>
      <c r="BV119" t="s">
        <v>321</v>
      </c>
      <c r="BW119" t="s">
        <v>321</v>
      </c>
      <c r="BX119" t="s">
        <v>321</v>
      </c>
      <c r="BY119" t="s">
        <v>321</v>
      </c>
      <c r="BZ119" t="s">
        <v>321</v>
      </c>
      <c r="CA119" t="s">
        <v>321</v>
      </c>
      <c r="CB119" t="s">
        <v>321</v>
      </c>
      <c r="CC119" t="s">
        <v>321</v>
      </c>
      <c r="CD119" t="s">
        <v>321</v>
      </c>
      <c r="CE119" t="s">
        <v>321</v>
      </c>
      <c r="CF119" t="s">
        <v>321</v>
      </c>
      <c r="CG119" t="s">
        <v>321</v>
      </c>
      <c r="CH119" t="s">
        <v>321</v>
      </c>
      <c r="CI119" t="s">
        <v>321</v>
      </c>
      <c r="CJ119" t="s">
        <v>321</v>
      </c>
      <c r="CK119" t="s">
        <v>321</v>
      </c>
      <c r="CL119" t="s">
        <v>321</v>
      </c>
      <c r="CM119" t="s">
        <v>321</v>
      </c>
      <c r="CN119" t="s">
        <v>321</v>
      </c>
      <c r="CO119" t="s">
        <v>321</v>
      </c>
      <c r="CP119" t="s">
        <v>321</v>
      </c>
      <c r="CQ119" t="s">
        <v>321</v>
      </c>
      <c r="CR119" t="s">
        <v>321</v>
      </c>
      <c r="CS119" t="s">
        <v>321</v>
      </c>
      <c r="CT119" t="s">
        <v>321</v>
      </c>
      <c r="CU119" t="s">
        <v>321</v>
      </c>
      <c r="CV119" t="s">
        <v>321</v>
      </c>
      <c r="CW119" t="s">
        <v>321</v>
      </c>
      <c r="CX119">
        <v>278093.66590000002</v>
      </c>
      <c r="CY119">
        <v>4925301.6610000003</v>
      </c>
      <c r="CZ119">
        <v>44.446975000000002</v>
      </c>
      <c r="DA119">
        <v>-95.788811999999993</v>
      </c>
      <c r="DB119" s="291">
        <v>42713.645833333336</v>
      </c>
      <c r="DC119" t="s">
        <v>231</v>
      </c>
      <c r="DD119" t="s">
        <v>429</v>
      </c>
      <c r="DE119" t="s">
        <v>455</v>
      </c>
      <c r="DF119" t="s">
        <v>456</v>
      </c>
      <c r="DG119" t="s">
        <v>953</v>
      </c>
      <c r="DH119">
        <v>0</v>
      </c>
      <c r="DI119" t="s">
        <v>327</v>
      </c>
      <c r="DJ119">
        <v>100</v>
      </c>
      <c r="DK119">
        <v>9</v>
      </c>
    </row>
    <row r="120" spans="1:115" x14ac:dyDescent="0.25">
      <c r="A120">
        <v>119</v>
      </c>
      <c r="B120" t="s">
        <v>657</v>
      </c>
      <c r="C120">
        <v>1</v>
      </c>
      <c r="D120">
        <v>139</v>
      </c>
      <c r="E120">
        <v>897798</v>
      </c>
      <c r="F120" t="s">
        <v>464</v>
      </c>
      <c r="G120">
        <v>68</v>
      </c>
      <c r="H120">
        <v>39.232999999999997</v>
      </c>
      <c r="I120" t="s">
        <v>297</v>
      </c>
      <c r="J120" t="s">
        <v>299</v>
      </c>
      <c r="K120" t="s">
        <v>321</v>
      </c>
      <c r="L120" t="s">
        <v>406</v>
      </c>
      <c r="M120" t="s">
        <v>299</v>
      </c>
      <c r="N120" t="s">
        <v>321</v>
      </c>
      <c r="O120" t="s">
        <v>629</v>
      </c>
      <c r="P120">
        <v>210810147</v>
      </c>
      <c r="Q120" s="290">
        <v>44988</v>
      </c>
      <c r="R120">
        <v>22</v>
      </c>
      <c r="S120">
        <v>2021</v>
      </c>
      <c r="T120" t="s">
        <v>431</v>
      </c>
      <c r="U120">
        <v>11</v>
      </c>
      <c r="V120" t="s">
        <v>495</v>
      </c>
      <c r="W120" t="s">
        <v>320</v>
      </c>
      <c r="X120">
        <v>0</v>
      </c>
      <c r="Y120">
        <v>1</v>
      </c>
      <c r="Z120" t="s">
        <v>321</v>
      </c>
      <c r="AA120" t="s">
        <v>557</v>
      </c>
      <c r="AB120" t="s">
        <v>452</v>
      </c>
      <c r="AC120" t="s">
        <v>433</v>
      </c>
      <c r="AD120" t="s">
        <v>412</v>
      </c>
      <c r="AE120" t="s">
        <v>321</v>
      </c>
      <c r="AF120" t="s">
        <v>434</v>
      </c>
      <c r="AG120" t="s">
        <v>414</v>
      </c>
      <c r="AH120" t="s">
        <v>558</v>
      </c>
      <c r="AI120" t="s">
        <v>321</v>
      </c>
      <c r="AJ120" t="s">
        <v>559</v>
      </c>
      <c r="AK120" t="s">
        <v>436</v>
      </c>
      <c r="AL120" t="s">
        <v>417</v>
      </c>
      <c r="AM120" t="s">
        <v>437</v>
      </c>
      <c r="AN120" t="s">
        <v>472</v>
      </c>
      <c r="AO120" t="s">
        <v>426</v>
      </c>
      <c r="AP120">
        <v>61</v>
      </c>
      <c r="AQ120" t="s">
        <v>427</v>
      </c>
      <c r="AR120" t="s">
        <v>421</v>
      </c>
      <c r="AS120" t="s">
        <v>428</v>
      </c>
      <c r="AT120" t="s">
        <v>321</v>
      </c>
      <c r="AU120" t="s">
        <v>321</v>
      </c>
      <c r="AV120" t="s">
        <v>321</v>
      </c>
      <c r="AW120" t="s">
        <v>441</v>
      </c>
      <c r="AX120" t="s">
        <v>449</v>
      </c>
      <c r="AY120">
        <v>30</v>
      </c>
      <c r="AZ120" t="s">
        <v>423</v>
      </c>
      <c r="BA120" t="s">
        <v>424</v>
      </c>
      <c r="BB120" t="s">
        <v>321</v>
      </c>
      <c r="BC120" t="s">
        <v>321</v>
      </c>
      <c r="BD120" t="s">
        <v>321</v>
      </c>
      <c r="BE120" t="s">
        <v>321</v>
      </c>
      <c r="BF120" t="s">
        <v>321</v>
      </c>
      <c r="BG120" t="s">
        <v>321</v>
      </c>
      <c r="BH120" t="s">
        <v>321</v>
      </c>
      <c r="BI120" t="s">
        <v>321</v>
      </c>
      <c r="BJ120" t="s">
        <v>321</v>
      </c>
      <c r="BK120" t="s">
        <v>321</v>
      </c>
      <c r="BL120" t="s">
        <v>321</v>
      </c>
      <c r="BM120" t="s">
        <v>321</v>
      </c>
      <c r="BN120" t="s">
        <v>321</v>
      </c>
      <c r="BO120" t="s">
        <v>321</v>
      </c>
      <c r="BP120" t="s">
        <v>321</v>
      </c>
      <c r="BQ120" t="s">
        <v>321</v>
      </c>
      <c r="BR120" t="s">
        <v>321</v>
      </c>
      <c r="BS120" t="s">
        <v>321</v>
      </c>
      <c r="BT120" t="s">
        <v>321</v>
      </c>
      <c r="BU120" t="s">
        <v>321</v>
      </c>
      <c r="BV120" t="s">
        <v>321</v>
      </c>
      <c r="BW120" t="s">
        <v>321</v>
      </c>
      <c r="BX120" t="s">
        <v>321</v>
      </c>
      <c r="BY120" t="s">
        <v>321</v>
      </c>
      <c r="BZ120" t="s">
        <v>321</v>
      </c>
      <c r="CA120" t="s">
        <v>321</v>
      </c>
      <c r="CB120" t="s">
        <v>321</v>
      </c>
      <c r="CC120" t="s">
        <v>321</v>
      </c>
      <c r="CD120" t="s">
        <v>321</v>
      </c>
      <c r="CE120" t="s">
        <v>321</v>
      </c>
      <c r="CF120" t="s">
        <v>321</v>
      </c>
      <c r="CG120" t="s">
        <v>321</v>
      </c>
      <c r="CH120" t="s">
        <v>321</v>
      </c>
      <c r="CI120" t="s">
        <v>321</v>
      </c>
      <c r="CJ120" t="s">
        <v>321</v>
      </c>
      <c r="CK120" t="s">
        <v>321</v>
      </c>
      <c r="CL120" t="s">
        <v>321</v>
      </c>
      <c r="CM120" t="s">
        <v>321</v>
      </c>
      <c r="CN120" t="s">
        <v>321</v>
      </c>
      <c r="CO120" t="s">
        <v>321</v>
      </c>
      <c r="CP120" t="s">
        <v>321</v>
      </c>
      <c r="CQ120" t="s">
        <v>321</v>
      </c>
      <c r="CR120" t="s">
        <v>321</v>
      </c>
      <c r="CS120" t="s">
        <v>321</v>
      </c>
      <c r="CT120" t="s">
        <v>321</v>
      </c>
      <c r="CU120" t="s">
        <v>321</v>
      </c>
      <c r="CV120" t="s">
        <v>321</v>
      </c>
      <c r="CW120" t="s">
        <v>321</v>
      </c>
      <c r="CX120">
        <v>278093.97560000001</v>
      </c>
      <c r="CY120">
        <v>4925301.3389999997</v>
      </c>
      <c r="CZ120">
        <v>44.446972000000002</v>
      </c>
      <c r="DA120">
        <v>-95.788808000000003</v>
      </c>
      <c r="DB120" s="291">
        <v>44277.49722222222</v>
      </c>
      <c r="DC120" t="s">
        <v>231</v>
      </c>
      <c r="DD120" t="s">
        <v>429</v>
      </c>
      <c r="DE120" t="s">
        <v>455</v>
      </c>
      <c r="DF120" t="s">
        <v>456</v>
      </c>
      <c r="DG120" t="s">
        <v>630</v>
      </c>
      <c r="DH120">
        <v>0</v>
      </c>
      <c r="DI120" t="s">
        <v>327</v>
      </c>
      <c r="DJ120">
        <v>100</v>
      </c>
      <c r="DK120">
        <v>9</v>
      </c>
    </row>
    <row r="121" spans="1:115" x14ac:dyDescent="0.25">
      <c r="A121">
        <v>120</v>
      </c>
      <c r="B121" t="s">
        <v>657</v>
      </c>
      <c r="C121">
        <v>1</v>
      </c>
      <c r="D121">
        <v>140</v>
      </c>
      <c r="E121">
        <v>10971813</v>
      </c>
      <c r="F121" t="s">
        <v>464</v>
      </c>
      <c r="G121">
        <v>68</v>
      </c>
      <c r="H121">
        <v>39.232999999999997</v>
      </c>
      <c r="I121" t="s">
        <v>297</v>
      </c>
      <c r="J121" t="s">
        <v>299</v>
      </c>
      <c r="K121" t="s">
        <v>321</v>
      </c>
      <c r="L121" t="s">
        <v>406</v>
      </c>
      <c r="M121" t="s">
        <v>299</v>
      </c>
      <c r="N121" t="s">
        <v>321</v>
      </c>
      <c r="O121" t="s">
        <v>952</v>
      </c>
      <c r="P121">
        <v>140920029</v>
      </c>
      <c r="Q121" s="290">
        <v>44988</v>
      </c>
      <c r="R121">
        <v>27</v>
      </c>
      <c r="S121">
        <v>2014</v>
      </c>
      <c r="T121" t="s">
        <v>458</v>
      </c>
      <c r="U121">
        <v>15</v>
      </c>
      <c r="V121" t="s">
        <v>321</v>
      </c>
      <c r="W121" t="s">
        <v>320</v>
      </c>
      <c r="X121">
        <v>0</v>
      </c>
      <c r="Y121">
        <v>2</v>
      </c>
      <c r="Z121" t="s">
        <v>797</v>
      </c>
      <c r="AA121" t="s">
        <v>409</v>
      </c>
      <c r="AB121" t="s">
        <v>452</v>
      </c>
      <c r="AC121" t="s">
        <v>433</v>
      </c>
      <c r="AD121" t="s">
        <v>467</v>
      </c>
      <c r="AE121" t="s">
        <v>522</v>
      </c>
      <c r="AF121" t="s">
        <v>413</v>
      </c>
      <c r="AG121" t="s">
        <v>414</v>
      </c>
      <c r="AH121" t="s">
        <v>896</v>
      </c>
      <c r="AI121" t="s">
        <v>951</v>
      </c>
      <c r="AJ121" t="s">
        <v>559</v>
      </c>
      <c r="AK121" t="s">
        <v>447</v>
      </c>
      <c r="AL121" t="s">
        <v>417</v>
      </c>
      <c r="AM121" t="s">
        <v>418</v>
      </c>
      <c r="AN121" t="s">
        <v>448</v>
      </c>
      <c r="AO121" t="s">
        <v>426</v>
      </c>
      <c r="AP121">
        <v>19</v>
      </c>
      <c r="AQ121" t="s">
        <v>420</v>
      </c>
      <c r="AR121" t="s">
        <v>430</v>
      </c>
      <c r="AS121" t="s">
        <v>806</v>
      </c>
      <c r="AT121" t="s">
        <v>321</v>
      </c>
      <c r="AU121" t="s">
        <v>321</v>
      </c>
      <c r="AV121" t="s">
        <v>321</v>
      </c>
      <c r="AW121" t="s">
        <v>321</v>
      </c>
      <c r="AX121" t="s">
        <v>449</v>
      </c>
      <c r="AY121">
        <v>30</v>
      </c>
      <c r="AZ121" t="s">
        <v>423</v>
      </c>
      <c r="BA121" t="s">
        <v>424</v>
      </c>
      <c r="BB121" t="s">
        <v>417</v>
      </c>
      <c r="BC121" t="s">
        <v>425</v>
      </c>
      <c r="BD121" t="s">
        <v>448</v>
      </c>
      <c r="BE121" t="s">
        <v>794</v>
      </c>
      <c r="BF121">
        <v>36</v>
      </c>
      <c r="BG121" t="s">
        <v>427</v>
      </c>
      <c r="BH121" t="s">
        <v>421</v>
      </c>
      <c r="BI121" t="s">
        <v>428</v>
      </c>
      <c r="BJ121" t="s">
        <v>321</v>
      </c>
      <c r="BK121" t="s">
        <v>321</v>
      </c>
      <c r="BL121" t="s">
        <v>321</v>
      </c>
      <c r="BM121" t="s">
        <v>321</v>
      </c>
      <c r="BN121" t="s">
        <v>449</v>
      </c>
      <c r="BO121">
        <v>30</v>
      </c>
      <c r="BP121" t="s">
        <v>423</v>
      </c>
      <c r="BQ121" t="s">
        <v>424</v>
      </c>
      <c r="BR121" t="s">
        <v>321</v>
      </c>
      <c r="BS121" t="s">
        <v>321</v>
      </c>
      <c r="BT121" t="s">
        <v>321</v>
      </c>
      <c r="BU121" t="s">
        <v>321</v>
      </c>
      <c r="BV121" t="s">
        <v>321</v>
      </c>
      <c r="BW121" t="s">
        <v>321</v>
      </c>
      <c r="BX121" t="s">
        <v>321</v>
      </c>
      <c r="BY121" t="s">
        <v>321</v>
      </c>
      <c r="BZ121" t="s">
        <v>321</v>
      </c>
      <c r="CA121" t="s">
        <v>321</v>
      </c>
      <c r="CB121" t="s">
        <v>321</v>
      </c>
      <c r="CC121" t="s">
        <v>321</v>
      </c>
      <c r="CD121" t="s">
        <v>321</v>
      </c>
      <c r="CE121" t="s">
        <v>321</v>
      </c>
      <c r="CF121" t="s">
        <v>321</v>
      </c>
      <c r="CG121" t="s">
        <v>321</v>
      </c>
      <c r="CH121" t="s">
        <v>321</v>
      </c>
      <c r="CI121" t="s">
        <v>321</v>
      </c>
      <c r="CJ121" t="s">
        <v>321</v>
      </c>
      <c r="CK121" t="s">
        <v>321</v>
      </c>
      <c r="CL121" t="s">
        <v>321</v>
      </c>
      <c r="CM121" t="s">
        <v>321</v>
      </c>
      <c r="CN121" t="s">
        <v>321</v>
      </c>
      <c r="CO121" t="s">
        <v>321</v>
      </c>
      <c r="CP121" t="s">
        <v>321</v>
      </c>
      <c r="CQ121" t="s">
        <v>321</v>
      </c>
      <c r="CR121" t="s">
        <v>321</v>
      </c>
      <c r="CS121" t="s">
        <v>321</v>
      </c>
      <c r="CT121" t="s">
        <v>321</v>
      </c>
      <c r="CU121" t="s">
        <v>321</v>
      </c>
      <c r="CV121" t="s">
        <v>321</v>
      </c>
      <c r="CW121" t="s">
        <v>321</v>
      </c>
      <c r="CX121">
        <v>278094.28080000001</v>
      </c>
      <c r="CY121">
        <v>4925301.0219999999</v>
      </c>
      <c r="CZ121">
        <v>44.446969000000003</v>
      </c>
      <c r="DA121">
        <v>-95.788803999999999</v>
      </c>
      <c r="DB121" s="291">
        <v>41725.633333333331</v>
      </c>
      <c r="DC121" t="s">
        <v>231</v>
      </c>
      <c r="DD121" t="s">
        <v>429</v>
      </c>
      <c r="DE121" t="s">
        <v>430</v>
      </c>
      <c r="DF121" t="s">
        <v>430</v>
      </c>
      <c r="DG121" t="s">
        <v>950</v>
      </c>
      <c r="DH121">
        <v>0</v>
      </c>
      <c r="DI121" t="s">
        <v>327</v>
      </c>
      <c r="DJ121">
        <v>100</v>
      </c>
      <c r="DK121">
        <v>9</v>
      </c>
    </row>
    <row r="122" spans="1:115" x14ac:dyDescent="0.25">
      <c r="A122">
        <v>121</v>
      </c>
      <c r="B122" t="s">
        <v>657</v>
      </c>
      <c r="C122">
        <v>1</v>
      </c>
      <c r="D122">
        <v>141</v>
      </c>
      <c r="E122">
        <v>670068</v>
      </c>
      <c r="F122" t="s">
        <v>464</v>
      </c>
      <c r="G122">
        <v>68</v>
      </c>
      <c r="H122">
        <v>39.234000000000002</v>
      </c>
      <c r="I122" t="s">
        <v>297</v>
      </c>
      <c r="J122" t="s">
        <v>299</v>
      </c>
      <c r="K122" t="s">
        <v>321</v>
      </c>
      <c r="L122" t="s">
        <v>406</v>
      </c>
      <c r="M122" t="s">
        <v>299</v>
      </c>
      <c r="N122" t="s">
        <v>321</v>
      </c>
      <c r="O122" t="s">
        <v>949</v>
      </c>
      <c r="P122">
        <v>183540225</v>
      </c>
      <c r="Q122" s="290">
        <v>45272</v>
      </c>
      <c r="R122">
        <v>20</v>
      </c>
      <c r="S122">
        <v>2018</v>
      </c>
      <c r="T122" t="s">
        <v>458</v>
      </c>
      <c r="U122">
        <v>15</v>
      </c>
      <c r="V122" t="s">
        <v>495</v>
      </c>
      <c r="W122" t="s">
        <v>320</v>
      </c>
      <c r="X122">
        <v>0</v>
      </c>
      <c r="Y122">
        <v>1</v>
      </c>
      <c r="Z122" t="s">
        <v>321</v>
      </c>
      <c r="AA122" t="s">
        <v>566</v>
      </c>
      <c r="AB122" t="s">
        <v>452</v>
      </c>
      <c r="AC122" t="s">
        <v>547</v>
      </c>
      <c r="AD122" t="s">
        <v>446</v>
      </c>
      <c r="AE122" t="s">
        <v>321</v>
      </c>
      <c r="AF122" t="s">
        <v>523</v>
      </c>
      <c r="AG122" t="s">
        <v>414</v>
      </c>
      <c r="AH122" t="s">
        <v>558</v>
      </c>
      <c r="AI122" t="s">
        <v>477</v>
      </c>
      <c r="AJ122" t="s">
        <v>559</v>
      </c>
      <c r="AK122" t="s">
        <v>436</v>
      </c>
      <c r="AL122" t="s">
        <v>417</v>
      </c>
      <c r="AM122" t="s">
        <v>437</v>
      </c>
      <c r="AN122" t="s">
        <v>472</v>
      </c>
      <c r="AO122" t="s">
        <v>419</v>
      </c>
      <c r="AP122">
        <v>80</v>
      </c>
      <c r="AQ122" t="s">
        <v>420</v>
      </c>
      <c r="AR122" t="s">
        <v>421</v>
      </c>
      <c r="AS122" t="s">
        <v>428</v>
      </c>
      <c r="AT122" t="s">
        <v>321</v>
      </c>
      <c r="AU122" t="s">
        <v>321</v>
      </c>
      <c r="AV122" t="s">
        <v>321</v>
      </c>
      <c r="AW122" t="s">
        <v>441</v>
      </c>
      <c r="AX122" t="s">
        <v>449</v>
      </c>
      <c r="AY122">
        <v>30</v>
      </c>
      <c r="AZ122" t="s">
        <v>423</v>
      </c>
      <c r="BA122" t="s">
        <v>424</v>
      </c>
      <c r="BB122" t="s">
        <v>321</v>
      </c>
      <c r="BC122" t="s">
        <v>321</v>
      </c>
      <c r="BD122" t="s">
        <v>321</v>
      </c>
      <c r="BE122" t="s">
        <v>321</v>
      </c>
      <c r="BF122" t="s">
        <v>321</v>
      </c>
      <c r="BG122" t="s">
        <v>321</v>
      </c>
      <c r="BH122" t="s">
        <v>321</v>
      </c>
      <c r="BI122" t="s">
        <v>321</v>
      </c>
      <c r="BJ122" t="s">
        <v>321</v>
      </c>
      <c r="BK122" t="s">
        <v>321</v>
      </c>
      <c r="BL122" t="s">
        <v>321</v>
      </c>
      <c r="BM122" t="s">
        <v>321</v>
      </c>
      <c r="BN122" t="s">
        <v>321</v>
      </c>
      <c r="BO122" t="s">
        <v>321</v>
      </c>
      <c r="BP122" t="s">
        <v>321</v>
      </c>
      <c r="BQ122" t="s">
        <v>321</v>
      </c>
      <c r="BR122" t="s">
        <v>321</v>
      </c>
      <c r="BS122" t="s">
        <v>321</v>
      </c>
      <c r="BT122" t="s">
        <v>321</v>
      </c>
      <c r="BU122" t="s">
        <v>321</v>
      </c>
      <c r="BV122" t="s">
        <v>321</v>
      </c>
      <c r="BW122" t="s">
        <v>321</v>
      </c>
      <c r="BX122" t="s">
        <v>321</v>
      </c>
      <c r="BY122" t="s">
        <v>321</v>
      </c>
      <c r="BZ122" t="s">
        <v>321</v>
      </c>
      <c r="CA122" t="s">
        <v>321</v>
      </c>
      <c r="CB122" t="s">
        <v>321</v>
      </c>
      <c r="CC122" t="s">
        <v>321</v>
      </c>
      <c r="CD122" t="s">
        <v>321</v>
      </c>
      <c r="CE122" t="s">
        <v>321</v>
      </c>
      <c r="CF122" t="s">
        <v>321</v>
      </c>
      <c r="CG122" t="s">
        <v>321</v>
      </c>
      <c r="CH122" t="s">
        <v>321</v>
      </c>
      <c r="CI122" t="s">
        <v>321</v>
      </c>
      <c r="CJ122" t="s">
        <v>321</v>
      </c>
      <c r="CK122" t="s">
        <v>321</v>
      </c>
      <c r="CL122" t="s">
        <v>321</v>
      </c>
      <c r="CM122" t="s">
        <v>321</v>
      </c>
      <c r="CN122" t="s">
        <v>321</v>
      </c>
      <c r="CO122" t="s">
        <v>321</v>
      </c>
      <c r="CP122" t="s">
        <v>321</v>
      </c>
      <c r="CQ122" t="s">
        <v>321</v>
      </c>
      <c r="CR122" t="s">
        <v>321</v>
      </c>
      <c r="CS122" t="s">
        <v>321</v>
      </c>
      <c r="CT122" t="s">
        <v>321</v>
      </c>
      <c r="CU122" t="s">
        <v>321</v>
      </c>
      <c r="CV122" t="s">
        <v>321</v>
      </c>
      <c r="CW122" t="s">
        <v>321</v>
      </c>
      <c r="CX122">
        <v>278095.29310000001</v>
      </c>
      <c r="CY122">
        <v>4925299.9689999996</v>
      </c>
      <c r="CZ122">
        <v>44.446959999999997</v>
      </c>
      <c r="DA122">
        <v>-95.788791000000003</v>
      </c>
      <c r="DB122" s="291">
        <v>43454.65625</v>
      </c>
      <c r="DC122" t="s">
        <v>231</v>
      </c>
      <c r="DD122" t="s">
        <v>429</v>
      </c>
      <c r="DE122" t="s">
        <v>455</v>
      </c>
      <c r="DF122" t="s">
        <v>456</v>
      </c>
      <c r="DG122" t="s">
        <v>948</v>
      </c>
      <c r="DH122">
        <v>0</v>
      </c>
      <c r="DI122" t="s">
        <v>327</v>
      </c>
      <c r="DJ122">
        <v>100</v>
      </c>
      <c r="DK122">
        <v>9</v>
      </c>
    </row>
    <row r="123" spans="1:115" x14ac:dyDescent="0.25">
      <c r="A123">
        <v>122</v>
      </c>
      <c r="B123" t="s">
        <v>657</v>
      </c>
      <c r="C123">
        <v>1</v>
      </c>
      <c r="D123">
        <v>142</v>
      </c>
      <c r="E123">
        <v>1068373</v>
      </c>
      <c r="F123" t="s">
        <v>464</v>
      </c>
      <c r="G123">
        <v>19</v>
      </c>
      <c r="H123">
        <v>34.404000000000003</v>
      </c>
      <c r="I123" t="s">
        <v>297</v>
      </c>
      <c r="J123" t="s">
        <v>299</v>
      </c>
      <c r="K123" t="s">
        <v>321</v>
      </c>
      <c r="L123" t="s">
        <v>321</v>
      </c>
      <c r="M123" t="s">
        <v>299</v>
      </c>
      <c r="N123" t="s">
        <v>321</v>
      </c>
      <c r="O123" t="s">
        <v>947</v>
      </c>
      <c r="P123">
        <v>223550352</v>
      </c>
      <c r="Q123" s="290">
        <v>45272</v>
      </c>
      <c r="R123">
        <v>21</v>
      </c>
      <c r="S123">
        <v>2022</v>
      </c>
      <c r="T123" t="s">
        <v>494</v>
      </c>
      <c r="U123">
        <v>12</v>
      </c>
      <c r="V123" t="s">
        <v>321</v>
      </c>
      <c r="W123" t="s">
        <v>320</v>
      </c>
      <c r="X123">
        <v>0</v>
      </c>
      <c r="Y123">
        <v>2</v>
      </c>
      <c r="Z123" t="s">
        <v>476</v>
      </c>
      <c r="AA123" t="s">
        <v>409</v>
      </c>
      <c r="AB123" t="s">
        <v>946</v>
      </c>
      <c r="AC123" t="s">
        <v>433</v>
      </c>
      <c r="AD123" t="s">
        <v>467</v>
      </c>
      <c r="AE123" t="s">
        <v>321</v>
      </c>
      <c r="AF123" t="s">
        <v>467</v>
      </c>
      <c r="AG123" t="s">
        <v>414</v>
      </c>
      <c r="AH123" t="s">
        <v>469</v>
      </c>
      <c r="AI123" t="s">
        <v>321</v>
      </c>
      <c r="AJ123" t="s">
        <v>471</v>
      </c>
      <c r="AK123" t="s">
        <v>447</v>
      </c>
      <c r="AL123" t="s">
        <v>417</v>
      </c>
      <c r="AM123" t="s">
        <v>478</v>
      </c>
      <c r="AN123" t="s">
        <v>448</v>
      </c>
      <c r="AO123" t="s">
        <v>480</v>
      </c>
      <c r="AP123">
        <v>53</v>
      </c>
      <c r="AQ123" t="s">
        <v>420</v>
      </c>
      <c r="AR123" t="s">
        <v>421</v>
      </c>
      <c r="AS123" t="s">
        <v>428</v>
      </c>
      <c r="AT123" t="s">
        <v>321</v>
      </c>
      <c r="AU123" t="s">
        <v>321</v>
      </c>
      <c r="AV123" t="s">
        <v>321</v>
      </c>
      <c r="AW123" t="s">
        <v>441</v>
      </c>
      <c r="AX123" t="s">
        <v>449</v>
      </c>
      <c r="AY123">
        <v>30</v>
      </c>
      <c r="AZ123" t="s">
        <v>423</v>
      </c>
      <c r="BA123" t="s">
        <v>424</v>
      </c>
      <c r="BB123" t="s">
        <v>417</v>
      </c>
      <c r="BC123" t="s">
        <v>478</v>
      </c>
      <c r="BD123" t="s">
        <v>448</v>
      </c>
      <c r="BE123" t="s">
        <v>426</v>
      </c>
      <c r="BF123">
        <v>34</v>
      </c>
      <c r="BG123" t="s">
        <v>420</v>
      </c>
      <c r="BH123" t="s">
        <v>421</v>
      </c>
      <c r="BI123" t="s">
        <v>430</v>
      </c>
      <c r="BJ123" t="s">
        <v>321</v>
      </c>
      <c r="BK123" t="s">
        <v>321</v>
      </c>
      <c r="BL123" t="s">
        <v>321</v>
      </c>
      <c r="BM123" t="s">
        <v>441</v>
      </c>
      <c r="BN123" t="s">
        <v>449</v>
      </c>
      <c r="BO123">
        <v>30</v>
      </c>
      <c r="BP123" t="s">
        <v>423</v>
      </c>
      <c r="BQ123" t="s">
        <v>424</v>
      </c>
      <c r="BR123" t="s">
        <v>321</v>
      </c>
      <c r="BS123" t="s">
        <v>321</v>
      </c>
      <c r="BT123" t="s">
        <v>321</v>
      </c>
      <c r="BU123" t="s">
        <v>321</v>
      </c>
      <c r="BV123" t="s">
        <v>321</v>
      </c>
      <c r="BW123" t="s">
        <v>321</v>
      </c>
      <c r="BX123" t="s">
        <v>321</v>
      </c>
      <c r="BY123" t="s">
        <v>321</v>
      </c>
      <c r="BZ123" t="s">
        <v>321</v>
      </c>
      <c r="CA123" t="s">
        <v>321</v>
      </c>
      <c r="CB123" t="s">
        <v>321</v>
      </c>
      <c r="CC123" t="s">
        <v>321</v>
      </c>
      <c r="CD123" t="s">
        <v>321</v>
      </c>
      <c r="CE123" t="s">
        <v>321</v>
      </c>
      <c r="CF123" t="s">
        <v>321</v>
      </c>
      <c r="CG123" t="s">
        <v>321</v>
      </c>
      <c r="CH123" t="s">
        <v>321</v>
      </c>
      <c r="CI123" t="s">
        <v>321</v>
      </c>
      <c r="CJ123" t="s">
        <v>321</v>
      </c>
      <c r="CK123" t="s">
        <v>321</v>
      </c>
      <c r="CL123" t="s">
        <v>321</v>
      </c>
      <c r="CM123" t="s">
        <v>321</v>
      </c>
      <c r="CN123" t="s">
        <v>321</v>
      </c>
      <c r="CO123" t="s">
        <v>321</v>
      </c>
      <c r="CP123" t="s">
        <v>321</v>
      </c>
      <c r="CQ123" t="s">
        <v>321</v>
      </c>
      <c r="CR123" t="s">
        <v>321</v>
      </c>
      <c r="CS123" t="s">
        <v>321</v>
      </c>
      <c r="CT123" t="s">
        <v>321</v>
      </c>
      <c r="CU123" t="s">
        <v>321</v>
      </c>
      <c r="CV123" t="s">
        <v>321</v>
      </c>
      <c r="CW123" t="s">
        <v>321</v>
      </c>
      <c r="CX123">
        <v>277661.17540000001</v>
      </c>
      <c r="CY123">
        <v>4924889.5880000005</v>
      </c>
      <c r="CZ123">
        <v>44.443128999999999</v>
      </c>
      <c r="DA123">
        <v>-95.794055999999998</v>
      </c>
      <c r="DB123" s="291">
        <v>44916.527777777781</v>
      </c>
      <c r="DC123" t="s">
        <v>231</v>
      </c>
      <c r="DD123" t="s">
        <v>429</v>
      </c>
      <c r="DE123" t="s">
        <v>455</v>
      </c>
      <c r="DF123" t="s">
        <v>456</v>
      </c>
      <c r="DG123" t="s">
        <v>945</v>
      </c>
      <c r="DH123">
        <v>0</v>
      </c>
      <c r="DI123" t="s">
        <v>658</v>
      </c>
      <c r="DJ123">
        <v>100</v>
      </c>
      <c r="DK123">
        <v>4</v>
      </c>
    </row>
    <row r="124" spans="1:115" x14ac:dyDescent="0.25">
      <c r="A124">
        <v>123</v>
      </c>
      <c r="B124" t="s">
        <v>657</v>
      </c>
      <c r="C124">
        <v>2</v>
      </c>
      <c r="D124">
        <v>143</v>
      </c>
      <c r="E124">
        <v>1066054</v>
      </c>
      <c r="F124" t="s">
        <v>464</v>
      </c>
      <c r="G124">
        <v>19</v>
      </c>
      <c r="H124">
        <v>34.615000000000002</v>
      </c>
      <c r="I124" t="s">
        <v>297</v>
      </c>
      <c r="J124" t="s">
        <v>299</v>
      </c>
      <c r="K124" t="s">
        <v>321</v>
      </c>
      <c r="L124" t="s">
        <v>321</v>
      </c>
      <c r="M124" t="s">
        <v>299</v>
      </c>
      <c r="N124" t="s">
        <v>321</v>
      </c>
      <c r="O124" s="292">
        <v>202000000000</v>
      </c>
      <c r="P124">
        <v>223500104</v>
      </c>
      <c r="Q124" s="290">
        <v>45272</v>
      </c>
      <c r="R124">
        <v>16</v>
      </c>
      <c r="S124">
        <v>2022</v>
      </c>
      <c r="T124" t="s">
        <v>485</v>
      </c>
      <c r="U124">
        <v>8</v>
      </c>
      <c r="V124" t="s">
        <v>321</v>
      </c>
      <c r="W124" t="s">
        <v>320</v>
      </c>
      <c r="X124">
        <v>0</v>
      </c>
      <c r="Y124">
        <v>2</v>
      </c>
      <c r="Z124" t="s">
        <v>476</v>
      </c>
      <c r="AA124" t="s">
        <v>409</v>
      </c>
      <c r="AB124" t="s">
        <v>452</v>
      </c>
      <c r="AC124" t="s">
        <v>433</v>
      </c>
      <c r="AD124" t="s">
        <v>467</v>
      </c>
      <c r="AE124" t="s">
        <v>321</v>
      </c>
      <c r="AF124" t="s">
        <v>467</v>
      </c>
      <c r="AG124" t="s">
        <v>414</v>
      </c>
      <c r="AH124" t="s">
        <v>477</v>
      </c>
      <c r="AI124" t="s">
        <v>483</v>
      </c>
      <c r="AJ124" t="s">
        <v>471</v>
      </c>
      <c r="AK124" t="s">
        <v>447</v>
      </c>
      <c r="AL124" t="s">
        <v>417</v>
      </c>
      <c r="AM124" t="s">
        <v>418</v>
      </c>
      <c r="AN124" t="s">
        <v>448</v>
      </c>
      <c r="AO124" t="s">
        <v>426</v>
      </c>
      <c r="AP124">
        <v>67</v>
      </c>
      <c r="AQ124" t="s">
        <v>420</v>
      </c>
      <c r="AR124" t="s">
        <v>421</v>
      </c>
      <c r="AS124" t="s">
        <v>428</v>
      </c>
      <c r="AT124" t="s">
        <v>321</v>
      </c>
      <c r="AU124" t="s">
        <v>321</v>
      </c>
      <c r="AV124" t="s">
        <v>321</v>
      </c>
      <c r="AW124" t="s">
        <v>441</v>
      </c>
      <c r="AX124" t="s">
        <v>449</v>
      </c>
      <c r="AY124">
        <v>30</v>
      </c>
      <c r="AZ124" t="s">
        <v>423</v>
      </c>
      <c r="BA124" t="s">
        <v>424</v>
      </c>
      <c r="BB124" t="s">
        <v>417</v>
      </c>
      <c r="BC124" t="s">
        <v>478</v>
      </c>
      <c r="BD124" t="s">
        <v>448</v>
      </c>
      <c r="BE124" t="s">
        <v>487</v>
      </c>
      <c r="BF124">
        <v>43</v>
      </c>
      <c r="BG124" t="s">
        <v>420</v>
      </c>
      <c r="BH124" t="s">
        <v>421</v>
      </c>
      <c r="BI124" t="s">
        <v>428</v>
      </c>
      <c r="BJ124" t="s">
        <v>321</v>
      </c>
      <c r="BK124" t="s">
        <v>321</v>
      </c>
      <c r="BL124" t="s">
        <v>321</v>
      </c>
      <c r="BM124" t="s">
        <v>441</v>
      </c>
      <c r="BN124" t="s">
        <v>449</v>
      </c>
      <c r="BO124">
        <v>30</v>
      </c>
      <c r="BP124" t="s">
        <v>423</v>
      </c>
      <c r="BQ124" t="s">
        <v>424</v>
      </c>
      <c r="BR124" t="s">
        <v>321</v>
      </c>
      <c r="BS124" t="s">
        <v>321</v>
      </c>
      <c r="BT124" t="s">
        <v>321</v>
      </c>
      <c r="BU124" t="s">
        <v>321</v>
      </c>
      <c r="BV124" t="s">
        <v>321</v>
      </c>
      <c r="BW124" t="s">
        <v>321</v>
      </c>
      <c r="BX124" t="s">
        <v>321</v>
      </c>
      <c r="BY124" t="s">
        <v>321</v>
      </c>
      <c r="BZ124" t="s">
        <v>321</v>
      </c>
      <c r="CA124" t="s">
        <v>321</v>
      </c>
      <c r="CB124" t="s">
        <v>321</v>
      </c>
      <c r="CC124" t="s">
        <v>321</v>
      </c>
      <c r="CD124" t="s">
        <v>321</v>
      </c>
      <c r="CE124" t="s">
        <v>321</v>
      </c>
      <c r="CF124" t="s">
        <v>321</v>
      </c>
      <c r="CG124" t="s">
        <v>321</v>
      </c>
      <c r="CH124" t="s">
        <v>321</v>
      </c>
      <c r="CI124" t="s">
        <v>321</v>
      </c>
      <c r="CJ124" t="s">
        <v>321</v>
      </c>
      <c r="CK124" t="s">
        <v>321</v>
      </c>
      <c r="CL124" t="s">
        <v>321</v>
      </c>
      <c r="CM124" t="s">
        <v>321</v>
      </c>
      <c r="CN124" t="s">
        <v>321</v>
      </c>
      <c r="CO124" t="s">
        <v>321</v>
      </c>
      <c r="CP124" t="s">
        <v>321</v>
      </c>
      <c r="CQ124" t="s">
        <v>321</v>
      </c>
      <c r="CR124" t="s">
        <v>321</v>
      </c>
      <c r="CS124" t="s">
        <v>321</v>
      </c>
      <c r="CT124" t="s">
        <v>321</v>
      </c>
      <c r="CU124" t="s">
        <v>321</v>
      </c>
      <c r="CV124" t="s">
        <v>321</v>
      </c>
      <c r="CW124" t="s">
        <v>321</v>
      </c>
      <c r="CX124">
        <v>277911.47169999999</v>
      </c>
      <c r="CY124">
        <v>4925116.4960000003</v>
      </c>
      <c r="CZ124">
        <v>44.445245999999997</v>
      </c>
      <c r="DA124">
        <v>-95.791011999999995</v>
      </c>
      <c r="DB124" s="291">
        <v>44911.347222222219</v>
      </c>
      <c r="DC124" t="s">
        <v>231</v>
      </c>
      <c r="DD124" t="s">
        <v>429</v>
      </c>
      <c r="DE124" t="s">
        <v>455</v>
      </c>
      <c r="DF124" t="s">
        <v>456</v>
      </c>
      <c r="DG124" t="s">
        <v>944</v>
      </c>
      <c r="DH124">
        <v>0</v>
      </c>
      <c r="DI124" t="s">
        <v>333</v>
      </c>
      <c r="DJ124">
        <v>100</v>
      </c>
      <c r="DK124">
        <v>6</v>
      </c>
    </row>
    <row r="125" spans="1:115" x14ac:dyDescent="0.25">
      <c r="A125">
        <v>124</v>
      </c>
      <c r="B125" t="s">
        <v>657</v>
      </c>
      <c r="C125">
        <v>1</v>
      </c>
      <c r="D125">
        <v>144</v>
      </c>
      <c r="E125">
        <v>336578</v>
      </c>
      <c r="F125" t="s">
        <v>464</v>
      </c>
      <c r="G125">
        <v>68</v>
      </c>
      <c r="H125">
        <v>39.234999999999999</v>
      </c>
      <c r="I125" t="s">
        <v>297</v>
      </c>
      <c r="J125" t="s">
        <v>299</v>
      </c>
      <c r="K125" t="s">
        <v>321</v>
      </c>
      <c r="L125" t="s">
        <v>406</v>
      </c>
      <c r="M125" t="s">
        <v>299</v>
      </c>
      <c r="N125" t="s">
        <v>321</v>
      </c>
      <c r="O125" t="s">
        <v>943</v>
      </c>
      <c r="P125">
        <v>160780194</v>
      </c>
      <c r="Q125" s="290">
        <v>44988</v>
      </c>
      <c r="R125">
        <v>18</v>
      </c>
      <c r="S125">
        <v>2016</v>
      </c>
      <c r="T125" t="s">
        <v>485</v>
      </c>
      <c r="U125">
        <v>22</v>
      </c>
      <c r="V125" t="s">
        <v>495</v>
      </c>
      <c r="W125" t="s">
        <v>320</v>
      </c>
      <c r="X125">
        <v>0</v>
      </c>
      <c r="Y125">
        <v>2</v>
      </c>
      <c r="Z125" t="s">
        <v>408</v>
      </c>
      <c r="AA125" t="s">
        <v>409</v>
      </c>
      <c r="AB125" t="s">
        <v>460</v>
      </c>
      <c r="AC125" t="s">
        <v>411</v>
      </c>
      <c r="AD125" t="s">
        <v>446</v>
      </c>
      <c r="AE125" t="s">
        <v>321</v>
      </c>
      <c r="AF125" t="s">
        <v>434</v>
      </c>
      <c r="AG125" t="s">
        <v>414</v>
      </c>
      <c r="AH125" t="s">
        <v>558</v>
      </c>
      <c r="AI125" t="s">
        <v>321</v>
      </c>
      <c r="AJ125" t="s">
        <v>559</v>
      </c>
      <c r="AK125" t="s">
        <v>416</v>
      </c>
      <c r="AL125" t="s">
        <v>417</v>
      </c>
      <c r="AM125" t="s">
        <v>437</v>
      </c>
      <c r="AN125" t="s">
        <v>472</v>
      </c>
      <c r="AO125" t="s">
        <v>426</v>
      </c>
      <c r="AP125">
        <v>48</v>
      </c>
      <c r="AQ125" t="s">
        <v>420</v>
      </c>
      <c r="AR125" t="s">
        <v>421</v>
      </c>
      <c r="AS125" t="s">
        <v>428</v>
      </c>
      <c r="AT125" t="s">
        <v>321</v>
      </c>
      <c r="AU125" t="s">
        <v>321</v>
      </c>
      <c r="AV125" t="s">
        <v>321</v>
      </c>
      <c r="AW125" t="s">
        <v>441</v>
      </c>
      <c r="AX125" t="s">
        <v>449</v>
      </c>
      <c r="AY125">
        <v>30</v>
      </c>
      <c r="AZ125" t="s">
        <v>423</v>
      </c>
      <c r="BA125" t="s">
        <v>424</v>
      </c>
      <c r="BB125" t="s">
        <v>504</v>
      </c>
      <c r="BC125" t="s">
        <v>425</v>
      </c>
      <c r="BD125" t="s">
        <v>472</v>
      </c>
      <c r="BE125" t="s">
        <v>426</v>
      </c>
      <c r="BF125">
        <v>19</v>
      </c>
      <c r="BG125" t="s">
        <v>420</v>
      </c>
      <c r="BH125" t="s">
        <v>421</v>
      </c>
      <c r="BI125" t="s">
        <v>524</v>
      </c>
      <c r="BJ125" t="s">
        <v>479</v>
      </c>
      <c r="BK125" t="s">
        <v>321</v>
      </c>
      <c r="BL125" t="s">
        <v>321</v>
      </c>
      <c r="BM125" t="s">
        <v>441</v>
      </c>
      <c r="BN125" t="s">
        <v>449</v>
      </c>
      <c r="BO125">
        <v>30</v>
      </c>
      <c r="BP125" t="s">
        <v>423</v>
      </c>
      <c r="BQ125" t="s">
        <v>424</v>
      </c>
      <c r="BR125" t="s">
        <v>321</v>
      </c>
      <c r="BS125" t="s">
        <v>321</v>
      </c>
      <c r="BT125" t="s">
        <v>321</v>
      </c>
      <c r="BU125" t="s">
        <v>321</v>
      </c>
      <c r="BV125" t="s">
        <v>321</v>
      </c>
      <c r="BW125" t="s">
        <v>321</v>
      </c>
      <c r="BX125" t="s">
        <v>321</v>
      </c>
      <c r="BY125" t="s">
        <v>321</v>
      </c>
      <c r="BZ125" t="s">
        <v>321</v>
      </c>
      <c r="CA125" t="s">
        <v>321</v>
      </c>
      <c r="CB125" t="s">
        <v>321</v>
      </c>
      <c r="CC125" t="s">
        <v>321</v>
      </c>
      <c r="CD125" t="s">
        <v>321</v>
      </c>
      <c r="CE125" t="s">
        <v>321</v>
      </c>
      <c r="CF125" t="s">
        <v>321</v>
      </c>
      <c r="CG125" t="s">
        <v>321</v>
      </c>
      <c r="CH125" t="s">
        <v>321</v>
      </c>
      <c r="CI125" t="s">
        <v>321</v>
      </c>
      <c r="CJ125" t="s">
        <v>321</v>
      </c>
      <c r="CK125" t="s">
        <v>321</v>
      </c>
      <c r="CL125" t="s">
        <v>321</v>
      </c>
      <c r="CM125" t="s">
        <v>321</v>
      </c>
      <c r="CN125" t="s">
        <v>321</v>
      </c>
      <c r="CO125" t="s">
        <v>321</v>
      </c>
      <c r="CP125" t="s">
        <v>321</v>
      </c>
      <c r="CQ125" t="s">
        <v>321</v>
      </c>
      <c r="CR125" t="s">
        <v>321</v>
      </c>
      <c r="CS125" t="s">
        <v>321</v>
      </c>
      <c r="CT125" t="s">
        <v>321</v>
      </c>
      <c r="CU125" t="s">
        <v>321</v>
      </c>
      <c r="CV125" t="s">
        <v>321</v>
      </c>
      <c r="CW125" t="s">
        <v>321</v>
      </c>
      <c r="CX125">
        <v>278096.06719999999</v>
      </c>
      <c r="CY125">
        <v>4925299.1629999997</v>
      </c>
      <c r="CZ125">
        <v>44.446953000000001</v>
      </c>
      <c r="DA125">
        <v>-95.788781</v>
      </c>
      <c r="DB125" s="291">
        <v>42447.951388888891</v>
      </c>
      <c r="DC125" t="s">
        <v>231</v>
      </c>
      <c r="DD125" t="s">
        <v>429</v>
      </c>
      <c r="DE125" t="s">
        <v>455</v>
      </c>
      <c r="DF125" t="s">
        <v>456</v>
      </c>
      <c r="DG125" t="s">
        <v>942</v>
      </c>
      <c r="DH125">
        <v>0</v>
      </c>
      <c r="DI125" t="s">
        <v>327</v>
      </c>
      <c r="DJ125">
        <v>100</v>
      </c>
      <c r="DK125">
        <v>9</v>
      </c>
    </row>
    <row r="126" spans="1:115" x14ac:dyDescent="0.25">
      <c r="A126">
        <v>125</v>
      </c>
      <c r="B126" t="s">
        <v>657</v>
      </c>
      <c r="C126">
        <v>1</v>
      </c>
      <c r="D126">
        <v>145</v>
      </c>
      <c r="E126">
        <v>400623</v>
      </c>
      <c r="F126" t="s">
        <v>464</v>
      </c>
      <c r="G126">
        <v>68</v>
      </c>
      <c r="H126">
        <v>39.234000000000002</v>
      </c>
      <c r="I126" t="s">
        <v>297</v>
      </c>
      <c r="J126" t="s">
        <v>299</v>
      </c>
      <c r="K126" t="s">
        <v>321</v>
      </c>
      <c r="L126" t="s">
        <v>406</v>
      </c>
      <c r="M126" t="s">
        <v>299</v>
      </c>
      <c r="N126" t="s">
        <v>321</v>
      </c>
      <c r="O126" s="292">
        <v>202000000000</v>
      </c>
      <c r="P126">
        <v>163400317</v>
      </c>
      <c r="Q126" s="290">
        <v>45272</v>
      </c>
      <c r="R126">
        <v>5</v>
      </c>
      <c r="S126">
        <v>2016</v>
      </c>
      <c r="T126" t="s">
        <v>431</v>
      </c>
      <c r="U126">
        <v>22</v>
      </c>
      <c r="V126" t="s">
        <v>495</v>
      </c>
      <c r="W126" t="s">
        <v>319</v>
      </c>
      <c r="X126">
        <v>0</v>
      </c>
      <c r="Y126">
        <v>2</v>
      </c>
      <c r="Z126" t="s">
        <v>451</v>
      </c>
      <c r="AA126" t="s">
        <v>409</v>
      </c>
      <c r="AB126" t="s">
        <v>452</v>
      </c>
      <c r="AC126" t="s">
        <v>411</v>
      </c>
      <c r="AD126" t="s">
        <v>412</v>
      </c>
      <c r="AE126" t="s">
        <v>321</v>
      </c>
      <c r="AF126" t="s">
        <v>434</v>
      </c>
      <c r="AG126" t="s">
        <v>414</v>
      </c>
      <c r="AH126" t="s">
        <v>558</v>
      </c>
      <c r="AI126" t="s">
        <v>477</v>
      </c>
      <c r="AJ126" t="s">
        <v>559</v>
      </c>
      <c r="AK126" t="s">
        <v>451</v>
      </c>
      <c r="AL126" t="s">
        <v>417</v>
      </c>
      <c r="AM126" t="s">
        <v>425</v>
      </c>
      <c r="AN126" t="s">
        <v>472</v>
      </c>
      <c r="AO126" t="s">
        <v>426</v>
      </c>
      <c r="AP126">
        <v>21</v>
      </c>
      <c r="AQ126" t="s">
        <v>427</v>
      </c>
      <c r="AR126" t="s">
        <v>595</v>
      </c>
      <c r="AS126" t="s">
        <v>479</v>
      </c>
      <c r="AT126" t="s">
        <v>321</v>
      </c>
      <c r="AU126" t="s">
        <v>321</v>
      </c>
      <c r="AV126" t="s">
        <v>321</v>
      </c>
      <c r="AW126" t="s">
        <v>544</v>
      </c>
      <c r="AX126" t="s">
        <v>449</v>
      </c>
      <c r="AY126">
        <v>30</v>
      </c>
      <c r="AZ126" t="s">
        <v>423</v>
      </c>
      <c r="BA126" t="s">
        <v>424</v>
      </c>
      <c r="BB126" t="s">
        <v>417</v>
      </c>
      <c r="BC126" t="s">
        <v>425</v>
      </c>
      <c r="BD126" t="s">
        <v>461</v>
      </c>
      <c r="BE126" t="s">
        <v>426</v>
      </c>
      <c r="BF126">
        <v>62</v>
      </c>
      <c r="BG126" t="s">
        <v>427</v>
      </c>
      <c r="BH126" t="s">
        <v>421</v>
      </c>
      <c r="BI126" t="s">
        <v>428</v>
      </c>
      <c r="BJ126" t="s">
        <v>321</v>
      </c>
      <c r="BK126" t="s">
        <v>321</v>
      </c>
      <c r="BL126" t="s">
        <v>321</v>
      </c>
      <c r="BM126" t="s">
        <v>441</v>
      </c>
      <c r="BN126" t="s">
        <v>449</v>
      </c>
      <c r="BO126">
        <v>30</v>
      </c>
      <c r="BP126" t="s">
        <v>423</v>
      </c>
      <c r="BQ126" t="s">
        <v>424</v>
      </c>
      <c r="BR126" t="s">
        <v>321</v>
      </c>
      <c r="BS126" t="s">
        <v>321</v>
      </c>
      <c r="BT126" t="s">
        <v>321</v>
      </c>
      <c r="BU126" t="s">
        <v>321</v>
      </c>
      <c r="BV126" t="s">
        <v>321</v>
      </c>
      <c r="BW126" t="s">
        <v>321</v>
      </c>
      <c r="BX126" t="s">
        <v>321</v>
      </c>
      <c r="BY126" t="s">
        <v>321</v>
      </c>
      <c r="BZ126" t="s">
        <v>321</v>
      </c>
      <c r="CA126" t="s">
        <v>321</v>
      </c>
      <c r="CB126" t="s">
        <v>321</v>
      </c>
      <c r="CC126" t="s">
        <v>321</v>
      </c>
      <c r="CD126" t="s">
        <v>321</v>
      </c>
      <c r="CE126" t="s">
        <v>321</v>
      </c>
      <c r="CF126" t="s">
        <v>321</v>
      </c>
      <c r="CG126" t="s">
        <v>321</v>
      </c>
      <c r="CH126" t="s">
        <v>321</v>
      </c>
      <c r="CI126" t="s">
        <v>321</v>
      </c>
      <c r="CJ126" t="s">
        <v>321</v>
      </c>
      <c r="CK126" t="s">
        <v>321</v>
      </c>
      <c r="CL126" t="s">
        <v>321</v>
      </c>
      <c r="CM126" t="s">
        <v>321</v>
      </c>
      <c r="CN126" t="s">
        <v>321</v>
      </c>
      <c r="CO126" t="s">
        <v>321</v>
      </c>
      <c r="CP126" t="s">
        <v>321</v>
      </c>
      <c r="CQ126" t="s">
        <v>321</v>
      </c>
      <c r="CR126" t="s">
        <v>321</v>
      </c>
      <c r="CS126" t="s">
        <v>321</v>
      </c>
      <c r="CT126" t="s">
        <v>321</v>
      </c>
      <c r="CU126" t="s">
        <v>321</v>
      </c>
      <c r="CV126" t="s">
        <v>321</v>
      </c>
      <c r="CW126" t="s">
        <v>321</v>
      </c>
      <c r="CX126">
        <v>278095.91960000002</v>
      </c>
      <c r="CY126">
        <v>4925299.3169999998</v>
      </c>
      <c r="CZ126">
        <v>44.446953999999998</v>
      </c>
      <c r="DA126">
        <v>-95.788782999999995</v>
      </c>
      <c r="DB126" s="291">
        <v>42709.916666666664</v>
      </c>
      <c r="DC126" t="s">
        <v>231</v>
      </c>
      <c r="DD126" t="s">
        <v>429</v>
      </c>
      <c r="DE126" t="s">
        <v>455</v>
      </c>
      <c r="DF126" t="s">
        <v>456</v>
      </c>
      <c r="DG126" t="s">
        <v>941</v>
      </c>
      <c r="DH126">
        <v>0</v>
      </c>
      <c r="DI126" t="s">
        <v>327</v>
      </c>
      <c r="DJ126">
        <v>100</v>
      </c>
      <c r="DK126">
        <v>9</v>
      </c>
    </row>
    <row r="127" spans="1:115" x14ac:dyDescent="0.25">
      <c r="A127">
        <v>126</v>
      </c>
      <c r="B127" t="s">
        <v>657</v>
      </c>
      <c r="C127">
        <v>1</v>
      </c>
      <c r="D127">
        <v>146</v>
      </c>
      <c r="E127">
        <v>656423</v>
      </c>
      <c r="F127" t="s">
        <v>464</v>
      </c>
      <c r="G127">
        <v>68</v>
      </c>
      <c r="H127">
        <v>39.234999999999999</v>
      </c>
      <c r="I127" t="s">
        <v>297</v>
      </c>
      <c r="J127" t="s">
        <v>299</v>
      </c>
      <c r="K127" t="s">
        <v>321</v>
      </c>
      <c r="L127" t="s">
        <v>406</v>
      </c>
      <c r="M127" t="s">
        <v>299</v>
      </c>
      <c r="N127" t="s">
        <v>321</v>
      </c>
      <c r="O127">
        <v>180019668</v>
      </c>
      <c r="P127">
        <v>183060142</v>
      </c>
      <c r="Q127" s="290">
        <v>45241</v>
      </c>
      <c r="R127">
        <v>2</v>
      </c>
      <c r="S127">
        <v>2018</v>
      </c>
      <c r="T127" t="s">
        <v>485</v>
      </c>
      <c r="U127">
        <v>17</v>
      </c>
      <c r="V127" t="s">
        <v>495</v>
      </c>
      <c r="W127" t="s">
        <v>320</v>
      </c>
      <c r="X127">
        <v>0</v>
      </c>
      <c r="Y127">
        <v>2</v>
      </c>
      <c r="Z127" t="s">
        <v>476</v>
      </c>
      <c r="AA127" t="s">
        <v>409</v>
      </c>
      <c r="AB127" t="s">
        <v>452</v>
      </c>
      <c r="AC127" t="s">
        <v>433</v>
      </c>
      <c r="AD127" t="s">
        <v>446</v>
      </c>
      <c r="AE127" t="s">
        <v>321</v>
      </c>
      <c r="AF127" t="s">
        <v>434</v>
      </c>
      <c r="AG127" t="s">
        <v>414</v>
      </c>
      <c r="AH127" t="s">
        <v>558</v>
      </c>
      <c r="AI127" t="s">
        <v>321</v>
      </c>
      <c r="AJ127" t="s">
        <v>559</v>
      </c>
      <c r="AK127" t="s">
        <v>447</v>
      </c>
      <c r="AL127" t="s">
        <v>504</v>
      </c>
      <c r="AM127" t="s">
        <v>437</v>
      </c>
      <c r="AN127" t="s">
        <v>472</v>
      </c>
      <c r="AO127" t="s">
        <v>426</v>
      </c>
      <c r="AP127" t="s">
        <v>321</v>
      </c>
      <c r="AQ127" t="s">
        <v>321</v>
      </c>
      <c r="AR127" t="s">
        <v>321</v>
      </c>
      <c r="AS127" t="s">
        <v>321</v>
      </c>
      <c r="AT127" t="s">
        <v>321</v>
      </c>
      <c r="AU127" t="s">
        <v>321</v>
      </c>
      <c r="AV127" t="s">
        <v>321</v>
      </c>
      <c r="AW127" t="s">
        <v>605</v>
      </c>
      <c r="AX127" t="s">
        <v>449</v>
      </c>
      <c r="AY127">
        <v>30</v>
      </c>
      <c r="AZ127" t="s">
        <v>423</v>
      </c>
      <c r="BA127" t="s">
        <v>424</v>
      </c>
      <c r="BB127" t="s">
        <v>417</v>
      </c>
      <c r="BC127" t="s">
        <v>425</v>
      </c>
      <c r="BD127" t="s">
        <v>472</v>
      </c>
      <c r="BE127" t="s">
        <v>480</v>
      </c>
      <c r="BF127">
        <v>72</v>
      </c>
      <c r="BG127" t="s">
        <v>427</v>
      </c>
      <c r="BH127" t="s">
        <v>421</v>
      </c>
      <c r="BI127" t="s">
        <v>428</v>
      </c>
      <c r="BJ127" t="s">
        <v>321</v>
      </c>
      <c r="BK127" t="s">
        <v>321</v>
      </c>
      <c r="BL127" t="s">
        <v>321</v>
      </c>
      <c r="BM127" t="s">
        <v>605</v>
      </c>
      <c r="BN127" t="s">
        <v>449</v>
      </c>
      <c r="BO127">
        <v>30</v>
      </c>
      <c r="BP127" t="s">
        <v>423</v>
      </c>
      <c r="BQ127" t="s">
        <v>424</v>
      </c>
      <c r="BR127" t="s">
        <v>321</v>
      </c>
      <c r="BS127" t="s">
        <v>321</v>
      </c>
      <c r="BT127" t="s">
        <v>321</v>
      </c>
      <c r="BU127" t="s">
        <v>321</v>
      </c>
      <c r="BV127" t="s">
        <v>321</v>
      </c>
      <c r="BW127" t="s">
        <v>321</v>
      </c>
      <c r="BX127" t="s">
        <v>321</v>
      </c>
      <c r="BY127" t="s">
        <v>321</v>
      </c>
      <c r="BZ127" t="s">
        <v>321</v>
      </c>
      <c r="CA127" t="s">
        <v>321</v>
      </c>
      <c r="CB127" t="s">
        <v>321</v>
      </c>
      <c r="CC127" t="s">
        <v>321</v>
      </c>
      <c r="CD127" t="s">
        <v>321</v>
      </c>
      <c r="CE127" t="s">
        <v>321</v>
      </c>
      <c r="CF127" t="s">
        <v>321</v>
      </c>
      <c r="CG127" t="s">
        <v>321</v>
      </c>
      <c r="CH127" t="s">
        <v>321</v>
      </c>
      <c r="CI127" t="s">
        <v>321</v>
      </c>
      <c r="CJ127" t="s">
        <v>321</v>
      </c>
      <c r="CK127" t="s">
        <v>321</v>
      </c>
      <c r="CL127" t="s">
        <v>321</v>
      </c>
      <c r="CM127" t="s">
        <v>321</v>
      </c>
      <c r="CN127" t="s">
        <v>321</v>
      </c>
      <c r="CO127" t="s">
        <v>321</v>
      </c>
      <c r="CP127" t="s">
        <v>321</v>
      </c>
      <c r="CQ127" t="s">
        <v>321</v>
      </c>
      <c r="CR127" t="s">
        <v>321</v>
      </c>
      <c r="CS127" t="s">
        <v>321</v>
      </c>
      <c r="CT127" t="s">
        <v>321</v>
      </c>
      <c r="CU127" t="s">
        <v>321</v>
      </c>
      <c r="CV127" t="s">
        <v>321</v>
      </c>
      <c r="CW127" t="s">
        <v>321</v>
      </c>
      <c r="CX127">
        <v>278095.99200000003</v>
      </c>
      <c r="CY127">
        <v>4925299.2419999996</v>
      </c>
      <c r="CZ127">
        <v>44.446953999999998</v>
      </c>
      <c r="DA127">
        <v>-95.788781999999998</v>
      </c>
      <c r="DB127" s="291">
        <v>43406.722222222219</v>
      </c>
      <c r="DC127" t="s">
        <v>231</v>
      </c>
      <c r="DD127" t="s">
        <v>429</v>
      </c>
      <c r="DE127" t="s">
        <v>455</v>
      </c>
      <c r="DF127" t="s">
        <v>456</v>
      </c>
      <c r="DG127" t="s">
        <v>940</v>
      </c>
      <c r="DH127">
        <v>0</v>
      </c>
      <c r="DI127" t="s">
        <v>327</v>
      </c>
      <c r="DJ127">
        <v>100</v>
      </c>
      <c r="DK127">
        <v>9</v>
      </c>
    </row>
    <row r="128" spans="1:115" x14ac:dyDescent="0.25">
      <c r="A128">
        <v>127</v>
      </c>
      <c r="B128" t="s">
        <v>657</v>
      </c>
      <c r="C128">
        <v>1</v>
      </c>
      <c r="D128">
        <v>147</v>
      </c>
      <c r="E128">
        <v>1054706</v>
      </c>
      <c r="F128" t="s">
        <v>464</v>
      </c>
      <c r="G128">
        <v>19</v>
      </c>
      <c r="H128">
        <v>34.762999999999998</v>
      </c>
      <c r="I128" t="s">
        <v>297</v>
      </c>
      <c r="J128" t="s">
        <v>299</v>
      </c>
      <c r="K128" t="s">
        <v>321</v>
      </c>
      <c r="L128" t="s">
        <v>321</v>
      </c>
      <c r="M128" t="s">
        <v>299</v>
      </c>
      <c r="N128" t="s">
        <v>321</v>
      </c>
      <c r="O128" t="s">
        <v>939</v>
      </c>
      <c r="P128">
        <v>223020125</v>
      </c>
      <c r="Q128" s="290">
        <v>45209</v>
      </c>
      <c r="R128">
        <v>29</v>
      </c>
      <c r="S128">
        <v>2022</v>
      </c>
      <c r="T128" t="s">
        <v>506</v>
      </c>
      <c r="U128">
        <v>15</v>
      </c>
      <c r="V128" t="s">
        <v>422</v>
      </c>
      <c r="W128" t="s">
        <v>320</v>
      </c>
      <c r="X128">
        <v>0</v>
      </c>
      <c r="Y128">
        <v>1</v>
      </c>
      <c r="Z128" t="s">
        <v>321</v>
      </c>
      <c r="AA128" t="s">
        <v>552</v>
      </c>
      <c r="AB128" t="s">
        <v>460</v>
      </c>
      <c r="AC128" t="s">
        <v>433</v>
      </c>
      <c r="AD128" t="s">
        <v>412</v>
      </c>
      <c r="AE128" t="s">
        <v>321</v>
      </c>
      <c r="AF128" t="s">
        <v>434</v>
      </c>
      <c r="AG128" t="s">
        <v>414</v>
      </c>
      <c r="AH128" t="s">
        <v>477</v>
      </c>
      <c r="AI128" t="s">
        <v>558</v>
      </c>
      <c r="AJ128" t="s">
        <v>471</v>
      </c>
      <c r="AK128" t="s">
        <v>553</v>
      </c>
      <c r="AL128" t="s">
        <v>417</v>
      </c>
      <c r="AM128" t="s">
        <v>418</v>
      </c>
      <c r="AN128" t="s">
        <v>461</v>
      </c>
      <c r="AO128" t="s">
        <v>426</v>
      </c>
      <c r="AP128">
        <v>26</v>
      </c>
      <c r="AQ128" t="s">
        <v>427</v>
      </c>
      <c r="AR128" t="s">
        <v>421</v>
      </c>
      <c r="AS128" t="s">
        <v>428</v>
      </c>
      <c r="AT128" t="s">
        <v>321</v>
      </c>
      <c r="AU128" t="s">
        <v>321</v>
      </c>
      <c r="AV128" t="s">
        <v>321</v>
      </c>
      <c r="AW128" t="s">
        <v>441</v>
      </c>
      <c r="AX128" t="s">
        <v>449</v>
      </c>
      <c r="AY128">
        <v>30</v>
      </c>
      <c r="AZ128" t="s">
        <v>423</v>
      </c>
      <c r="BA128" t="s">
        <v>424</v>
      </c>
      <c r="BB128" t="s">
        <v>554</v>
      </c>
      <c r="BC128" t="s">
        <v>321</v>
      </c>
      <c r="BD128" t="s">
        <v>321</v>
      </c>
      <c r="BE128" t="s">
        <v>321</v>
      </c>
      <c r="BF128">
        <v>65</v>
      </c>
      <c r="BG128" t="s">
        <v>420</v>
      </c>
      <c r="BH128" t="s">
        <v>421</v>
      </c>
      <c r="BI128" t="s">
        <v>938</v>
      </c>
      <c r="BJ128" t="s">
        <v>321</v>
      </c>
      <c r="BK128" t="s">
        <v>937</v>
      </c>
      <c r="BL128" t="s">
        <v>936</v>
      </c>
      <c r="BM128" t="s">
        <v>321</v>
      </c>
      <c r="BN128" t="s">
        <v>321</v>
      </c>
      <c r="BO128" t="s">
        <v>321</v>
      </c>
      <c r="BP128" t="s">
        <v>321</v>
      </c>
      <c r="BQ128" t="s">
        <v>321</v>
      </c>
      <c r="BR128" t="s">
        <v>321</v>
      </c>
      <c r="BS128" t="s">
        <v>321</v>
      </c>
      <c r="BT128" t="s">
        <v>321</v>
      </c>
      <c r="BU128" t="s">
        <v>321</v>
      </c>
      <c r="BV128" t="s">
        <v>321</v>
      </c>
      <c r="BW128" t="s">
        <v>321</v>
      </c>
      <c r="BX128" t="s">
        <v>321</v>
      </c>
      <c r="BY128" t="s">
        <v>321</v>
      </c>
      <c r="BZ128" t="s">
        <v>321</v>
      </c>
      <c r="CA128" t="s">
        <v>321</v>
      </c>
      <c r="CB128" t="s">
        <v>321</v>
      </c>
      <c r="CC128" t="s">
        <v>321</v>
      </c>
      <c r="CD128" t="s">
        <v>321</v>
      </c>
      <c r="CE128" t="s">
        <v>321</v>
      </c>
      <c r="CF128" t="s">
        <v>321</v>
      </c>
      <c r="CG128" t="s">
        <v>321</v>
      </c>
      <c r="CH128" t="s">
        <v>321</v>
      </c>
      <c r="CI128" t="s">
        <v>321</v>
      </c>
      <c r="CJ128" t="s">
        <v>321</v>
      </c>
      <c r="CK128" t="s">
        <v>321</v>
      </c>
      <c r="CL128" t="s">
        <v>321</v>
      </c>
      <c r="CM128" t="s">
        <v>321</v>
      </c>
      <c r="CN128" t="s">
        <v>321</v>
      </c>
      <c r="CO128" t="s">
        <v>321</v>
      </c>
      <c r="CP128" t="s">
        <v>321</v>
      </c>
      <c r="CQ128" t="s">
        <v>321</v>
      </c>
      <c r="CR128" t="s">
        <v>321</v>
      </c>
      <c r="CS128" t="s">
        <v>321</v>
      </c>
      <c r="CT128" t="s">
        <v>321</v>
      </c>
      <c r="CU128" t="s">
        <v>321</v>
      </c>
      <c r="CV128" t="s">
        <v>321</v>
      </c>
      <c r="CW128" t="s">
        <v>321</v>
      </c>
      <c r="CX128">
        <v>278071.98590000003</v>
      </c>
      <c r="CY128">
        <v>4925293.1660000002</v>
      </c>
      <c r="CZ128">
        <v>44.446883999999997</v>
      </c>
      <c r="DA128">
        <v>-95.789073000000002</v>
      </c>
      <c r="DB128" s="291">
        <v>44863.642361111109</v>
      </c>
      <c r="DC128" t="s">
        <v>231</v>
      </c>
      <c r="DD128" t="s">
        <v>429</v>
      </c>
      <c r="DE128" t="s">
        <v>455</v>
      </c>
      <c r="DF128" t="s">
        <v>456</v>
      </c>
      <c r="DG128" t="s">
        <v>935</v>
      </c>
      <c r="DH128">
        <v>0</v>
      </c>
      <c r="DI128" t="s">
        <v>327</v>
      </c>
      <c r="DJ128">
        <v>100</v>
      </c>
      <c r="DK128">
        <v>9</v>
      </c>
    </row>
    <row r="129" spans="1:115" x14ac:dyDescent="0.25">
      <c r="A129">
        <v>128</v>
      </c>
      <c r="B129" t="s">
        <v>657</v>
      </c>
      <c r="C129">
        <v>1</v>
      </c>
      <c r="D129">
        <v>148</v>
      </c>
      <c r="E129">
        <v>898768</v>
      </c>
      <c r="F129" t="s">
        <v>464</v>
      </c>
      <c r="G129">
        <v>68</v>
      </c>
      <c r="H129">
        <v>39.234999999999999</v>
      </c>
      <c r="I129" t="s">
        <v>297</v>
      </c>
      <c r="J129" t="s">
        <v>299</v>
      </c>
      <c r="K129" t="s">
        <v>321</v>
      </c>
      <c r="L129" t="s">
        <v>406</v>
      </c>
      <c r="M129" t="s">
        <v>299</v>
      </c>
      <c r="N129" t="s">
        <v>321</v>
      </c>
      <c r="O129" t="s">
        <v>631</v>
      </c>
      <c r="P129">
        <v>210920036</v>
      </c>
      <c r="Q129" s="290">
        <v>45020</v>
      </c>
      <c r="R129">
        <v>2</v>
      </c>
      <c r="S129">
        <v>2021</v>
      </c>
      <c r="T129" t="s">
        <v>485</v>
      </c>
      <c r="U129">
        <v>11</v>
      </c>
      <c r="V129" t="s">
        <v>459</v>
      </c>
      <c r="W129" t="s">
        <v>320</v>
      </c>
      <c r="X129">
        <v>0</v>
      </c>
      <c r="Y129">
        <v>1</v>
      </c>
      <c r="Z129" t="s">
        <v>321</v>
      </c>
      <c r="AA129" t="s">
        <v>557</v>
      </c>
      <c r="AB129" t="s">
        <v>460</v>
      </c>
      <c r="AC129" t="s">
        <v>433</v>
      </c>
      <c r="AD129" t="s">
        <v>412</v>
      </c>
      <c r="AE129" t="s">
        <v>321</v>
      </c>
      <c r="AF129" t="s">
        <v>434</v>
      </c>
      <c r="AG129" t="s">
        <v>414</v>
      </c>
      <c r="AH129" t="s">
        <v>558</v>
      </c>
      <c r="AI129" t="s">
        <v>321</v>
      </c>
      <c r="AJ129" t="s">
        <v>559</v>
      </c>
      <c r="AK129" t="s">
        <v>436</v>
      </c>
      <c r="AL129" t="s">
        <v>417</v>
      </c>
      <c r="AM129" t="s">
        <v>437</v>
      </c>
      <c r="AN129" t="s">
        <v>461</v>
      </c>
      <c r="AO129" t="s">
        <v>419</v>
      </c>
      <c r="AP129">
        <v>35</v>
      </c>
      <c r="AQ129" t="s">
        <v>420</v>
      </c>
      <c r="AR129" t="s">
        <v>421</v>
      </c>
      <c r="AS129" t="s">
        <v>462</v>
      </c>
      <c r="AT129" t="s">
        <v>321</v>
      </c>
      <c r="AU129" t="s">
        <v>321</v>
      </c>
      <c r="AV129" t="s">
        <v>321</v>
      </c>
      <c r="AW129" t="s">
        <v>463</v>
      </c>
      <c r="AX129" t="s">
        <v>449</v>
      </c>
      <c r="AY129">
        <v>30</v>
      </c>
      <c r="AZ129" t="s">
        <v>423</v>
      </c>
      <c r="BA129" t="s">
        <v>424</v>
      </c>
      <c r="BB129" t="s">
        <v>321</v>
      </c>
      <c r="BC129" t="s">
        <v>321</v>
      </c>
      <c r="BD129" t="s">
        <v>321</v>
      </c>
      <c r="BE129" t="s">
        <v>321</v>
      </c>
      <c r="BF129" t="s">
        <v>321</v>
      </c>
      <c r="BG129" t="s">
        <v>321</v>
      </c>
      <c r="BH129" t="s">
        <v>321</v>
      </c>
      <c r="BI129" t="s">
        <v>321</v>
      </c>
      <c r="BJ129" t="s">
        <v>321</v>
      </c>
      <c r="BK129" t="s">
        <v>321</v>
      </c>
      <c r="BL129" t="s">
        <v>321</v>
      </c>
      <c r="BM129" t="s">
        <v>321</v>
      </c>
      <c r="BN129" t="s">
        <v>321</v>
      </c>
      <c r="BO129" t="s">
        <v>321</v>
      </c>
      <c r="BP129" t="s">
        <v>321</v>
      </c>
      <c r="BQ129" t="s">
        <v>321</v>
      </c>
      <c r="BR129" t="s">
        <v>321</v>
      </c>
      <c r="BS129" t="s">
        <v>321</v>
      </c>
      <c r="BT129" t="s">
        <v>321</v>
      </c>
      <c r="BU129" t="s">
        <v>321</v>
      </c>
      <c r="BV129" t="s">
        <v>321</v>
      </c>
      <c r="BW129" t="s">
        <v>321</v>
      </c>
      <c r="BX129" t="s">
        <v>321</v>
      </c>
      <c r="BY129" t="s">
        <v>321</v>
      </c>
      <c r="BZ129" t="s">
        <v>321</v>
      </c>
      <c r="CA129" t="s">
        <v>321</v>
      </c>
      <c r="CB129" t="s">
        <v>321</v>
      </c>
      <c r="CC129" t="s">
        <v>321</v>
      </c>
      <c r="CD129" t="s">
        <v>321</v>
      </c>
      <c r="CE129" t="s">
        <v>321</v>
      </c>
      <c r="CF129" t="s">
        <v>321</v>
      </c>
      <c r="CG129" t="s">
        <v>321</v>
      </c>
      <c r="CH129" t="s">
        <v>321</v>
      </c>
      <c r="CI129" t="s">
        <v>321</v>
      </c>
      <c r="CJ129" t="s">
        <v>321</v>
      </c>
      <c r="CK129" t="s">
        <v>321</v>
      </c>
      <c r="CL129" t="s">
        <v>321</v>
      </c>
      <c r="CM129" t="s">
        <v>321</v>
      </c>
      <c r="CN129" t="s">
        <v>321</v>
      </c>
      <c r="CO129" t="s">
        <v>321</v>
      </c>
      <c r="CP129" t="s">
        <v>321</v>
      </c>
      <c r="CQ129" t="s">
        <v>321</v>
      </c>
      <c r="CR129" t="s">
        <v>321</v>
      </c>
      <c r="CS129" t="s">
        <v>321</v>
      </c>
      <c r="CT129" t="s">
        <v>321</v>
      </c>
      <c r="CU129" t="s">
        <v>321</v>
      </c>
      <c r="CV129" t="s">
        <v>321</v>
      </c>
      <c r="CW129" t="s">
        <v>321</v>
      </c>
      <c r="CX129">
        <v>278096.25089999998</v>
      </c>
      <c r="CY129">
        <v>4925298.9720000001</v>
      </c>
      <c r="CZ129">
        <v>44.446950999999999</v>
      </c>
      <c r="DA129">
        <v>-95.788779000000005</v>
      </c>
      <c r="DB129" s="291">
        <v>44288.479861111111</v>
      </c>
      <c r="DC129" t="s">
        <v>231</v>
      </c>
      <c r="DD129" t="s">
        <v>429</v>
      </c>
      <c r="DE129" t="s">
        <v>455</v>
      </c>
      <c r="DF129" t="s">
        <v>456</v>
      </c>
      <c r="DG129" t="s">
        <v>632</v>
      </c>
      <c r="DH129">
        <v>0</v>
      </c>
      <c r="DI129" t="s">
        <v>327</v>
      </c>
      <c r="DJ129">
        <v>100</v>
      </c>
      <c r="DK129">
        <v>9</v>
      </c>
    </row>
    <row r="130" spans="1:115" x14ac:dyDescent="0.25">
      <c r="A130">
        <v>129</v>
      </c>
      <c r="B130" t="s">
        <v>657</v>
      </c>
      <c r="C130">
        <v>1</v>
      </c>
      <c r="D130">
        <v>149</v>
      </c>
      <c r="E130">
        <v>887554</v>
      </c>
      <c r="F130" t="s">
        <v>464</v>
      </c>
      <c r="G130">
        <v>68</v>
      </c>
      <c r="H130">
        <v>39.234999999999999</v>
      </c>
      <c r="I130" t="s">
        <v>297</v>
      </c>
      <c r="J130" t="s">
        <v>299</v>
      </c>
      <c r="K130" t="s">
        <v>321</v>
      </c>
      <c r="L130" t="s">
        <v>406</v>
      </c>
      <c r="M130" t="s">
        <v>299</v>
      </c>
      <c r="N130" t="s">
        <v>321</v>
      </c>
      <c r="O130">
        <v>21001411</v>
      </c>
      <c r="P130">
        <v>210320027</v>
      </c>
      <c r="Q130" s="290">
        <v>44959</v>
      </c>
      <c r="R130">
        <v>1</v>
      </c>
      <c r="S130">
        <v>2021</v>
      </c>
      <c r="T130" t="s">
        <v>431</v>
      </c>
      <c r="U130">
        <v>11</v>
      </c>
      <c r="V130" t="s">
        <v>459</v>
      </c>
      <c r="W130" t="s">
        <v>320</v>
      </c>
      <c r="X130">
        <v>0</v>
      </c>
      <c r="Y130">
        <v>1</v>
      </c>
      <c r="Z130" t="s">
        <v>321</v>
      </c>
      <c r="AA130" t="s">
        <v>633</v>
      </c>
      <c r="AB130" t="s">
        <v>452</v>
      </c>
      <c r="AC130" t="s">
        <v>433</v>
      </c>
      <c r="AD130" t="s">
        <v>412</v>
      </c>
      <c r="AE130" t="s">
        <v>321</v>
      </c>
      <c r="AF130" t="s">
        <v>434</v>
      </c>
      <c r="AG130" t="s">
        <v>414</v>
      </c>
      <c r="AH130" t="s">
        <v>558</v>
      </c>
      <c r="AI130" t="s">
        <v>321</v>
      </c>
      <c r="AJ130" t="s">
        <v>559</v>
      </c>
      <c r="AK130" t="s">
        <v>436</v>
      </c>
      <c r="AL130" t="s">
        <v>417</v>
      </c>
      <c r="AM130" t="s">
        <v>437</v>
      </c>
      <c r="AN130" t="s">
        <v>472</v>
      </c>
      <c r="AO130" t="s">
        <v>419</v>
      </c>
      <c r="AP130">
        <v>26</v>
      </c>
      <c r="AQ130" t="s">
        <v>420</v>
      </c>
      <c r="AR130" t="s">
        <v>421</v>
      </c>
      <c r="AS130" t="s">
        <v>634</v>
      </c>
      <c r="AT130" t="s">
        <v>321</v>
      </c>
      <c r="AU130" t="s">
        <v>321</v>
      </c>
      <c r="AV130" t="s">
        <v>321</v>
      </c>
      <c r="AW130" t="s">
        <v>441</v>
      </c>
      <c r="AX130" t="s">
        <v>449</v>
      </c>
      <c r="AY130">
        <v>30</v>
      </c>
      <c r="AZ130" t="s">
        <v>423</v>
      </c>
      <c r="BA130" t="s">
        <v>424</v>
      </c>
      <c r="BB130" t="s">
        <v>321</v>
      </c>
      <c r="BC130" t="s">
        <v>321</v>
      </c>
      <c r="BD130" t="s">
        <v>321</v>
      </c>
      <c r="BE130" t="s">
        <v>321</v>
      </c>
      <c r="BF130" t="s">
        <v>321</v>
      </c>
      <c r="BG130" t="s">
        <v>321</v>
      </c>
      <c r="BH130" t="s">
        <v>321</v>
      </c>
      <c r="BI130" t="s">
        <v>321</v>
      </c>
      <c r="BJ130" t="s">
        <v>321</v>
      </c>
      <c r="BK130" t="s">
        <v>321</v>
      </c>
      <c r="BL130" t="s">
        <v>321</v>
      </c>
      <c r="BM130" t="s">
        <v>321</v>
      </c>
      <c r="BN130" t="s">
        <v>321</v>
      </c>
      <c r="BO130" t="s">
        <v>321</v>
      </c>
      <c r="BP130" t="s">
        <v>321</v>
      </c>
      <c r="BQ130" t="s">
        <v>321</v>
      </c>
      <c r="BR130" t="s">
        <v>321</v>
      </c>
      <c r="BS130" t="s">
        <v>321</v>
      </c>
      <c r="BT130" t="s">
        <v>321</v>
      </c>
      <c r="BU130" t="s">
        <v>321</v>
      </c>
      <c r="BV130" t="s">
        <v>321</v>
      </c>
      <c r="BW130" t="s">
        <v>321</v>
      </c>
      <c r="BX130" t="s">
        <v>321</v>
      </c>
      <c r="BY130" t="s">
        <v>321</v>
      </c>
      <c r="BZ130" t="s">
        <v>321</v>
      </c>
      <c r="CA130" t="s">
        <v>321</v>
      </c>
      <c r="CB130" t="s">
        <v>321</v>
      </c>
      <c r="CC130" t="s">
        <v>321</v>
      </c>
      <c r="CD130" t="s">
        <v>321</v>
      </c>
      <c r="CE130" t="s">
        <v>321</v>
      </c>
      <c r="CF130" t="s">
        <v>321</v>
      </c>
      <c r="CG130" t="s">
        <v>321</v>
      </c>
      <c r="CH130" t="s">
        <v>321</v>
      </c>
      <c r="CI130" t="s">
        <v>321</v>
      </c>
      <c r="CJ130" t="s">
        <v>321</v>
      </c>
      <c r="CK130" t="s">
        <v>321</v>
      </c>
      <c r="CL130" t="s">
        <v>321</v>
      </c>
      <c r="CM130" t="s">
        <v>321</v>
      </c>
      <c r="CN130" t="s">
        <v>321</v>
      </c>
      <c r="CO130" t="s">
        <v>321</v>
      </c>
      <c r="CP130" t="s">
        <v>321</v>
      </c>
      <c r="CQ130" t="s">
        <v>321</v>
      </c>
      <c r="CR130" t="s">
        <v>321</v>
      </c>
      <c r="CS130" t="s">
        <v>321</v>
      </c>
      <c r="CT130" t="s">
        <v>321</v>
      </c>
      <c r="CU130" t="s">
        <v>321</v>
      </c>
      <c r="CV130" t="s">
        <v>321</v>
      </c>
      <c r="CW130" t="s">
        <v>321</v>
      </c>
      <c r="CX130">
        <v>278096.86920000002</v>
      </c>
      <c r="CY130">
        <v>4925298.3289999999</v>
      </c>
      <c r="CZ130">
        <v>44.446945999999997</v>
      </c>
      <c r="DA130">
        <v>-95.788770999999997</v>
      </c>
      <c r="DB130" s="291">
        <v>44228.489583333336</v>
      </c>
      <c r="DC130" t="s">
        <v>231</v>
      </c>
      <c r="DD130" t="s">
        <v>429</v>
      </c>
      <c r="DE130" t="s">
        <v>455</v>
      </c>
      <c r="DF130" t="s">
        <v>456</v>
      </c>
      <c r="DG130" t="s">
        <v>635</v>
      </c>
      <c r="DH130">
        <v>0</v>
      </c>
      <c r="DI130" t="s">
        <v>327</v>
      </c>
      <c r="DJ130">
        <v>100</v>
      </c>
      <c r="DK130">
        <v>9</v>
      </c>
    </row>
    <row r="131" spans="1:115" x14ac:dyDescent="0.25">
      <c r="A131">
        <v>130</v>
      </c>
      <c r="B131" t="s">
        <v>657</v>
      </c>
      <c r="C131">
        <v>1</v>
      </c>
      <c r="D131">
        <v>150</v>
      </c>
      <c r="E131">
        <v>1026501</v>
      </c>
      <c r="F131" t="s">
        <v>464</v>
      </c>
      <c r="G131">
        <v>19</v>
      </c>
      <c r="H131">
        <v>34.773000000000003</v>
      </c>
      <c r="I131" t="s">
        <v>297</v>
      </c>
      <c r="J131" t="s">
        <v>299</v>
      </c>
      <c r="K131" t="s">
        <v>321</v>
      </c>
      <c r="L131" t="s">
        <v>406</v>
      </c>
      <c r="M131" t="s">
        <v>299</v>
      </c>
      <c r="N131" t="s">
        <v>321</v>
      </c>
      <c r="O131" t="s">
        <v>934</v>
      </c>
      <c r="P131">
        <v>221540167</v>
      </c>
      <c r="Q131" s="290">
        <v>45083</v>
      </c>
      <c r="R131">
        <v>3</v>
      </c>
      <c r="S131">
        <v>2022</v>
      </c>
      <c r="T131" t="s">
        <v>485</v>
      </c>
      <c r="U131">
        <v>19</v>
      </c>
      <c r="V131" t="s">
        <v>450</v>
      </c>
      <c r="W131" t="s">
        <v>320</v>
      </c>
      <c r="X131">
        <v>0</v>
      </c>
      <c r="Y131">
        <v>2</v>
      </c>
      <c r="Z131" t="s">
        <v>476</v>
      </c>
      <c r="AA131" t="s">
        <v>409</v>
      </c>
      <c r="AB131" t="s">
        <v>452</v>
      </c>
      <c r="AC131" t="s">
        <v>433</v>
      </c>
      <c r="AD131" t="s">
        <v>412</v>
      </c>
      <c r="AE131" t="s">
        <v>321</v>
      </c>
      <c r="AF131" t="s">
        <v>434</v>
      </c>
      <c r="AG131" t="s">
        <v>414</v>
      </c>
      <c r="AH131" t="s">
        <v>477</v>
      </c>
      <c r="AI131" t="s">
        <v>558</v>
      </c>
      <c r="AJ131" t="s">
        <v>471</v>
      </c>
      <c r="AK131" t="s">
        <v>447</v>
      </c>
      <c r="AL131" t="s">
        <v>417</v>
      </c>
      <c r="AM131" t="s">
        <v>478</v>
      </c>
      <c r="AN131" t="s">
        <v>453</v>
      </c>
      <c r="AO131" t="s">
        <v>426</v>
      </c>
      <c r="AP131">
        <v>81</v>
      </c>
      <c r="AQ131" t="s">
        <v>420</v>
      </c>
      <c r="AR131" t="s">
        <v>421</v>
      </c>
      <c r="AS131" t="s">
        <v>430</v>
      </c>
      <c r="AT131" t="s">
        <v>321</v>
      </c>
      <c r="AU131" t="s">
        <v>321</v>
      </c>
      <c r="AV131" t="s">
        <v>321</v>
      </c>
      <c r="AW131" t="s">
        <v>441</v>
      </c>
      <c r="AX131" t="s">
        <v>449</v>
      </c>
      <c r="AY131">
        <v>30</v>
      </c>
      <c r="AZ131" t="s">
        <v>423</v>
      </c>
      <c r="BA131" t="s">
        <v>424</v>
      </c>
      <c r="BB131" t="s">
        <v>417</v>
      </c>
      <c r="BC131" t="s">
        <v>425</v>
      </c>
      <c r="BD131" t="s">
        <v>453</v>
      </c>
      <c r="BE131" t="s">
        <v>426</v>
      </c>
      <c r="BF131">
        <v>69</v>
      </c>
      <c r="BG131" t="s">
        <v>420</v>
      </c>
      <c r="BH131" t="s">
        <v>421</v>
      </c>
      <c r="BI131" t="s">
        <v>428</v>
      </c>
      <c r="BJ131" t="s">
        <v>321</v>
      </c>
      <c r="BK131" t="s">
        <v>321</v>
      </c>
      <c r="BL131" t="s">
        <v>321</v>
      </c>
      <c r="BM131" t="s">
        <v>441</v>
      </c>
      <c r="BN131" t="s">
        <v>449</v>
      </c>
      <c r="BO131">
        <v>30</v>
      </c>
      <c r="BP131" t="s">
        <v>423</v>
      </c>
      <c r="BQ131" t="s">
        <v>424</v>
      </c>
      <c r="BR131" t="s">
        <v>321</v>
      </c>
      <c r="BS131" t="s">
        <v>321</v>
      </c>
      <c r="BT131" t="s">
        <v>321</v>
      </c>
      <c r="BU131" t="s">
        <v>321</v>
      </c>
      <c r="BV131" t="s">
        <v>321</v>
      </c>
      <c r="BW131" t="s">
        <v>321</v>
      </c>
      <c r="BX131" t="s">
        <v>321</v>
      </c>
      <c r="BY131" t="s">
        <v>321</v>
      </c>
      <c r="BZ131" t="s">
        <v>321</v>
      </c>
      <c r="CA131" t="s">
        <v>321</v>
      </c>
      <c r="CB131" t="s">
        <v>321</v>
      </c>
      <c r="CC131" t="s">
        <v>321</v>
      </c>
      <c r="CD131" t="s">
        <v>321</v>
      </c>
      <c r="CE131" t="s">
        <v>321</v>
      </c>
      <c r="CF131" t="s">
        <v>321</v>
      </c>
      <c r="CG131" t="s">
        <v>321</v>
      </c>
      <c r="CH131" t="s">
        <v>321</v>
      </c>
      <c r="CI131" t="s">
        <v>321</v>
      </c>
      <c r="CJ131" t="s">
        <v>321</v>
      </c>
      <c r="CK131" t="s">
        <v>321</v>
      </c>
      <c r="CL131" t="s">
        <v>321</v>
      </c>
      <c r="CM131" t="s">
        <v>321</v>
      </c>
      <c r="CN131" t="s">
        <v>321</v>
      </c>
      <c r="CO131" t="s">
        <v>321</v>
      </c>
      <c r="CP131" t="s">
        <v>321</v>
      </c>
      <c r="CQ131" t="s">
        <v>321</v>
      </c>
      <c r="CR131" t="s">
        <v>321</v>
      </c>
      <c r="CS131" t="s">
        <v>321</v>
      </c>
      <c r="CT131" t="s">
        <v>321</v>
      </c>
      <c r="CU131" t="s">
        <v>321</v>
      </c>
      <c r="CV131" t="s">
        <v>321</v>
      </c>
      <c r="CW131" t="s">
        <v>321</v>
      </c>
      <c r="CX131">
        <v>278092.89659999998</v>
      </c>
      <c r="CY131">
        <v>4925293.8959999997</v>
      </c>
      <c r="CZ131">
        <v>44.446905000000001</v>
      </c>
      <c r="DA131">
        <v>-95.788819000000004</v>
      </c>
      <c r="DB131" s="291">
        <v>44715.793749999997</v>
      </c>
      <c r="DC131" t="s">
        <v>231</v>
      </c>
      <c r="DD131" t="s">
        <v>429</v>
      </c>
      <c r="DE131" t="s">
        <v>455</v>
      </c>
      <c r="DF131" t="s">
        <v>456</v>
      </c>
      <c r="DG131" t="s">
        <v>933</v>
      </c>
      <c r="DH131">
        <v>0</v>
      </c>
      <c r="DI131" t="s">
        <v>327</v>
      </c>
      <c r="DJ131">
        <v>100</v>
      </c>
      <c r="DK131">
        <v>9</v>
      </c>
    </row>
    <row r="132" spans="1:115" x14ac:dyDescent="0.25">
      <c r="A132">
        <v>131</v>
      </c>
      <c r="B132" t="s">
        <v>657</v>
      </c>
      <c r="C132">
        <v>1</v>
      </c>
      <c r="D132">
        <v>151</v>
      </c>
      <c r="E132">
        <v>1033833</v>
      </c>
      <c r="F132" t="s">
        <v>464</v>
      </c>
      <c r="G132">
        <v>19</v>
      </c>
      <c r="H132">
        <v>34.776000000000003</v>
      </c>
      <c r="I132" t="s">
        <v>297</v>
      </c>
      <c r="J132" t="s">
        <v>299</v>
      </c>
      <c r="K132" t="s">
        <v>321</v>
      </c>
      <c r="L132" t="s">
        <v>321</v>
      </c>
      <c r="M132" t="s">
        <v>299</v>
      </c>
      <c r="N132" t="s">
        <v>321</v>
      </c>
      <c r="O132" s="292">
        <v>202000000000</v>
      </c>
      <c r="P132">
        <v>221950024</v>
      </c>
      <c r="Q132" s="290">
        <v>45114</v>
      </c>
      <c r="R132">
        <v>14</v>
      </c>
      <c r="S132">
        <v>2022</v>
      </c>
      <c r="T132" t="s">
        <v>458</v>
      </c>
      <c r="U132">
        <v>11</v>
      </c>
      <c r="V132" t="s">
        <v>321</v>
      </c>
      <c r="W132" t="s">
        <v>318</v>
      </c>
      <c r="X132">
        <v>0</v>
      </c>
      <c r="Y132">
        <v>1</v>
      </c>
      <c r="Z132" t="s">
        <v>321</v>
      </c>
      <c r="AA132" t="s">
        <v>932</v>
      </c>
      <c r="AB132" t="s">
        <v>452</v>
      </c>
      <c r="AC132" t="s">
        <v>433</v>
      </c>
      <c r="AD132" t="s">
        <v>412</v>
      </c>
      <c r="AE132" t="s">
        <v>321</v>
      </c>
      <c r="AF132" t="s">
        <v>434</v>
      </c>
      <c r="AG132" t="s">
        <v>414</v>
      </c>
      <c r="AH132" t="s">
        <v>477</v>
      </c>
      <c r="AI132" t="s">
        <v>435</v>
      </c>
      <c r="AJ132" t="s">
        <v>471</v>
      </c>
      <c r="AK132" t="s">
        <v>528</v>
      </c>
      <c r="AL132" t="s">
        <v>417</v>
      </c>
      <c r="AM132" t="s">
        <v>418</v>
      </c>
      <c r="AN132" t="s">
        <v>448</v>
      </c>
      <c r="AO132" t="s">
        <v>487</v>
      </c>
      <c r="AP132">
        <v>59</v>
      </c>
      <c r="AQ132" t="s">
        <v>427</v>
      </c>
      <c r="AR132" t="s">
        <v>421</v>
      </c>
      <c r="AS132" t="s">
        <v>428</v>
      </c>
      <c r="AT132" t="s">
        <v>321</v>
      </c>
      <c r="AU132" t="s">
        <v>321</v>
      </c>
      <c r="AV132" t="s">
        <v>321</v>
      </c>
      <c r="AW132" t="s">
        <v>441</v>
      </c>
      <c r="AX132" t="s">
        <v>449</v>
      </c>
      <c r="AY132">
        <v>30</v>
      </c>
      <c r="AZ132" t="s">
        <v>423</v>
      </c>
      <c r="BA132" t="s">
        <v>424</v>
      </c>
      <c r="BB132" t="s">
        <v>548</v>
      </c>
      <c r="BC132" t="s">
        <v>321</v>
      </c>
      <c r="BD132" t="s">
        <v>321</v>
      </c>
      <c r="BE132" t="s">
        <v>321</v>
      </c>
      <c r="BF132">
        <v>63</v>
      </c>
      <c r="BG132" t="s">
        <v>427</v>
      </c>
      <c r="BH132" t="s">
        <v>421</v>
      </c>
      <c r="BI132" t="s">
        <v>454</v>
      </c>
      <c r="BJ132" t="s">
        <v>440</v>
      </c>
      <c r="BK132" t="s">
        <v>529</v>
      </c>
      <c r="BL132" t="s">
        <v>530</v>
      </c>
      <c r="BM132" t="s">
        <v>321</v>
      </c>
      <c r="BN132" t="s">
        <v>321</v>
      </c>
      <c r="BO132" t="s">
        <v>321</v>
      </c>
      <c r="BP132" t="s">
        <v>321</v>
      </c>
      <c r="BQ132" t="s">
        <v>321</v>
      </c>
      <c r="BR132" t="s">
        <v>321</v>
      </c>
      <c r="BS132" t="s">
        <v>321</v>
      </c>
      <c r="BT132" t="s">
        <v>321</v>
      </c>
      <c r="BU132" t="s">
        <v>321</v>
      </c>
      <c r="BV132" t="s">
        <v>321</v>
      </c>
      <c r="BW132" t="s">
        <v>321</v>
      </c>
      <c r="BX132" t="s">
        <v>321</v>
      </c>
      <c r="BY132" t="s">
        <v>321</v>
      </c>
      <c r="BZ132" t="s">
        <v>321</v>
      </c>
      <c r="CA132" t="s">
        <v>321</v>
      </c>
      <c r="CB132" t="s">
        <v>321</v>
      </c>
      <c r="CC132" t="s">
        <v>321</v>
      </c>
      <c r="CD132" t="s">
        <v>321</v>
      </c>
      <c r="CE132" t="s">
        <v>321</v>
      </c>
      <c r="CF132" t="s">
        <v>321</v>
      </c>
      <c r="CG132" t="s">
        <v>321</v>
      </c>
      <c r="CH132" t="s">
        <v>321</v>
      </c>
      <c r="CI132" t="s">
        <v>321</v>
      </c>
      <c r="CJ132" t="s">
        <v>321</v>
      </c>
      <c r="CK132" t="s">
        <v>321</v>
      </c>
      <c r="CL132" t="s">
        <v>321</v>
      </c>
      <c r="CM132" t="s">
        <v>321</v>
      </c>
      <c r="CN132" t="s">
        <v>321</v>
      </c>
      <c r="CO132" t="s">
        <v>321</v>
      </c>
      <c r="CP132" t="s">
        <v>321</v>
      </c>
      <c r="CQ132" t="s">
        <v>321</v>
      </c>
      <c r="CR132" t="s">
        <v>321</v>
      </c>
      <c r="CS132" t="s">
        <v>321</v>
      </c>
      <c r="CT132" t="s">
        <v>321</v>
      </c>
      <c r="CU132" t="s">
        <v>321</v>
      </c>
      <c r="CV132" t="s">
        <v>321</v>
      </c>
      <c r="CW132" t="s">
        <v>321</v>
      </c>
      <c r="CX132">
        <v>278096.68040000001</v>
      </c>
      <c r="CY132">
        <v>4925297.2259999998</v>
      </c>
      <c r="CZ132">
        <v>44.446928</v>
      </c>
      <c r="DA132">
        <v>-95.788764</v>
      </c>
      <c r="DB132" s="291">
        <v>44756.494444444441</v>
      </c>
      <c r="DC132" t="s">
        <v>231</v>
      </c>
      <c r="DD132" t="s">
        <v>429</v>
      </c>
      <c r="DE132" t="s">
        <v>455</v>
      </c>
      <c r="DF132" t="s">
        <v>456</v>
      </c>
      <c r="DG132" t="s">
        <v>931</v>
      </c>
      <c r="DH132">
        <v>0</v>
      </c>
      <c r="DI132" t="s">
        <v>327</v>
      </c>
      <c r="DJ132">
        <v>100</v>
      </c>
      <c r="DK132">
        <v>9</v>
      </c>
    </row>
    <row r="133" spans="1:115" x14ac:dyDescent="0.25">
      <c r="A133">
        <v>132</v>
      </c>
      <c r="B133" t="s">
        <v>657</v>
      </c>
      <c r="C133">
        <v>1</v>
      </c>
      <c r="D133">
        <v>152</v>
      </c>
      <c r="E133">
        <v>10877492</v>
      </c>
      <c r="F133" t="s">
        <v>464</v>
      </c>
      <c r="G133">
        <v>68</v>
      </c>
      <c r="H133">
        <v>39.235999999999997</v>
      </c>
      <c r="I133" t="s">
        <v>297</v>
      </c>
      <c r="J133" t="s">
        <v>299</v>
      </c>
      <c r="K133" t="s">
        <v>321</v>
      </c>
      <c r="L133" t="s">
        <v>406</v>
      </c>
      <c r="M133" t="s">
        <v>299</v>
      </c>
      <c r="N133" t="s">
        <v>321</v>
      </c>
      <c r="O133" t="s">
        <v>930</v>
      </c>
      <c r="P133">
        <v>130100004</v>
      </c>
      <c r="Q133" s="290">
        <v>44927</v>
      </c>
      <c r="R133">
        <v>9</v>
      </c>
      <c r="S133">
        <v>2013</v>
      </c>
      <c r="T133" t="s">
        <v>494</v>
      </c>
      <c r="U133">
        <v>18</v>
      </c>
      <c r="V133" t="s">
        <v>321</v>
      </c>
      <c r="W133" t="s">
        <v>319</v>
      </c>
      <c r="X133">
        <v>0</v>
      </c>
      <c r="Y133">
        <v>2</v>
      </c>
      <c r="Z133" t="s">
        <v>797</v>
      </c>
      <c r="AA133" t="s">
        <v>409</v>
      </c>
      <c r="AB133" t="s">
        <v>452</v>
      </c>
      <c r="AC133" t="s">
        <v>411</v>
      </c>
      <c r="AD133" t="s">
        <v>412</v>
      </c>
      <c r="AE133" t="s">
        <v>321</v>
      </c>
      <c r="AF133" t="s">
        <v>434</v>
      </c>
      <c r="AG133" t="s">
        <v>414</v>
      </c>
      <c r="AH133" t="s">
        <v>929</v>
      </c>
      <c r="AI133" t="s">
        <v>928</v>
      </c>
      <c r="AJ133" t="s">
        <v>559</v>
      </c>
      <c r="AK133" t="s">
        <v>447</v>
      </c>
      <c r="AL133" t="s">
        <v>417</v>
      </c>
      <c r="AM133" t="s">
        <v>425</v>
      </c>
      <c r="AN133" t="s">
        <v>922</v>
      </c>
      <c r="AO133" t="s">
        <v>927</v>
      </c>
      <c r="AP133">
        <v>46</v>
      </c>
      <c r="AQ133" t="s">
        <v>427</v>
      </c>
      <c r="AR133" t="s">
        <v>421</v>
      </c>
      <c r="AS133" t="s">
        <v>926</v>
      </c>
      <c r="AT133" t="s">
        <v>806</v>
      </c>
      <c r="AU133" t="s">
        <v>321</v>
      </c>
      <c r="AV133" t="s">
        <v>321</v>
      </c>
      <c r="AW133" t="s">
        <v>850</v>
      </c>
      <c r="AX133" t="s">
        <v>449</v>
      </c>
      <c r="AY133">
        <v>30</v>
      </c>
      <c r="AZ133" t="s">
        <v>423</v>
      </c>
      <c r="BA133" t="s">
        <v>424</v>
      </c>
      <c r="BB133" t="s">
        <v>417</v>
      </c>
      <c r="BC133" t="s">
        <v>425</v>
      </c>
      <c r="BD133" t="s">
        <v>922</v>
      </c>
      <c r="BE133" t="s">
        <v>794</v>
      </c>
      <c r="BF133">
        <v>56</v>
      </c>
      <c r="BG133" t="s">
        <v>427</v>
      </c>
      <c r="BH133" t="s">
        <v>421</v>
      </c>
      <c r="BI133" t="s">
        <v>428</v>
      </c>
      <c r="BJ133" t="s">
        <v>428</v>
      </c>
      <c r="BK133" t="s">
        <v>321</v>
      </c>
      <c r="BL133" t="s">
        <v>321</v>
      </c>
      <c r="BM133" t="s">
        <v>850</v>
      </c>
      <c r="BN133" t="s">
        <v>449</v>
      </c>
      <c r="BO133">
        <v>30</v>
      </c>
      <c r="BP133" t="s">
        <v>423</v>
      </c>
      <c r="BQ133" t="s">
        <v>424</v>
      </c>
      <c r="BR133" t="s">
        <v>321</v>
      </c>
      <c r="BS133" t="s">
        <v>321</v>
      </c>
      <c r="BT133" t="s">
        <v>321</v>
      </c>
      <c r="BU133" t="s">
        <v>321</v>
      </c>
      <c r="BV133" t="s">
        <v>321</v>
      </c>
      <c r="BW133" t="s">
        <v>321</v>
      </c>
      <c r="BX133" t="s">
        <v>321</v>
      </c>
      <c r="BY133" t="s">
        <v>321</v>
      </c>
      <c r="BZ133" t="s">
        <v>321</v>
      </c>
      <c r="CA133" t="s">
        <v>321</v>
      </c>
      <c r="CB133" t="s">
        <v>321</v>
      </c>
      <c r="CC133" t="s">
        <v>321</v>
      </c>
      <c r="CD133" t="s">
        <v>321</v>
      </c>
      <c r="CE133" t="s">
        <v>321</v>
      </c>
      <c r="CF133" t="s">
        <v>321</v>
      </c>
      <c r="CG133" t="s">
        <v>321</v>
      </c>
      <c r="CH133" t="s">
        <v>321</v>
      </c>
      <c r="CI133" t="s">
        <v>321</v>
      </c>
      <c r="CJ133" t="s">
        <v>321</v>
      </c>
      <c r="CK133" t="s">
        <v>321</v>
      </c>
      <c r="CL133" t="s">
        <v>321</v>
      </c>
      <c r="CM133" t="s">
        <v>321</v>
      </c>
      <c r="CN133" t="s">
        <v>321</v>
      </c>
      <c r="CO133" t="s">
        <v>321</v>
      </c>
      <c r="CP133" t="s">
        <v>321</v>
      </c>
      <c r="CQ133" t="s">
        <v>321</v>
      </c>
      <c r="CR133" t="s">
        <v>321</v>
      </c>
      <c r="CS133" t="s">
        <v>321</v>
      </c>
      <c r="CT133" t="s">
        <v>321</v>
      </c>
      <c r="CU133" t="s">
        <v>321</v>
      </c>
      <c r="CV133" t="s">
        <v>321</v>
      </c>
      <c r="CW133" t="s">
        <v>321</v>
      </c>
      <c r="CX133">
        <v>278097.64289999998</v>
      </c>
      <c r="CY133">
        <v>4925298.4409999996</v>
      </c>
      <c r="CZ133">
        <v>44.446947000000002</v>
      </c>
      <c r="DA133">
        <v>-95.788760999999994</v>
      </c>
      <c r="DB133" s="291">
        <v>41283.751388888886</v>
      </c>
      <c r="DC133" t="s">
        <v>231</v>
      </c>
      <c r="DD133" t="s">
        <v>429</v>
      </c>
      <c r="DE133" t="s">
        <v>430</v>
      </c>
      <c r="DF133" t="s">
        <v>430</v>
      </c>
      <c r="DG133" t="s">
        <v>925</v>
      </c>
      <c r="DH133">
        <v>0</v>
      </c>
      <c r="DI133" t="s">
        <v>327</v>
      </c>
      <c r="DJ133">
        <v>100</v>
      </c>
      <c r="DK133">
        <v>9</v>
      </c>
    </row>
    <row r="134" spans="1:115" x14ac:dyDescent="0.25">
      <c r="A134">
        <v>133</v>
      </c>
      <c r="B134" t="s">
        <v>657</v>
      </c>
      <c r="C134">
        <v>1</v>
      </c>
      <c r="D134">
        <v>153</v>
      </c>
      <c r="E134">
        <v>10889911</v>
      </c>
      <c r="F134" t="s">
        <v>464</v>
      </c>
      <c r="G134">
        <v>68</v>
      </c>
      <c r="H134">
        <v>39.235999999999997</v>
      </c>
      <c r="I134" t="s">
        <v>297</v>
      </c>
      <c r="J134" t="s">
        <v>299</v>
      </c>
      <c r="K134" t="s">
        <v>321</v>
      </c>
      <c r="L134" t="s">
        <v>406</v>
      </c>
      <c r="M134" t="s">
        <v>299</v>
      </c>
      <c r="N134" t="s">
        <v>321</v>
      </c>
      <c r="O134" t="s">
        <v>924</v>
      </c>
      <c r="P134">
        <v>131260101</v>
      </c>
      <c r="Q134" s="290">
        <v>45051</v>
      </c>
      <c r="R134">
        <v>6</v>
      </c>
      <c r="S134">
        <v>2013</v>
      </c>
      <c r="T134" t="s">
        <v>431</v>
      </c>
      <c r="U134">
        <v>12</v>
      </c>
      <c r="V134" t="s">
        <v>321</v>
      </c>
      <c r="W134" t="s">
        <v>320</v>
      </c>
      <c r="X134">
        <v>0</v>
      </c>
      <c r="Y134">
        <v>2</v>
      </c>
      <c r="Z134" t="s">
        <v>797</v>
      </c>
      <c r="AA134" t="s">
        <v>409</v>
      </c>
      <c r="AB134" t="s">
        <v>452</v>
      </c>
      <c r="AC134" t="s">
        <v>433</v>
      </c>
      <c r="AD134" t="s">
        <v>412</v>
      </c>
      <c r="AE134" t="s">
        <v>321</v>
      </c>
      <c r="AF134" t="s">
        <v>434</v>
      </c>
      <c r="AG134" t="s">
        <v>414</v>
      </c>
      <c r="AH134" t="s">
        <v>923</v>
      </c>
      <c r="AI134" t="s">
        <v>915</v>
      </c>
      <c r="AJ134" t="s">
        <v>559</v>
      </c>
      <c r="AK134" t="s">
        <v>447</v>
      </c>
      <c r="AL134" t="s">
        <v>417</v>
      </c>
      <c r="AM134" t="s">
        <v>478</v>
      </c>
      <c r="AN134" t="s">
        <v>922</v>
      </c>
      <c r="AO134" t="s">
        <v>794</v>
      </c>
      <c r="AP134">
        <v>46</v>
      </c>
      <c r="AQ134" t="s">
        <v>420</v>
      </c>
      <c r="AR134" t="s">
        <v>421</v>
      </c>
      <c r="AS134" t="s">
        <v>428</v>
      </c>
      <c r="AT134" t="s">
        <v>321</v>
      </c>
      <c r="AU134" t="s">
        <v>321</v>
      </c>
      <c r="AV134" t="s">
        <v>321</v>
      </c>
      <c r="AW134" t="s">
        <v>850</v>
      </c>
      <c r="AX134" t="s">
        <v>449</v>
      </c>
      <c r="AY134">
        <v>30</v>
      </c>
      <c r="AZ134" t="s">
        <v>423</v>
      </c>
      <c r="BA134" t="s">
        <v>424</v>
      </c>
      <c r="BB134" t="s">
        <v>417</v>
      </c>
      <c r="BC134" t="s">
        <v>478</v>
      </c>
      <c r="BD134" t="s">
        <v>922</v>
      </c>
      <c r="BE134" t="s">
        <v>426</v>
      </c>
      <c r="BF134">
        <v>34</v>
      </c>
      <c r="BG134" t="s">
        <v>420</v>
      </c>
      <c r="BH134" t="s">
        <v>421</v>
      </c>
      <c r="BI134" t="s">
        <v>538</v>
      </c>
      <c r="BJ134" t="s">
        <v>321</v>
      </c>
      <c r="BK134" t="s">
        <v>321</v>
      </c>
      <c r="BL134" t="s">
        <v>321</v>
      </c>
      <c r="BM134" t="s">
        <v>850</v>
      </c>
      <c r="BN134" t="s">
        <v>449</v>
      </c>
      <c r="BO134">
        <v>30</v>
      </c>
      <c r="BP134" t="s">
        <v>423</v>
      </c>
      <c r="BQ134" t="s">
        <v>424</v>
      </c>
      <c r="BR134" t="s">
        <v>321</v>
      </c>
      <c r="BS134" t="s">
        <v>321</v>
      </c>
      <c r="BT134" t="s">
        <v>321</v>
      </c>
      <c r="BU134" t="s">
        <v>321</v>
      </c>
      <c r="BV134" t="s">
        <v>321</v>
      </c>
      <c r="BW134" t="s">
        <v>321</v>
      </c>
      <c r="BX134" t="s">
        <v>321</v>
      </c>
      <c r="BY134" t="s">
        <v>321</v>
      </c>
      <c r="BZ134" t="s">
        <v>321</v>
      </c>
      <c r="CA134" t="s">
        <v>321</v>
      </c>
      <c r="CB134" t="s">
        <v>321</v>
      </c>
      <c r="CC134" t="s">
        <v>321</v>
      </c>
      <c r="CD134" t="s">
        <v>321</v>
      </c>
      <c r="CE134" t="s">
        <v>321</v>
      </c>
      <c r="CF134" t="s">
        <v>321</v>
      </c>
      <c r="CG134" t="s">
        <v>321</v>
      </c>
      <c r="CH134" t="s">
        <v>321</v>
      </c>
      <c r="CI134" t="s">
        <v>321</v>
      </c>
      <c r="CJ134" t="s">
        <v>321</v>
      </c>
      <c r="CK134" t="s">
        <v>321</v>
      </c>
      <c r="CL134" t="s">
        <v>321</v>
      </c>
      <c r="CM134" t="s">
        <v>321</v>
      </c>
      <c r="CN134" t="s">
        <v>321</v>
      </c>
      <c r="CO134" t="s">
        <v>321</v>
      </c>
      <c r="CP134" t="s">
        <v>321</v>
      </c>
      <c r="CQ134" t="s">
        <v>321</v>
      </c>
      <c r="CR134" t="s">
        <v>321</v>
      </c>
      <c r="CS134" t="s">
        <v>321</v>
      </c>
      <c r="CT134" t="s">
        <v>321</v>
      </c>
      <c r="CU134" t="s">
        <v>321</v>
      </c>
      <c r="CV134" t="s">
        <v>321</v>
      </c>
      <c r="CW134" t="s">
        <v>321</v>
      </c>
      <c r="CX134">
        <v>278097.64289999998</v>
      </c>
      <c r="CY134">
        <v>4925298.4409999996</v>
      </c>
      <c r="CZ134">
        <v>44.446947000000002</v>
      </c>
      <c r="DA134">
        <v>-95.788760999999994</v>
      </c>
      <c r="DB134" s="291">
        <v>41400.510416666664</v>
      </c>
      <c r="DC134" t="s">
        <v>231</v>
      </c>
      <c r="DD134" t="s">
        <v>429</v>
      </c>
      <c r="DE134" t="s">
        <v>430</v>
      </c>
      <c r="DF134" t="s">
        <v>430</v>
      </c>
      <c r="DG134" t="s">
        <v>921</v>
      </c>
      <c r="DH134">
        <v>0</v>
      </c>
      <c r="DI134" t="s">
        <v>327</v>
      </c>
      <c r="DJ134">
        <v>100</v>
      </c>
      <c r="DK134">
        <v>9</v>
      </c>
    </row>
    <row r="135" spans="1:115" x14ac:dyDescent="0.25">
      <c r="A135">
        <v>134</v>
      </c>
      <c r="B135" t="s">
        <v>657</v>
      </c>
      <c r="C135">
        <v>1</v>
      </c>
      <c r="D135">
        <v>154</v>
      </c>
      <c r="E135">
        <v>10966981</v>
      </c>
      <c r="F135" t="s">
        <v>464</v>
      </c>
      <c r="G135">
        <v>68</v>
      </c>
      <c r="H135">
        <v>39.235999999999997</v>
      </c>
      <c r="I135" t="s">
        <v>297</v>
      </c>
      <c r="J135" t="s">
        <v>299</v>
      </c>
      <c r="K135" t="s">
        <v>321</v>
      </c>
      <c r="L135" t="s">
        <v>406</v>
      </c>
      <c r="M135" t="s">
        <v>299</v>
      </c>
      <c r="N135" t="s">
        <v>321</v>
      </c>
      <c r="O135" t="s">
        <v>920</v>
      </c>
      <c r="P135">
        <v>140650101</v>
      </c>
      <c r="Q135" s="290">
        <v>44988</v>
      </c>
      <c r="R135">
        <v>5</v>
      </c>
      <c r="S135">
        <v>2014</v>
      </c>
      <c r="T135" t="s">
        <v>494</v>
      </c>
      <c r="U135">
        <v>17</v>
      </c>
      <c r="V135" t="s">
        <v>321</v>
      </c>
      <c r="W135" t="s">
        <v>320</v>
      </c>
      <c r="X135">
        <v>0</v>
      </c>
      <c r="Y135">
        <v>2</v>
      </c>
      <c r="Z135" t="s">
        <v>797</v>
      </c>
      <c r="AA135" t="s">
        <v>409</v>
      </c>
      <c r="AB135" t="s">
        <v>452</v>
      </c>
      <c r="AC135" t="s">
        <v>433</v>
      </c>
      <c r="AD135" t="s">
        <v>412</v>
      </c>
      <c r="AE135" t="s">
        <v>321</v>
      </c>
      <c r="AF135" t="s">
        <v>523</v>
      </c>
      <c r="AG135" t="s">
        <v>414</v>
      </c>
      <c r="AH135" t="s">
        <v>795</v>
      </c>
      <c r="AI135" t="s">
        <v>915</v>
      </c>
      <c r="AJ135" t="s">
        <v>559</v>
      </c>
      <c r="AK135" t="s">
        <v>447</v>
      </c>
      <c r="AL135" t="s">
        <v>417</v>
      </c>
      <c r="AM135" t="s">
        <v>418</v>
      </c>
      <c r="AN135" t="s">
        <v>892</v>
      </c>
      <c r="AO135" t="s">
        <v>426</v>
      </c>
      <c r="AP135">
        <v>24</v>
      </c>
      <c r="AQ135" t="s">
        <v>427</v>
      </c>
      <c r="AR135" t="s">
        <v>421</v>
      </c>
      <c r="AS135" t="s">
        <v>914</v>
      </c>
      <c r="AT135" t="s">
        <v>538</v>
      </c>
      <c r="AU135" t="s">
        <v>321</v>
      </c>
      <c r="AV135" t="s">
        <v>321</v>
      </c>
      <c r="AW135" t="s">
        <v>850</v>
      </c>
      <c r="AX135" t="s">
        <v>449</v>
      </c>
      <c r="AY135">
        <v>30</v>
      </c>
      <c r="AZ135" t="s">
        <v>423</v>
      </c>
      <c r="BA135" t="s">
        <v>424</v>
      </c>
      <c r="BB135" t="s">
        <v>417</v>
      </c>
      <c r="BC135" t="s">
        <v>478</v>
      </c>
      <c r="BD135" t="s">
        <v>892</v>
      </c>
      <c r="BE135" t="s">
        <v>426</v>
      </c>
      <c r="BF135">
        <v>32</v>
      </c>
      <c r="BG135" t="s">
        <v>420</v>
      </c>
      <c r="BH135" t="s">
        <v>421</v>
      </c>
      <c r="BI135" t="s">
        <v>428</v>
      </c>
      <c r="BJ135" t="s">
        <v>321</v>
      </c>
      <c r="BK135" t="s">
        <v>321</v>
      </c>
      <c r="BL135" t="s">
        <v>321</v>
      </c>
      <c r="BM135" t="s">
        <v>850</v>
      </c>
      <c r="BN135" t="s">
        <v>449</v>
      </c>
      <c r="BO135">
        <v>30</v>
      </c>
      <c r="BP135" t="s">
        <v>423</v>
      </c>
      <c r="BQ135" t="s">
        <v>424</v>
      </c>
      <c r="BR135" t="s">
        <v>321</v>
      </c>
      <c r="BS135" t="s">
        <v>321</v>
      </c>
      <c r="BT135" t="s">
        <v>321</v>
      </c>
      <c r="BU135" t="s">
        <v>321</v>
      </c>
      <c r="BV135" t="s">
        <v>321</v>
      </c>
      <c r="BW135" t="s">
        <v>321</v>
      </c>
      <c r="BX135" t="s">
        <v>321</v>
      </c>
      <c r="BY135" t="s">
        <v>321</v>
      </c>
      <c r="BZ135" t="s">
        <v>321</v>
      </c>
      <c r="CA135" t="s">
        <v>321</v>
      </c>
      <c r="CB135" t="s">
        <v>321</v>
      </c>
      <c r="CC135" t="s">
        <v>321</v>
      </c>
      <c r="CD135" t="s">
        <v>321</v>
      </c>
      <c r="CE135" t="s">
        <v>321</v>
      </c>
      <c r="CF135" t="s">
        <v>321</v>
      </c>
      <c r="CG135" t="s">
        <v>321</v>
      </c>
      <c r="CH135" t="s">
        <v>321</v>
      </c>
      <c r="CI135" t="s">
        <v>321</v>
      </c>
      <c r="CJ135" t="s">
        <v>321</v>
      </c>
      <c r="CK135" t="s">
        <v>321</v>
      </c>
      <c r="CL135" t="s">
        <v>321</v>
      </c>
      <c r="CM135" t="s">
        <v>321</v>
      </c>
      <c r="CN135" t="s">
        <v>321</v>
      </c>
      <c r="CO135" t="s">
        <v>321</v>
      </c>
      <c r="CP135" t="s">
        <v>321</v>
      </c>
      <c r="CQ135" t="s">
        <v>321</v>
      </c>
      <c r="CR135" t="s">
        <v>321</v>
      </c>
      <c r="CS135" t="s">
        <v>321</v>
      </c>
      <c r="CT135" t="s">
        <v>321</v>
      </c>
      <c r="CU135" t="s">
        <v>321</v>
      </c>
      <c r="CV135" t="s">
        <v>321</v>
      </c>
      <c r="CW135" t="s">
        <v>321</v>
      </c>
      <c r="CX135">
        <v>278097.64289999998</v>
      </c>
      <c r="CY135">
        <v>4925298.4409999996</v>
      </c>
      <c r="CZ135">
        <v>44.446947000000002</v>
      </c>
      <c r="DA135">
        <v>-95.788760999999994</v>
      </c>
      <c r="DB135" s="291">
        <v>41703.722916666666</v>
      </c>
      <c r="DC135" t="s">
        <v>231</v>
      </c>
      <c r="DD135" t="s">
        <v>429</v>
      </c>
      <c r="DE135" t="s">
        <v>430</v>
      </c>
      <c r="DF135" t="s">
        <v>430</v>
      </c>
      <c r="DG135" t="s">
        <v>919</v>
      </c>
      <c r="DH135">
        <v>0</v>
      </c>
      <c r="DI135" t="s">
        <v>327</v>
      </c>
      <c r="DJ135">
        <v>100</v>
      </c>
      <c r="DK135">
        <v>9</v>
      </c>
    </row>
    <row r="136" spans="1:115" x14ac:dyDescent="0.25">
      <c r="A136">
        <v>135</v>
      </c>
      <c r="B136" t="s">
        <v>657</v>
      </c>
      <c r="C136">
        <v>1</v>
      </c>
      <c r="D136">
        <v>155</v>
      </c>
      <c r="E136">
        <v>11078925</v>
      </c>
      <c r="F136" t="s">
        <v>464</v>
      </c>
      <c r="G136">
        <v>68</v>
      </c>
      <c r="H136">
        <v>39.235999999999997</v>
      </c>
      <c r="I136" t="s">
        <v>297</v>
      </c>
      <c r="J136" t="s">
        <v>299</v>
      </c>
      <c r="K136" t="s">
        <v>321</v>
      </c>
      <c r="L136" t="s">
        <v>406</v>
      </c>
      <c r="M136" t="s">
        <v>299</v>
      </c>
      <c r="N136" t="s">
        <v>321</v>
      </c>
      <c r="O136">
        <v>1500020650</v>
      </c>
      <c r="P136">
        <v>153120074</v>
      </c>
      <c r="Q136" s="290">
        <v>45241</v>
      </c>
      <c r="R136">
        <v>8</v>
      </c>
      <c r="S136">
        <v>2015</v>
      </c>
      <c r="T136" t="s">
        <v>489</v>
      </c>
      <c r="U136">
        <v>16</v>
      </c>
      <c r="V136" t="s">
        <v>466</v>
      </c>
      <c r="W136" t="s">
        <v>320</v>
      </c>
      <c r="X136">
        <v>0</v>
      </c>
      <c r="Y136">
        <v>2</v>
      </c>
      <c r="Z136" t="s">
        <v>797</v>
      </c>
      <c r="AA136" t="s">
        <v>409</v>
      </c>
      <c r="AB136" t="s">
        <v>460</v>
      </c>
      <c r="AC136" t="s">
        <v>547</v>
      </c>
      <c r="AD136" t="s">
        <v>412</v>
      </c>
      <c r="AE136" t="s">
        <v>321</v>
      </c>
      <c r="AF136" t="s">
        <v>434</v>
      </c>
      <c r="AG136" t="s">
        <v>414</v>
      </c>
      <c r="AH136" t="s">
        <v>869</v>
      </c>
      <c r="AI136" t="s">
        <v>918</v>
      </c>
      <c r="AJ136" t="s">
        <v>559</v>
      </c>
      <c r="AK136" t="s">
        <v>447</v>
      </c>
      <c r="AL136" t="s">
        <v>417</v>
      </c>
      <c r="AM136" t="s">
        <v>425</v>
      </c>
      <c r="AN136" t="s">
        <v>448</v>
      </c>
      <c r="AO136" t="s">
        <v>794</v>
      </c>
      <c r="AP136">
        <v>54</v>
      </c>
      <c r="AQ136" t="s">
        <v>420</v>
      </c>
      <c r="AR136" t="s">
        <v>421</v>
      </c>
      <c r="AS136" t="s">
        <v>428</v>
      </c>
      <c r="AT136" t="s">
        <v>321</v>
      </c>
      <c r="AU136" t="s">
        <v>321</v>
      </c>
      <c r="AV136" t="s">
        <v>321</v>
      </c>
      <c r="AW136" t="s">
        <v>805</v>
      </c>
      <c r="AX136" t="s">
        <v>449</v>
      </c>
      <c r="AY136">
        <v>30</v>
      </c>
      <c r="AZ136" t="s">
        <v>423</v>
      </c>
      <c r="BA136" t="s">
        <v>424</v>
      </c>
      <c r="BB136" t="s">
        <v>417</v>
      </c>
      <c r="BC136" t="s">
        <v>425</v>
      </c>
      <c r="BD136" t="s">
        <v>448</v>
      </c>
      <c r="BE136" t="s">
        <v>426</v>
      </c>
      <c r="BF136">
        <v>25</v>
      </c>
      <c r="BG136" t="s">
        <v>427</v>
      </c>
      <c r="BH136" t="s">
        <v>421</v>
      </c>
      <c r="BI136" t="s">
        <v>806</v>
      </c>
      <c r="BJ136" t="s">
        <v>321</v>
      </c>
      <c r="BK136" t="s">
        <v>321</v>
      </c>
      <c r="BL136" t="s">
        <v>321</v>
      </c>
      <c r="BM136" t="s">
        <v>805</v>
      </c>
      <c r="BN136" t="s">
        <v>449</v>
      </c>
      <c r="BO136">
        <v>30</v>
      </c>
      <c r="BP136" t="s">
        <v>423</v>
      </c>
      <c r="BQ136" t="s">
        <v>424</v>
      </c>
      <c r="BR136" t="s">
        <v>321</v>
      </c>
      <c r="BS136" t="s">
        <v>321</v>
      </c>
      <c r="BT136" t="s">
        <v>321</v>
      </c>
      <c r="BU136" t="s">
        <v>321</v>
      </c>
      <c r="BV136" t="s">
        <v>321</v>
      </c>
      <c r="BW136" t="s">
        <v>321</v>
      </c>
      <c r="BX136" t="s">
        <v>321</v>
      </c>
      <c r="BY136" t="s">
        <v>321</v>
      </c>
      <c r="BZ136" t="s">
        <v>321</v>
      </c>
      <c r="CA136" t="s">
        <v>321</v>
      </c>
      <c r="CB136" t="s">
        <v>321</v>
      </c>
      <c r="CC136" t="s">
        <v>321</v>
      </c>
      <c r="CD136" t="s">
        <v>321</v>
      </c>
      <c r="CE136" t="s">
        <v>321</v>
      </c>
      <c r="CF136" t="s">
        <v>321</v>
      </c>
      <c r="CG136" t="s">
        <v>321</v>
      </c>
      <c r="CH136" t="s">
        <v>321</v>
      </c>
      <c r="CI136" t="s">
        <v>321</v>
      </c>
      <c r="CJ136" t="s">
        <v>321</v>
      </c>
      <c r="CK136" t="s">
        <v>321</v>
      </c>
      <c r="CL136" t="s">
        <v>321</v>
      </c>
      <c r="CM136" t="s">
        <v>321</v>
      </c>
      <c r="CN136" t="s">
        <v>321</v>
      </c>
      <c r="CO136" t="s">
        <v>321</v>
      </c>
      <c r="CP136" t="s">
        <v>321</v>
      </c>
      <c r="CQ136" t="s">
        <v>321</v>
      </c>
      <c r="CR136" t="s">
        <v>321</v>
      </c>
      <c r="CS136" t="s">
        <v>321</v>
      </c>
      <c r="CT136" t="s">
        <v>321</v>
      </c>
      <c r="CU136" t="s">
        <v>321</v>
      </c>
      <c r="CV136" t="s">
        <v>321</v>
      </c>
      <c r="CW136" t="s">
        <v>321</v>
      </c>
      <c r="CX136">
        <v>278097.64289999998</v>
      </c>
      <c r="CY136">
        <v>4925298.4409999996</v>
      </c>
      <c r="CZ136">
        <v>44.446947000000002</v>
      </c>
      <c r="DA136">
        <v>-95.788760999999994</v>
      </c>
      <c r="DB136" s="291">
        <v>42316.690972222219</v>
      </c>
      <c r="DC136" t="s">
        <v>231</v>
      </c>
      <c r="DD136" t="s">
        <v>429</v>
      </c>
      <c r="DE136" t="s">
        <v>430</v>
      </c>
      <c r="DF136" t="s">
        <v>430</v>
      </c>
      <c r="DG136" t="s">
        <v>917</v>
      </c>
      <c r="DH136">
        <v>0</v>
      </c>
      <c r="DI136" t="s">
        <v>327</v>
      </c>
      <c r="DJ136">
        <v>100</v>
      </c>
      <c r="DK136">
        <v>9</v>
      </c>
    </row>
    <row r="137" spans="1:115" x14ac:dyDescent="0.25">
      <c r="A137">
        <v>136</v>
      </c>
      <c r="B137" t="s">
        <v>657</v>
      </c>
      <c r="C137">
        <v>1</v>
      </c>
      <c r="D137">
        <v>156</v>
      </c>
      <c r="E137">
        <v>11093111</v>
      </c>
      <c r="F137" t="s">
        <v>464</v>
      </c>
      <c r="G137">
        <v>68</v>
      </c>
      <c r="H137">
        <v>39.235999999999997</v>
      </c>
      <c r="I137" t="s">
        <v>297</v>
      </c>
      <c r="J137" t="s">
        <v>299</v>
      </c>
      <c r="K137" t="s">
        <v>321</v>
      </c>
      <c r="L137" t="s">
        <v>406</v>
      </c>
      <c r="M137" t="s">
        <v>299</v>
      </c>
      <c r="N137" t="s">
        <v>321</v>
      </c>
      <c r="O137" t="s">
        <v>916</v>
      </c>
      <c r="P137">
        <v>153610061</v>
      </c>
      <c r="Q137" s="290">
        <v>45272</v>
      </c>
      <c r="R137">
        <v>26</v>
      </c>
      <c r="S137">
        <v>2015</v>
      </c>
      <c r="T137" t="s">
        <v>506</v>
      </c>
      <c r="U137">
        <v>14</v>
      </c>
      <c r="V137" t="s">
        <v>321</v>
      </c>
      <c r="W137" t="s">
        <v>320</v>
      </c>
      <c r="X137">
        <v>0</v>
      </c>
      <c r="Y137">
        <v>4</v>
      </c>
      <c r="Z137" t="s">
        <v>463</v>
      </c>
      <c r="AA137" t="s">
        <v>409</v>
      </c>
      <c r="AB137" t="s">
        <v>410</v>
      </c>
      <c r="AC137" t="s">
        <v>433</v>
      </c>
      <c r="AD137" t="s">
        <v>467</v>
      </c>
      <c r="AE137" t="s">
        <v>321</v>
      </c>
      <c r="AF137" t="s">
        <v>413</v>
      </c>
      <c r="AG137" t="s">
        <v>414</v>
      </c>
      <c r="AH137" t="s">
        <v>795</v>
      </c>
      <c r="AI137" t="s">
        <v>915</v>
      </c>
      <c r="AJ137" t="s">
        <v>559</v>
      </c>
      <c r="AK137" t="s">
        <v>463</v>
      </c>
      <c r="AL137" t="s">
        <v>417</v>
      </c>
      <c r="AM137" t="s">
        <v>478</v>
      </c>
      <c r="AN137" t="s">
        <v>892</v>
      </c>
      <c r="AO137" t="s">
        <v>883</v>
      </c>
      <c r="AP137">
        <v>28</v>
      </c>
      <c r="AQ137" t="s">
        <v>420</v>
      </c>
      <c r="AR137" t="s">
        <v>421</v>
      </c>
      <c r="AS137" t="s">
        <v>894</v>
      </c>
      <c r="AT137" t="s">
        <v>321</v>
      </c>
      <c r="AU137" t="s">
        <v>321</v>
      </c>
      <c r="AV137" t="s">
        <v>321</v>
      </c>
      <c r="AW137" t="s">
        <v>850</v>
      </c>
      <c r="AX137" t="s">
        <v>422</v>
      </c>
      <c r="AY137">
        <v>30</v>
      </c>
      <c r="AZ137" t="s">
        <v>423</v>
      </c>
      <c r="BA137" t="s">
        <v>424</v>
      </c>
      <c r="BB137" t="s">
        <v>417</v>
      </c>
      <c r="BC137" t="s">
        <v>478</v>
      </c>
      <c r="BD137" t="s">
        <v>892</v>
      </c>
      <c r="BE137" t="s">
        <v>426</v>
      </c>
      <c r="BF137">
        <v>45</v>
      </c>
      <c r="BG137" t="s">
        <v>420</v>
      </c>
      <c r="BH137" t="s">
        <v>421</v>
      </c>
      <c r="BI137" t="s">
        <v>914</v>
      </c>
      <c r="BJ137" t="s">
        <v>321</v>
      </c>
      <c r="BK137" t="s">
        <v>321</v>
      </c>
      <c r="BL137" t="s">
        <v>321</v>
      </c>
      <c r="BM137" t="s">
        <v>850</v>
      </c>
      <c r="BN137" t="s">
        <v>422</v>
      </c>
      <c r="BO137">
        <v>30</v>
      </c>
      <c r="BP137" t="s">
        <v>423</v>
      </c>
      <c r="BQ137" t="s">
        <v>424</v>
      </c>
      <c r="BR137" t="s">
        <v>508</v>
      </c>
      <c r="BS137" t="s">
        <v>418</v>
      </c>
      <c r="BT137" t="s">
        <v>892</v>
      </c>
      <c r="BU137" t="s">
        <v>913</v>
      </c>
      <c r="BV137" t="s">
        <v>321</v>
      </c>
      <c r="BW137" t="s">
        <v>321</v>
      </c>
      <c r="BX137" t="s">
        <v>321</v>
      </c>
      <c r="BY137" t="s">
        <v>428</v>
      </c>
      <c r="BZ137" t="s">
        <v>321</v>
      </c>
      <c r="CA137" t="s">
        <v>321</v>
      </c>
      <c r="CB137" t="s">
        <v>321</v>
      </c>
      <c r="CC137" t="s">
        <v>850</v>
      </c>
      <c r="CD137" t="s">
        <v>422</v>
      </c>
      <c r="CE137">
        <v>30</v>
      </c>
      <c r="CF137" t="s">
        <v>423</v>
      </c>
      <c r="CG137" t="s">
        <v>424</v>
      </c>
      <c r="CH137" t="s">
        <v>508</v>
      </c>
      <c r="CI137" t="s">
        <v>425</v>
      </c>
      <c r="CJ137" t="s">
        <v>892</v>
      </c>
      <c r="CK137" t="s">
        <v>913</v>
      </c>
      <c r="CL137" t="s">
        <v>321</v>
      </c>
      <c r="CM137" t="s">
        <v>321</v>
      </c>
      <c r="CN137" t="s">
        <v>321</v>
      </c>
      <c r="CO137" t="s">
        <v>428</v>
      </c>
      <c r="CP137" t="s">
        <v>321</v>
      </c>
      <c r="CQ137" t="s">
        <v>321</v>
      </c>
      <c r="CR137" t="s">
        <v>321</v>
      </c>
      <c r="CS137" t="s">
        <v>850</v>
      </c>
      <c r="CT137" t="s">
        <v>422</v>
      </c>
      <c r="CU137">
        <v>30</v>
      </c>
      <c r="CV137" t="s">
        <v>423</v>
      </c>
      <c r="CW137" t="s">
        <v>424</v>
      </c>
      <c r="CX137">
        <v>278097.64289999998</v>
      </c>
      <c r="CY137">
        <v>4925298.4409999996</v>
      </c>
      <c r="CZ137">
        <v>44.446947000000002</v>
      </c>
      <c r="DA137">
        <v>-95.788760999999994</v>
      </c>
      <c r="DB137" s="291">
        <v>42364.588888888888</v>
      </c>
      <c r="DC137" t="s">
        <v>231</v>
      </c>
      <c r="DD137" t="s">
        <v>429</v>
      </c>
      <c r="DE137" t="s">
        <v>430</v>
      </c>
      <c r="DF137" t="s">
        <v>430</v>
      </c>
      <c r="DG137" t="s">
        <v>912</v>
      </c>
      <c r="DH137">
        <v>0</v>
      </c>
      <c r="DI137" t="s">
        <v>327</v>
      </c>
      <c r="DJ137">
        <v>100</v>
      </c>
      <c r="DK137">
        <v>9</v>
      </c>
    </row>
    <row r="138" spans="1:115" x14ac:dyDescent="0.25">
      <c r="A138">
        <v>137</v>
      </c>
      <c r="B138" t="s">
        <v>657</v>
      </c>
      <c r="C138">
        <v>1</v>
      </c>
      <c r="D138">
        <v>157</v>
      </c>
      <c r="E138">
        <v>1024840</v>
      </c>
      <c r="F138" t="s">
        <v>464</v>
      </c>
      <c r="G138">
        <v>19</v>
      </c>
      <c r="H138">
        <v>34.780999999999999</v>
      </c>
      <c r="I138" t="s">
        <v>297</v>
      </c>
      <c r="J138" t="s">
        <v>299</v>
      </c>
      <c r="K138" t="s">
        <v>321</v>
      </c>
      <c r="L138" t="s">
        <v>406</v>
      </c>
      <c r="M138" t="s">
        <v>299</v>
      </c>
      <c r="N138" t="s">
        <v>321</v>
      </c>
      <c r="O138" t="s">
        <v>911</v>
      </c>
      <c r="P138">
        <v>221450146</v>
      </c>
      <c r="Q138" s="290">
        <v>45051</v>
      </c>
      <c r="R138">
        <v>25</v>
      </c>
      <c r="S138">
        <v>2022</v>
      </c>
      <c r="T138" t="s">
        <v>494</v>
      </c>
      <c r="U138">
        <v>20</v>
      </c>
      <c r="V138" t="s">
        <v>321</v>
      </c>
      <c r="W138" t="s">
        <v>320</v>
      </c>
      <c r="X138">
        <v>0</v>
      </c>
      <c r="Y138">
        <v>1</v>
      </c>
      <c r="Z138" t="s">
        <v>321</v>
      </c>
      <c r="AA138" t="s">
        <v>557</v>
      </c>
      <c r="AB138" t="s">
        <v>452</v>
      </c>
      <c r="AC138" t="s">
        <v>433</v>
      </c>
      <c r="AD138" t="s">
        <v>412</v>
      </c>
      <c r="AE138" t="s">
        <v>321</v>
      </c>
      <c r="AF138" t="s">
        <v>434</v>
      </c>
      <c r="AG138" t="s">
        <v>414</v>
      </c>
      <c r="AH138" t="s">
        <v>477</v>
      </c>
      <c r="AI138" t="s">
        <v>558</v>
      </c>
      <c r="AJ138" t="s">
        <v>471</v>
      </c>
      <c r="AK138" t="s">
        <v>436</v>
      </c>
      <c r="AL138" t="s">
        <v>417</v>
      </c>
      <c r="AM138" t="s">
        <v>437</v>
      </c>
      <c r="AN138" t="s">
        <v>461</v>
      </c>
      <c r="AO138" t="s">
        <v>419</v>
      </c>
      <c r="AP138">
        <v>37</v>
      </c>
      <c r="AQ138" t="s">
        <v>420</v>
      </c>
      <c r="AR138" t="s">
        <v>421</v>
      </c>
      <c r="AS138" t="s">
        <v>428</v>
      </c>
      <c r="AT138" t="s">
        <v>321</v>
      </c>
      <c r="AU138" t="s">
        <v>321</v>
      </c>
      <c r="AV138" t="s">
        <v>321</v>
      </c>
      <c r="AW138" t="s">
        <v>544</v>
      </c>
      <c r="AX138" t="s">
        <v>449</v>
      </c>
      <c r="AY138">
        <v>30</v>
      </c>
      <c r="AZ138" t="s">
        <v>423</v>
      </c>
      <c r="BA138" t="s">
        <v>424</v>
      </c>
      <c r="BB138" t="s">
        <v>321</v>
      </c>
      <c r="BC138" t="s">
        <v>321</v>
      </c>
      <c r="BD138" t="s">
        <v>321</v>
      </c>
      <c r="BE138" t="s">
        <v>321</v>
      </c>
      <c r="BF138" t="s">
        <v>321</v>
      </c>
      <c r="BG138" t="s">
        <v>321</v>
      </c>
      <c r="BH138" t="s">
        <v>321</v>
      </c>
      <c r="BI138" t="s">
        <v>321</v>
      </c>
      <c r="BJ138" t="s">
        <v>321</v>
      </c>
      <c r="BK138" t="s">
        <v>321</v>
      </c>
      <c r="BL138" t="s">
        <v>321</v>
      </c>
      <c r="BM138" t="s">
        <v>321</v>
      </c>
      <c r="BN138" t="s">
        <v>321</v>
      </c>
      <c r="BO138" t="s">
        <v>321</v>
      </c>
      <c r="BP138" t="s">
        <v>321</v>
      </c>
      <c r="BQ138" t="s">
        <v>321</v>
      </c>
      <c r="BR138" t="s">
        <v>321</v>
      </c>
      <c r="BS138" t="s">
        <v>321</v>
      </c>
      <c r="BT138" t="s">
        <v>321</v>
      </c>
      <c r="BU138" t="s">
        <v>321</v>
      </c>
      <c r="BV138" t="s">
        <v>321</v>
      </c>
      <c r="BW138" t="s">
        <v>321</v>
      </c>
      <c r="BX138" t="s">
        <v>321</v>
      </c>
      <c r="BY138" t="s">
        <v>321</v>
      </c>
      <c r="BZ138" t="s">
        <v>321</v>
      </c>
      <c r="CA138" t="s">
        <v>321</v>
      </c>
      <c r="CB138" t="s">
        <v>321</v>
      </c>
      <c r="CC138" t="s">
        <v>321</v>
      </c>
      <c r="CD138" t="s">
        <v>321</v>
      </c>
      <c r="CE138" t="s">
        <v>321</v>
      </c>
      <c r="CF138" t="s">
        <v>321</v>
      </c>
      <c r="CG138" t="s">
        <v>321</v>
      </c>
      <c r="CH138" t="s">
        <v>321</v>
      </c>
      <c r="CI138" t="s">
        <v>321</v>
      </c>
      <c r="CJ138" t="s">
        <v>321</v>
      </c>
      <c r="CK138" t="s">
        <v>321</v>
      </c>
      <c r="CL138" t="s">
        <v>321</v>
      </c>
      <c r="CM138" t="s">
        <v>321</v>
      </c>
      <c r="CN138" t="s">
        <v>321</v>
      </c>
      <c r="CO138" t="s">
        <v>321</v>
      </c>
      <c r="CP138" t="s">
        <v>321</v>
      </c>
      <c r="CQ138" t="s">
        <v>321</v>
      </c>
      <c r="CR138" t="s">
        <v>321</v>
      </c>
      <c r="CS138" t="s">
        <v>321</v>
      </c>
      <c r="CT138" t="s">
        <v>321</v>
      </c>
      <c r="CU138" t="s">
        <v>321</v>
      </c>
      <c r="CV138" t="s">
        <v>321</v>
      </c>
      <c r="CW138" t="s">
        <v>321</v>
      </c>
      <c r="CX138">
        <v>278102.03730000003</v>
      </c>
      <c r="CY138">
        <v>4925302.6969999997</v>
      </c>
      <c r="CZ138">
        <v>44.446987</v>
      </c>
      <c r="DA138">
        <v>-95.788708</v>
      </c>
      <c r="DB138" s="291">
        <v>44706.859722222223</v>
      </c>
      <c r="DC138" t="s">
        <v>231</v>
      </c>
      <c r="DD138" t="s">
        <v>429</v>
      </c>
      <c r="DE138" t="s">
        <v>455</v>
      </c>
      <c r="DF138" t="s">
        <v>456</v>
      </c>
      <c r="DG138" t="s">
        <v>910</v>
      </c>
      <c r="DH138">
        <v>0</v>
      </c>
      <c r="DI138" t="s">
        <v>327</v>
      </c>
      <c r="DJ138">
        <v>100</v>
      </c>
      <c r="DK138">
        <v>9</v>
      </c>
    </row>
    <row r="139" spans="1:115" x14ac:dyDescent="0.25">
      <c r="A139">
        <v>138</v>
      </c>
      <c r="B139" t="s">
        <v>657</v>
      </c>
      <c r="C139">
        <v>1</v>
      </c>
      <c r="D139">
        <v>158</v>
      </c>
      <c r="E139">
        <v>1031607</v>
      </c>
      <c r="F139" t="s">
        <v>464</v>
      </c>
      <c r="G139">
        <v>19</v>
      </c>
      <c r="H139">
        <v>34.847000000000001</v>
      </c>
      <c r="I139" t="s">
        <v>297</v>
      </c>
      <c r="J139" t="s">
        <v>299</v>
      </c>
      <c r="K139" t="s">
        <v>321</v>
      </c>
      <c r="L139" t="s">
        <v>321</v>
      </c>
      <c r="M139" t="s">
        <v>299</v>
      </c>
      <c r="N139" t="s">
        <v>321</v>
      </c>
      <c r="O139" s="292">
        <v>202000000000</v>
      </c>
      <c r="P139">
        <v>221820044</v>
      </c>
      <c r="Q139" s="290">
        <v>45114</v>
      </c>
      <c r="R139">
        <v>1</v>
      </c>
      <c r="S139">
        <v>2022</v>
      </c>
      <c r="T139" t="s">
        <v>485</v>
      </c>
      <c r="U139">
        <v>12</v>
      </c>
      <c r="V139" t="s">
        <v>321</v>
      </c>
      <c r="W139" t="s">
        <v>320</v>
      </c>
      <c r="X139">
        <v>0</v>
      </c>
      <c r="Y139">
        <v>2</v>
      </c>
      <c r="Z139" t="s">
        <v>476</v>
      </c>
      <c r="AA139" t="s">
        <v>409</v>
      </c>
      <c r="AB139" t="s">
        <v>452</v>
      </c>
      <c r="AC139" t="s">
        <v>433</v>
      </c>
      <c r="AD139" t="s">
        <v>412</v>
      </c>
      <c r="AE139" t="s">
        <v>321</v>
      </c>
      <c r="AF139" t="s">
        <v>434</v>
      </c>
      <c r="AG139" t="s">
        <v>414</v>
      </c>
      <c r="AH139" t="s">
        <v>477</v>
      </c>
      <c r="AI139" t="s">
        <v>585</v>
      </c>
      <c r="AJ139" t="s">
        <v>471</v>
      </c>
      <c r="AK139" t="s">
        <v>447</v>
      </c>
      <c r="AL139" t="s">
        <v>417</v>
      </c>
      <c r="AM139" t="s">
        <v>514</v>
      </c>
      <c r="AN139" t="s">
        <v>461</v>
      </c>
      <c r="AO139" t="s">
        <v>480</v>
      </c>
      <c r="AP139">
        <v>39</v>
      </c>
      <c r="AQ139" t="s">
        <v>427</v>
      </c>
      <c r="AR139" t="s">
        <v>421</v>
      </c>
      <c r="AS139" t="s">
        <v>428</v>
      </c>
      <c r="AT139" t="s">
        <v>321</v>
      </c>
      <c r="AU139" t="s">
        <v>321</v>
      </c>
      <c r="AV139" t="s">
        <v>321</v>
      </c>
      <c r="AW139" t="s">
        <v>441</v>
      </c>
      <c r="AX139" t="s">
        <v>449</v>
      </c>
      <c r="AY139">
        <v>30</v>
      </c>
      <c r="AZ139" t="s">
        <v>423</v>
      </c>
      <c r="BA139" t="s">
        <v>424</v>
      </c>
      <c r="BB139" t="s">
        <v>417</v>
      </c>
      <c r="BC139" t="s">
        <v>418</v>
      </c>
      <c r="BD139" t="s">
        <v>461</v>
      </c>
      <c r="BE139" t="s">
        <v>426</v>
      </c>
      <c r="BF139">
        <v>57</v>
      </c>
      <c r="BG139" t="s">
        <v>427</v>
      </c>
      <c r="BH139" t="s">
        <v>421</v>
      </c>
      <c r="BI139" t="s">
        <v>479</v>
      </c>
      <c r="BJ139" t="s">
        <v>321</v>
      </c>
      <c r="BK139" t="s">
        <v>321</v>
      </c>
      <c r="BL139" t="s">
        <v>321</v>
      </c>
      <c r="BM139" t="s">
        <v>441</v>
      </c>
      <c r="BN139" t="s">
        <v>449</v>
      </c>
      <c r="BO139">
        <v>30</v>
      </c>
      <c r="BP139" t="s">
        <v>423</v>
      </c>
      <c r="BQ139" t="s">
        <v>424</v>
      </c>
      <c r="BR139" t="s">
        <v>321</v>
      </c>
      <c r="BS139" t="s">
        <v>321</v>
      </c>
      <c r="BT139" t="s">
        <v>321</v>
      </c>
      <c r="BU139" t="s">
        <v>321</v>
      </c>
      <c r="BV139" t="s">
        <v>321</v>
      </c>
      <c r="BW139" t="s">
        <v>321</v>
      </c>
      <c r="BX139" t="s">
        <v>321</v>
      </c>
      <c r="BY139" t="s">
        <v>321</v>
      </c>
      <c r="BZ139" t="s">
        <v>321</v>
      </c>
      <c r="CA139" t="s">
        <v>321</v>
      </c>
      <c r="CB139" t="s">
        <v>321</v>
      </c>
      <c r="CC139" t="s">
        <v>321</v>
      </c>
      <c r="CD139" t="s">
        <v>321</v>
      </c>
      <c r="CE139" t="s">
        <v>321</v>
      </c>
      <c r="CF139" t="s">
        <v>321</v>
      </c>
      <c r="CG139" t="s">
        <v>321</v>
      </c>
      <c r="CH139" t="s">
        <v>321</v>
      </c>
      <c r="CI139" t="s">
        <v>321</v>
      </c>
      <c r="CJ139" t="s">
        <v>321</v>
      </c>
      <c r="CK139" t="s">
        <v>321</v>
      </c>
      <c r="CL139" t="s">
        <v>321</v>
      </c>
      <c r="CM139" t="s">
        <v>321</v>
      </c>
      <c r="CN139" t="s">
        <v>321</v>
      </c>
      <c r="CO139" t="s">
        <v>321</v>
      </c>
      <c r="CP139" t="s">
        <v>321</v>
      </c>
      <c r="CQ139" t="s">
        <v>321</v>
      </c>
      <c r="CR139" t="s">
        <v>321</v>
      </c>
      <c r="CS139" t="s">
        <v>321</v>
      </c>
      <c r="CT139" t="s">
        <v>321</v>
      </c>
      <c r="CU139" t="s">
        <v>321</v>
      </c>
      <c r="CV139" t="s">
        <v>321</v>
      </c>
      <c r="CW139" t="s">
        <v>321</v>
      </c>
      <c r="CX139">
        <v>278178.17219999997</v>
      </c>
      <c r="CY139">
        <v>4925377.3059999999</v>
      </c>
      <c r="CZ139">
        <v>44.447673000000002</v>
      </c>
      <c r="DA139">
        <v>-95.787775999999994</v>
      </c>
      <c r="DB139" s="291">
        <v>44743.53125</v>
      </c>
      <c r="DC139" t="s">
        <v>231</v>
      </c>
      <c r="DD139" t="s">
        <v>429</v>
      </c>
      <c r="DE139" t="s">
        <v>455</v>
      </c>
      <c r="DF139" t="s">
        <v>456</v>
      </c>
      <c r="DG139" t="s">
        <v>909</v>
      </c>
      <c r="DH139">
        <v>0</v>
      </c>
      <c r="DI139" t="s">
        <v>326</v>
      </c>
      <c r="DJ139">
        <v>100</v>
      </c>
      <c r="DK139">
        <v>10</v>
      </c>
    </row>
    <row r="140" spans="1:115" x14ac:dyDescent="0.25">
      <c r="A140">
        <v>139</v>
      </c>
      <c r="B140" t="s">
        <v>657</v>
      </c>
      <c r="C140">
        <v>1</v>
      </c>
      <c r="D140">
        <v>159</v>
      </c>
      <c r="E140">
        <v>410282</v>
      </c>
      <c r="F140" t="s">
        <v>570</v>
      </c>
      <c r="G140">
        <v>107</v>
      </c>
      <c r="H140">
        <v>0.75800000000000001</v>
      </c>
      <c r="I140" t="s">
        <v>297</v>
      </c>
      <c r="J140" t="s">
        <v>299</v>
      </c>
      <c r="K140" t="s">
        <v>321</v>
      </c>
      <c r="L140" t="s">
        <v>406</v>
      </c>
      <c r="M140" t="s">
        <v>299</v>
      </c>
      <c r="N140" t="s">
        <v>321</v>
      </c>
      <c r="O140">
        <v>2017000040</v>
      </c>
      <c r="P140">
        <v>170010092</v>
      </c>
      <c r="Q140" s="290">
        <v>44927</v>
      </c>
      <c r="R140">
        <v>1</v>
      </c>
      <c r="S140">
        <v>2017</v>
      </c>
      <c r="T140" t="s">
        <v>489</v>
      </c>
      <c r="U140">
        <v>20</v>
      </c>
      <c r="V140" t="s">
        <v>422</v>
      </c>
      <c r="W140" t="s">
        <v>320</v>
      </c>
      <c r="X140">
        <v>0</v>
      </c>
      <c r="Y140">
        <v>2</v>
      </c>
      <c r="Z140" t="s">
        <v>525</v>
      </c>
      <c r="AA140" t="s">
        <v>409</v>
      </c>
      <c r="AB140" t="s">
        <v>452</v>
      </c>
      <c r="AC140" t="s">
        <v>411</v>
      </c>
      <c r="AD140" t="s">
        <v>467</v>
      </c>
      <c r="AE140" t="s">
        <v>446</v>
      </c>
      <c r="AF140" t="s">
        <v>467</v>
      </c>
      <c r="AG140" t="s">
        <v>414</v>
      </c>
      <c r="AH140" t="s">
        <v>571</v>
      </c>
      <c r="AI140" t="s">
        <v>321</v>
      </c>
      <c r="AJ140" t="s">
        <v>572</v>
      </c>
      <c r="AK140" t="s">
        <v>526</v>
      </c>
      <c r="AL140" t="s">
        <v>417</v>
      </c>
      <c r="AM140" t="s">
        <v>425</v>
      </c>
      <c r="AN140" t="s">
        <v>453</v>
      </c>
      <c r="AO140" t="s">
        <v>419</v>
      </c>
      <c r="AP140">
        <v>23</v>
      </c>
      <c r="AQ140" t="s">
        <v>420</v>
      </c>
      <c r="AR140" t="s">
        <v>421</v>
      </c>
      <c r="AS140" t="s">
        <v>428</v>
      </c>
      <c r="AT140" t="s">
        <v>321</v>
      </c>
      <c r="AU140" t="s">
        <v>321</v>
      </c>
      <c r="AV140" t="s">
        <v>321</v>
      </c>
      <c r="AW140" t="s">
        <v>441</v>
      </c>
      <c r="AX140" t="s">
        <v>449</v>
      </c>
      <c r="AY140" t="s">
        <v>321</v>
      </c>
      <c r="AZ140" t="s">
        <v>423</v>
      </c>
      <c r="BA140" t="s">
        <v>424</v>
      </c>
      <c r="BB140" t="s">
        <v>417</v>
      </c>
      <c r="BC140" t="s">
        <v>425</v>
      </c>
      <c r="BD140" t="s">
        <v>472</v>
      </c>
      <c r="BE140" t="s">
        <v>480</v>
      </c>
      <c r="BF140">
        <v>18</v>
      </c>
      <c r="BG140" t="s">
        <v>427</v>
      </c>
      <c r="BH140" t="s">
        <v>421</v>
      </c>
      <c r="BI140" t="s">
        <v>428</v>
      </c>
      <c r="BJ140" t="s">
        <v>321</v>
      </c>
      <c r="BK140" t="s">
        <v>321</v>
      </c>
      <c r="BL140" t="s">
        <v>321</v>
      </c>
      <c r="BM140" t="s">
        <v>441</v>
      </c>
      <c r="BN140" t="s">
        <v>449</v>
      </c>
      <c r="BO140">
        <v>30</v>
      </c>
      <c r="BP140" t="s">
        <v>423</v>
      </c>
      <c r="BQ140" t="s">
        <v>424</v>
      </c>
      <c r="BR140" t="s">
        <v>321</v>
      </c>
      <c r="BS140" t="s">
        <v>321</v>
      </c>
      <c r="BT140" t="s">
        <v>321</v>
      </c>
      <c r="BU140" t="s">
        <v>321</v>
      </c>
      <c r="BV140" t="s">
        <v>321</v>
      </c>
      <c r="BW140" t="s">
        <v>321</v>
      </c>
      <c r="BX140" t="s">
        <v>321</v>
      </c>
      <c r="BY140" t="s">
        <v>321</v>
      </c>
      <c r="BZ140" t="s">
        <v>321</v>
      </c>
      <c r="CA140" t="s">
        <v>321</v>
      </c>
      <c r="CB140" t="s">
        <v>321</v>
      </c>
      <c r="CC140" t="s">
        <v>321</v>
      </c>
      <c r="CD140" t="s">
        <v>321</v>
      </c>
      <c r="CE140" t="s">
        <v>321</v>
      </c>
      <c r="CF140" t="s">
        <v>321</v>
      </c>
      <c r="CG140" t="s">
        <v>321</v>
      </c>
      <c r="CH140" t="s">
        <v>321</v>
      </c>
      <c r="CI140" t="s">
        <v>321</v>
      </c>
      <c r="CJ140" t="s">
        <v>321</v>
      </c>
      <c r="CK140" t="s">
        <v>321</v>
      </c>
      <c r="CL140" t="s">
        <v>321</v>
      </c>
      <c r="CM140" t="s">
        <v>321</v>
      </c>
      <c r="CN140" t="s">
        <v>321</v>
      </c>
      <c r="CO140" t="s">
        <v>321</v>
      </c>
      <c r="CP140" t="s">
        <v>321</v>
      </c>
      <c r="CQ140" t="s">
        <v>321</v>
      </c>
      <c r="CR140" t="s">
        <v>321</v>
      </c>
      <c r="CS140" t="s">
        <v>321</v>
      </c>
      <c r="CT140" t="s">
        <v>321</v>
      </c>
      <c r="CU140" t="s">
        <v>321</v>
      </c>
      <c r="CV140" t="s">
        <v>321</v>
      </c>
      <c r="CW140" t="s">
        <v>321</v>
      </c>
      <c r="CX140">
        <v>279106.87809999997</v>
      </c>
      <c r="CY140">
        <v>4925647.5619999999</v>
      </c>
      <c r="CZ140">
        <v>44.450395</v>
      </c>
      <c r="DA140">
        <v>-95.776240999999999</v>
      </c>
      <c r="DB140" s="291">
        <v>42736.854166666664</v>
      </c>
      <c r="DC140" t="s">
        <v>231</v>
      </c>
      <c r="DD140" t="s">
        <v>429</v>
      </c>
      <c r="DE140" t="s">
        <v>455</v>
      </c>
      <c r="DF140" t="s">
        <v>456</v>
      </c>
      <c r="DG140" t="s">
        <v>908</v>
      </c>
      <c r="DH140">
        <v>0</v>
      </c>
      <c r="DI140" t="s">
        <v>322</v>
      </c>
      <c r="DJ140">
        <v>100</v>
      </c>
      <c r="DK140">
        <v>15</v>
      </c>
    </row>
    <row r="141" spans="1:115" x14ac:dyDescent="0.25">
      <c r="A141">
        <v>140</v>
      </c>
      <c r="B141" t="s">
        <v>657</v>
      </c>
      <c r="C141">
        <v>1</v>
      </c>
      <c r="D141">
        <v>161</v>
      </c>
      <c r="E141">
        <v>396687</v>
      </c>
      <c r="F141" t="s">
        <v>570</v>
      </c>
      <c r="G141">
        <v>107</v>
      </c>
      <c r="H141">
        <v>0.75800000000000001</v>
      </c>
      <c r="I141" t="s">
        <v>297</v>
      </c>
      <c r="J141" t="s">
        <v>299</v>
      </c>
      <c r="K141" t="s">
        <v>321</v>
      </c>
      <c r="L141" t="s">
        <v>406</v>
      </c>
      <c r="M141" t="s">
        <v>299</v>
      </c>
      <c r="N141" t="s">
        <v>321</v>
      </c>
      <c r="O141" t="s">
        <v>907</v>
      </c>
      <c r="P141">
        <v>163260180</v>
      </c>
      <c r="Q141" s="290">
        <v>45241</v>
      </c>
      <c r="R141">
        <v>21</v>
      </c>
      <c r="S141">
        <v>2016</v>
      </c>
      <c r="T141" t="s">
        <v>431</v>
      </c>
      <c r="U141">
        <v>18</v>
      </c>
      <c r="V141" t="s">
        <v>450</v>
      </c>
      <c r="W141" t="s">
        <v>320</v>
      </c>
      <c r="X141">
        <v>0</v>
      </c>
      <c r="Y141">
        <v>2</v>
      </c>
      <c r="Z141" t="s">
        <v>451</v>
      </c>
      <c r="AA141" t="s">
        <v>409</v>
      </c>
      <c r="AB141" t="s">
        <v>452</v>
      </c>
      <c r="AC141" t="s">
        <v>411</v>
      </c>
      <c r="AD141" t="s">
        <v>412</v>
      </c>
      <c r="AE141" t="s">
        <v>321</v>
      </c>
      <c r="AF141" t="s">
        <v>413</v>
      </c>
      <c r="AG141" t="s">
        <v>414</v>
      </c>
      <c r="AH141" t="s">
        <v>571</v>
      </c>
      <c r="AI141" t="s">
        <v>321</v>
      </c>
      <c r="AJ141" t="s">
        <v>572</v>
      </c>
      <c r="AK141" t="s">
        <v>486</v>
      </c>
      <c r="AL141" t="s">
        <v>417</v>
      </c>
      <c r="AM141" t="s">
        <v>418</v>
      </c>
      <c r="AN141" t="s">
        <v>453</v>
      </c>
      <c r="AO141" t="s">
        <v>487</v>
      </c>
      <c r="AP141">
        <v>17</v>
      </c>
      <c r="AQ141" t="s">
        <v>427</v>
      </c>
      <c r="AR141" t="s">
        <v>421</v>
      </c>
      <c r="AS141" t="s">
        <v>454</v>
      </c>
      <c r="AT141" t="s">
        <v>321</v>
      </c>
      <c r="AU141" t="s">
        <v>321</v>
      </c>
      <c r="AV141" t="s">
        <v>321</v>
      </c>
      <c r="AW141" t="s">
        <v>441</v>
      </c>
      <c r="AX141" t="s">
        <v>449</v>
      </c>
      <c r="AY141">
        <v>30</v>
      </c>
      <c r="AZ141" t="s">
        <v>423</v>
      </c>
      <c r="BA141" t="s">
        <v>424</v>
      </c>
      <c r="BB141" t="s">
        <v>417</v>
      </c>
      <c r="BC141" t="s">
        <v>425</v>
      </c>
      <c r="BD141" t="s">
        <v>472</v>
      </c>
      <c r="BE141" t="s">
        <v>426</v>
      </c>
      <c r="BF141">
        <v>17</v>
      </c>
      <c r="BG141" t="s">
        <v>420</v>
      </c>
      <c r="BH141" t="s">
        <v>421</v>
      </c>
      <c r="BI141" t="s">
        <v>428</v>
      </c>
      <c r="BJ141" t="s">
        <v>321</v>
      </c>
      <c r="BK141" t="s">
        <v>321</v>
      </c>
      <c r="BL141" t="s">
        <v>321</v>
      </c>
      <c r="BM141" t="s">
        <v>441</v>
      </c>
      <c r="BN141" t="s">
        <v>449</v>
      </c>
      <c r="BO141">
        <v>30</v>
      </c>
      <c r="BP141" t="s">
        <v>423</v>
      </c>
      <c r="BQ141" t="s">
        <v>424</v>
      </c>
      <c r="BR141" t="s">
        <v>321</v>
      </c>
      <c r="BS141" t="s">
        <v>321</v>
      </c>
      <c r="BT141" t="s">
        <v>321</v>
      </c>
      <c r="BU141" t="s">
        <v>321</v>
      </c>
      <c r="BV141" t="s">
        <v>321</v>
      </c>
      <c r="BW141" t="s">
        <v>321</v>
      </c>
      <c r="BX141" t="s">
        <v>321</v>
      </c>
      <c r="BY141" t="s">
        <v>321</v>
      </c>
      <c r="BZ141" t="s">
        <v>321</v>
      </c>
      <c r="CA141" t="s">
        <v>321</v>
      </c>
      <c r="CB141" t="s">
        <v>321</v>
      </c>
      <c r="CC141" t="s">
        <v>321</v>
      </c>
      <c r="CD141" t="s">
        <v>321</v>
      </c>
      <c r="CE141" t="s">
        <v>321</v>
      </c>
      <c r="CF141" t="s">
        <v>321</v>
      </c>
      <c r="CG141" t="s">
        <v>321</v>
      </c>
      <c r="CH141" t="s">
        <v>321</v>
      </c>
      <c r="CI141" t="s">
        <v>321</v>
      </c>
      <c r="CJ141" t="s">
        <v>321</v>
      </c>
      <c r="CK141" t="s">
        <v>321</v>
      </c>
      <c r="CL141" t="s">
        <v>321</v>
      </c>
      <c r="CM141" t="s">
        <v>321</v>
      </c>
      <c r="CN141" t="s">
        <v>321</v>
      </c>
      <c r="CO141" t="s">
        <v>321</v>
      </c>
      <c r="CP141" t="s">
        <v>321</v>
      </c>
      <c r="CQ141" t="s">
        <v>321</v>
      </c>
      <c r="CR141" t="s">
        <v>321</v>
      </c>
      <c r="CS141" t="s">
        <v>321</v>
      </c>
      <c r="CT141" t="s">
        <v>321</v>
      </c>
      <c r="CU141" t="s">
        <v>321</v>
      </c>
      <c r="CV141" t="s">
        <v>321</v>
      </c>
      <c r="CW141" t="s">
        <v>321</v>
      </c>
      <c r="CX141">
        <v>279106.88250000001</v>
      </c>
      <c r="CY141">
        <v>4925647.8449999997</v>
      </c>
      <c r="CZ141">
        <v>44.450398</v>
      </c>
      <c r="DA141">
        <v>-95.776240999999999</v>
      </c>
      <c r="DB141" s="291">
        <v>42695.767361111109</v>
      </c>
      <c r="DC141" t="s">
        <v>231</v>
      </c>
      <c r="DD141" t="s">
        <v>429</v>
      </c>
      <c r="DE141" t="s">
        <v>455</v>
      </c>
      <c r="DF141" t="s">
        <v>456</v>
      </c>
      <c r="DG141" t="s">
        <v>906</v>
      </c>
      <c r="DH141">
        <v>0</v>
      </c>
      <c r="DI141" t="s">
        <v>322</v>
      </c>
      <c r="DJ141">
        <v>100</v>
      </c>
      <c r="DK141">
        <v>15</v>
      </c>
    </row>
    <row r="142" spans="1:115" x14ac:dyDescent="0.25">
      <c r="A142">
        <v>141</v>
      </c>
      <c r="B142" t="s">
        <v>657</v>
      </c>
      <c r="C142">
        <v>1</v>
      </c>
      <c r="D142">
        <v>162</v>
      </c>
      <c r="E142">
        <v>656536</v>
      </c>
      <c r="F142" t="s">
        <v>570</v>
      </c>
      <c r="G142">
        <v>107</v>
      </c>
      <c r="H142">
        <v>0.75800000000000001</v>
      </c>
      <c r="I142" t="s">
        <v>297</v>
      </c>
      <c r="J142" t="s">
        <v>299</v>
      </c>
      <c r="K142" t="s">
        <v>321</v>
      </c>
      <c r="L142" t="s">
        <v>406</v>
      </c>
      <c r="M142" t="s">
        <v>299</v>
      </c>
      <c r="N142" t="s">
        <v>321</v>
      </c>
      <c r="O142" s="292">
        <v>202000000000</v>
      </c>
      <c r="P142">
        <v>183070039</v>
      </c>
      <c r="Q142" s="290">
        <v>45241</v>
      </c>
      <c r="R142">
        <v>3</v>
      </c>
      <c r="S142">
        <v>2018</v>
      </c>
      <c r="T142" t="s">
        <v>506</v>
      </c>
      <c r="U142">
        <v>10</v>
      </c>
      <c r="V142" t="s">
        <v>459</v>
      </c>
      <c r="W142" t="s">
        <v>320</v>
      </c>
      <c r="X142">
        <v>0</v>
      </c>
      <c r="Y142">
        <v>2</v>
      </c>
      <c r="Z142" t="s">
        <v>451</v>
      </c>
      <c r="AA142" t="s">
        <v>409</v>
      </c>
      <c r="AB142" t="s">
        <v>452</v>
      </c>
      <c r="AC142" t="s">
        <v>433</v>
      </c>
      <c r="AD142" t="s">
        <v>446</v>
      </c>
      <c r="AE142" t="s">
        <v>521</v>
      </c>
      <c r="AF142" t="s">
        <v>523</v>
      </c>
      <c r="AG142" t="s">
        <v>414</v>
      </c>
      <c r="AH142" t="s">
        <v>571</v>
      </c>
      <c r="AI142" t="s">
        <v>321</v>
      </c>
      <c r="AJ142" t="s">
        <v>572</v>
      </c>
      <c r="AK142" t="s">
        <v>451</v>
      </c>
      <c r="AL142" t="s">
        <v>417</v>
      </c>
      <c r="AM142" t="s">
        <v>418</v>
      </c>
      <c r="AN142" t="s">
        <v>461</v>
      </c>
      <c r="AO142" t="s">
        <v>426</v>
      </c>
      <c r="AP142">
        <v>21</v>
      </c>
      <c r="AQ142" t="s">
        <v>427</v>
      </c>
      <c r="AR142" t="s">
        <v>421</v>
      </c>
      <c r="AS142" t="s">
        <v>430</v>
      </c>
      <c r="AT142" t="s">
        <v>321</v>
      </c>
      <c r="AU142" t="s">
        <v>321</v>
      </c>
      <c r="AV142" t="s">
        <v>321</v>
      </c>
      <c r="AW142" t="s">
        <v>441</v>
      </c>
      <c r="AX142" t="s">
        <v>449</v>
      </c>
      <c r="AY142">
        <v>30</v>
      </c>
      <c r="AZ142" t="s">
        <v>423</v>
      </c>
      <c r="BA142" t="s">
        <v>424</v>
      </c>
      <c r="BB142" t="s">
        <v>417</v>
      </c>
      <c r="BC142" t="s">
        <v>425</v>
      </c>
      <c r="BD142" t="s">
        <v>453</v>
      </c>
      <c r="BE142" t="s">
        <v>426</v>
      </c>
      <c r="BF142">
        <v>62</v>
      </c>
      <c r="BG142" t="s">
        <v>420</v>
      </c>
      <c r="BH142" t="s">
        <v>421</v>
      </c>
      <c r="BI142" t="s">
        <v>430</v>
      </c>
      <c r="BJ142" t="s">
        <v>321</v>
      </c>
      <c r="BK142" t="s">
        <v>321</v>
      </c>
      <c r="BL142" t="s">
        <v>321</v>
      </c>
      <c r="BM142" t="s">
        <v>441</v>
      </c>
      <c r="BN142" t="s">
        <v>449</v>
      </c>
      <c r="BO142">
        <v>30</v>
      </c>
      <c r="BP142" t="s">
        <v>423</v>
      </c>
      <c r="BQ142" t="s">
        <v>424</v>
      </c>
      <c r="BR142" t="s">
        <v>321</v>
      </c>
      <c r="BS142" t="s">
        <v>321</v>
      </c>
      <c r="BT142" t="s">
        <v>321</v>
      </c>
      <c r="BU142" t="s">
        <v>321</v>
      </c>
      <c r="BV142" t="s">
        <v>321</v>
      </c>
      <c r="BW142" t="s">
        <v>321</v>
      </c>
      <c r="BX142" t="s">
        <v>321</v>
      </c>
      <c r="BY142" t="s">
        <v>321</v>
      </c>
      <c r="BZ142" t="s">
        <v>321</v>
      </c>
      <c r="CA142" t="s">
        <v>321</v>
      </c>
      <c r="CB142" t="s">
        <v>321</v>
      </c>
      <c r="CC142" t="s">
        <v>321</v>
      </c>
      <c r="CD142" t="s">
        <v>321</v>
      </c>
      <c r="CE142" t="s">
        <v>321</v>
      </c>
      <c r="CF142" t="s">
        <v>321</v>
      </c>
      <c r="CG142" t="s">
        <v>321</v>
      </c>
      <c r="CH142" t="s">
        <v>321</v>
      </c>
      <c r="CI142" t="s">
        <v>321</v>
      </c>
      <c r="CJ142" t="s">
        <v>321</v>
      </c>
      <c r="CK142" t="s">
        <v>321</v>
      </c>
      <c r="CL142" t="s">
        <v>321</v>
      </c>
      <c r="CM142" t="s">
        <v>321</v>
      </c>
      <c r="CN142" t="s">
        <v>321</v>
      </c>
      <c r="CO142" t="s">
        <v>321</v>
      </c>
      <c r="CP142" t="s">
        <v>321</v>
      </c>
      <c r="CQ142" t="s">
        <v>321</v>
      </c>
      <c r="CR142" t="s">
        <v>321</v>
      </c>
      <c r="CS142" t="s">
        <v>321</v>
      </c>
      <c r="CT142" t="s">
        <v>321</v>
      </c>
      <c r="CU142" t="s">
        <v>321</v>
      </c>
      <c r="CV142" t="s">
        <v>321</v>
      </c>
      <c r="CW142" t="s">
        <v>321</v>
      </c>
      <c r="CX142">
        <v>279106.88939999999</v>
      </c>
      <c r="CY142">
        <v>4925648.2860000003</v>
      </c>
      <c r="CZ142">
        <v>44.450401999999997</v>
      </c>
      <c r="DA142">
        <v>-95.776240999999999</v>
      </c>
      <c r="DB142" s="291">
        <v>43407.447916666664</v>
      </c>
      <c r="DC142" t="s">
        <v>231</v>
      </c>
      <c r="DD142" t="s">
        <v>429</v>
      </c>
      <c r="DE142" t="s">
        <v>455</v>
      </c>
      <c r="DF142" t="s">
        <v>456</v>
      </c>
      <c r="DG142" t="s">
        <v>905</v>
      </c>
      <c r="DH142">
        <v>0</v>
      </c>
      <c r="DI142" t="s">
        <v>322</v>
      </c>
      <c r="DJ142">
        <v>100</v>
      </c>
      <c r="DK142">
        <v>15</v>
      </c>
    </row>
    <row r="143" spans="1:115" x14ac:dyDescent="0.25">
      <c r="A143">
        <v>142</v>
      </c>
      <c r="B143" t="s">
        <v>657</v>
      </c>
      <c r="C143">
        <v>1</v>
      </c>
      <c r="D143">
        <v>163</v>
      </c>
      <c r="E143">
        <v>1005894</v>
      </c>
      <c r="F143" t="s">
        <v>464</v>
      </c>
      <c r="G143">
        <v>19</v>
      </c>
      <c r="H143">
        <v>35.143000000000001</v>
      </c>
      <c r="I143" t="s">
        <v>297</v>
      </c>
      <c r="J143" t="s">
        <v>299</v>
      </c>
      <c r="K143" t="s">
        <v>321</v>
      </c>
      <c r="L143" t="s">
        <v>406</v>
      </c>
      <c r="M143" t="s">
        <v>299</v>
      </c>
      <c r="N143" t="s">
        <v>321</v>
      </c>
      <c r="O143" t="s">
        <v>904</v>
      </c>
      <c r="P143">
        <v>220440004</v>
      </c>
      <c r="Q143" s="290">
        <v>44959</v>
      </c>
      <c r="R143">
        <v>13</v>
      </c>
      <c r="S143">
        <v>2022</v>
      </c>
      <c r="T143" t="s">
        <v>489</v>
      </c>
      <c r="U143">
        <v>1</v>
      </c>
      <c r="V143" t="s">
        <v>321</v>
      </c>
      <c r="W143" t="s">
        <v>319</v>
      </c>
      <c r="X143">
        <v>0</v>
      </c>
      <c r="Y143">
        <v>1</v>
      </c>
      <c r="Z143" t="s">
        <v>321</v>
      </c>
      <c r="AA143" t="s">
        <v>903</v>
      </c>
      <c r="AB143" t="s">
        <v>500</v>
      </c>
      <c r="AC143" t="s">
        <v>411</v>
      </c>
      <c r="AD143" t="s">
        <v>467</v>
      </c>
      <c r="AE143" t="s">
        <v>321</v>
      </c>
      <c r="AF143" t="s">
        <v>467</v>
      </c>
      <c r="AG143" t="s">
        <v>414</v>
      </c>
      <c r="AH143" t="s">
        <v>477</v>
      </c>
      <c r="AI143" t="s">
        <v>902</v>
      </c>
      <c r="AJ143" t="s">
        <v>471</v>
      </c>
      <c r="AK143" t="s">
        <v>436</v>
      </c>
      <c r="AL143" t="s">
        <v>417</v>
      </c>
      <c r="AM143" t="s">
        <v>425</v>
      </c>
      <c r="AN143" t="s">
        <v>448</v>
      </c>
      <c r="AO143" t="s">
        <v>426</v>
      </c>
      <c r="AP143">
        <v>32</v>
      </c>
      <c r="AQ143" t="s">
        <v>420</v>
      </c>
      <c r="AR143" t="s">
        <v>561</v>
      </c>
      <c r="AS143" t="s">
        <v>524</v>
      </c>
      <c r="AT143" t="s">
        <v>846</v>
      </c>
      <c r="AU143" t="s">
        <v>321</v>
      </c>
      <c r="AV143" t="s">
        <v>321</v>
      </c>
      <c r="AW143" t="s">
        <v>441</v>
      </c>
      <c r="AX143" t="s">
        <v>442</v>
      </c>
      <c r="AY143">
        <v>30</v>
      </c>
      <c r="AZ143" t="s">
        <v>423</v>
      </c>
      <c r="BA143" t="s">
        <v>424</v>
      </c>
      <c r="BB143" t="s">
        <v>321</v>
      </c>
      <c r="BC143" t="s">
        <v>321</v>
      </c>
      <c r="BD143" t="s">
        <v>321</v>
      </c>
      <c r="BE143" t="s">
        <v>321</v>
      </c>
      <c r="BF143" t="s">
        <v>321</v>
      </c>
      <c r="BG143" t="s">
        <v>321</v>
      </c>
      <c r="BH143" t="s">
        <v>321</v>
      </c>
      <c r="BI143" t="s">
        <v>321</v>
      </c>
      <c r="BJ143" t="s">
        <v>321</v>
      </c>
      <c r="BK143" t="s">
        <v>321</v>
      </c>
      <c r="BL143" t="s">
        <v>321</v>
      </c>
      <c r="BM143" t="s">
        <v>321</v>
      </c>
      <c r="BN143" t="s">
        <v>321</v>
      </c>
      <c r="BO143" t="s">
        <v>321</v>
      </c>
      <c r="BP143" t="s">
        <v>321</v>
      </c>
      <c r="BQ143" t="s">
        <v>321</v>
      </c>
      <c r="BR143" t="s">
        <v>321</v>
      </c>
      <c r="BS143" t="s">
        <v>321</v>
      </c>
      <c r="BT143" t="s">
        <v>321</v>
      </c>
      <c r="BU143" t="s">
        <v>321</v>
      </c>
      <c r="BV143" t="s">
        <v>321</v>
      </c>
      <c r="BW143" t="s">
        <v>321</v>
      </c>
      <c r="BX143" t="s">
        <v>321</v>
      </c>
      <c r="BY143" t="s">
        <v>321</v>
      </c>
      <c r="BZ143" t="s">
        <v>321</v>
      </c>
      <c r="CA143" t="s">
        <v>321</v>
      </c>
      <c r="CB143" t="s">
        <v>321</v>
      </c>
      <c r="CC143" t="s">
        <v>321</v>
      </c>
      <c r="CD143" t="s">
        <v>321</v>
      </c>
      <c r="CE143" t="s">
        <v>321</v>
      </c>
      <c r="CF143" t="s">
        <v>321</v>
      </c>
      <c r="CG143" t="s">
        <v>321</v>
      </c>
      <c r="CH143" t="s">
        <v>321</v>
      </c>
      <c r="CI143" t="s">
        <v>321</v>
      </c>
      <c r="CJ143" t="s">
        <v>321</v>
      </c>
      <c r="CK143" t="s">
        <v>321</v>
      </c>
      <c r="CL143" t="s">
        <v>321</v>
      </c>
      <c r="CM143" t="s">
        <v>321</v>
      </c>
      <c r="CN143" t="s">
        <v>321</v>
      </c>
      <c r="CO143" t="s">
        <v>321</v>
      </c>
      <c r="CP143" t="s">
        <v>321</v>
      </c>
      <c r="CQ143" t="s">
        <v>321</v>
      </c>
      <c r="CR143" t="s">
        <v>321</v>
      </c>
      <c r="CS143" t="s">
        <v>321</v>
      </c>
      <c r="CT143" t="s">
        <v>321</v>
      </c>
      <c r="CU143" t="s">
        <v>321</v>
      </c>
      <c r="CV143" t="s">
        <v>321</v>
      </c>
      <c r="CW143" t="s">
        <v>321</v>
      </c>
      <c r="CX143">
        <v>278539.76549999998</v>
      </c>
      <c r="CY143">
        <v>4925663.4850000003</v>
      </c>
      <c r="CZ143">
        <v>44.450364999999998</v>
      </c>
      <c r="DA143">
        <v>-95.783366999999998</v>
      </c>
      <c r="DB143" s="291">
        <v>44605.049305555556</v>
      </c>
      <c r="DC143" t="s">
        <v>231</v>
      </c>
      <c r="DD143" t="s">
        <v>429</v>
      </c>
      <c r="DE143" t="s">
        <v>455</v>
      </c>
      <c r="DF143" t="s">
        <v>456</v>
      </c>
      <c r="DG143" t="s">
        <v>901</v>
      </c>
      <c r="DH143">
        <v>0</v>
      </c>
      <c r="DI143" t="s">
        <v>331</v>
      </c>
      <c r="DJ143">
        <v>100</v>
      </c>
      <c r="DK143">
        <v>16</v>
      </c>
    </row>
    <row r="144" spans="1:115" x14ac:dyDescent="0.25">
      <c r="A144">
        <v>143</v>
      </c>
      <c r="B144" t="s">
        <v>657</v>
      </c>
      <c r="C144">
        <v>1</v>
      </c>
      <c r="D144">
        <v>164</v>
      </c>
      <c r="E144">
        <v>971240</v>
      </c>
      <c r="F144" t="s">
        <v>570</v>
      </c>
      <c r="G144">
        <v>107</v>
      </c>
      <c r="H144">
        <v>0.75800000000000001</v>
      </c>
      <c r="I144" t="s">
        <v>297</v>
      </c>
      <c r="J144" t="s">
        <v>299</v>
      </c>
      <c r="K144" t="s">
        <v>321</v>
      </c>
      <c r="L144" t="s">
        <v>406</v>
      </c>
      <c r="M144" t="s">
        <v>299</v>
      </c>
      <c r="N144" t="s">
        <v>321</v>
      </c>
      <c r="O144">
        <v>210015464</v>
      </c>
      <c r="P144">
        <v>213010294</v>
      </c>
      <c r="Q144" s="290">
        <v>45209</v>
      </c>
      <c r="R144">
        <v>28</v>
      </c>
      <c r="S144">
        <v>2021</v>
      </c>
      <c r="T144" t="s">
        <v>458</v>
      </c>
      <c r="U144">
        <v>15</v>
      </c>
      <c r="V144" t="s">
        <v>422</v>
      </c>
      <c r="W144" t="s">
        <v>319</v>
      </c>
      <c r="X144">
        <v>0</v>
      </c>
      <c r="Y144">
        <v>2</v>
      </c>
      <c r="Z144" t="s">
        <v>451</v>
      </c>
      <c r="AA144" t="s">
        <v>409</v>
      </c>
      <c r="AB144" t="s">
        <v>452</v>
      </c>
      <c r="AC144" t="s">
        <v>433</v>
      </c>
      <c r="AD144" t="s">
        <v>412</v>
      </c>
      <c r="AE144" t="s">
        <v>321</v>
      </c>
      <c r="AF144" t="s">
        <v>434</v>
      </c>
      <c r="AG144" t="s">
        <v>414</v>
      </c>
      <c r="AH144" t="s">
        <v>571</v>
      </c>
      <c r="AI144" t="s">
        <v>477</v>
      </c>
      <c r="AJ144" t="s">
        <v>572</v>
      </c>
      <c r="AK144" t="s">
        <v>451</v>
      </c>
      <c r="AL144" t="s">
        <v>417</v>
      </c>
      <c r="AM144" t="s">
        <v>636</v>
      </c>
      <c r="AN144" t="s">
        <v>453</v>
      </c>
      <c r="AO144" t="s">
        <v>426</v>
      </c>
      <c r="AP144">
        <v>59</v>
      </c>
      <c r="AQ144" t="s">
        <v>420</v>
      </c>
      <c r="AR144" t="s">
        <v>421</v>
      </c>
      <c r="AS144" t="s">
        <v>428</v>
      </c>
      <c r="AT144" t="s">
        <v>321</v>
      </c>
      <c r="AU144" t="s">
        <v>321</v>
      </c>
      <c r="AV144" t="s">
        <v>321</v>
      </c>
      <c r="AW144" t="s">
        <v>441</v>
      </c>
      <c r="AX144" t="s">
        <v>449</v>
      </c>
      <c r="AY144" t="s">
        <v>321</v>
      </c>
      <c r="AZ144" t="s">
        <v>423</v>
      </c>
      <c r="BA144" t="s">
        <v>424</v>
      </c>
      <c r="BB144" t="s">
        <v>417</v>
      </c>
      <c r="BC144" t="s">
        <v>425</v>
      </c>
      <c r="BD144" t="s">
        <v>461</v>
      </c>
      <c r="BE144" t="s">
        <v>426</v>
      </c>
      <c r="BF144">
        <v>16</v>
      </c>
      <c r="BG144" t="s">
        <v>427</v>
      </c>
      <c r="BH144" t="s">
        <v>421</v>
      </c>
      <c r="BI144" t="s">
        <v>473</v>
      </c>
      <c r="BJ144" t="s">
        <v>321</v>
      </c>
      <c r="BK144" t="s">
        <v>321</v>
      </c>
      <c r="BL144" t="s">
        <v>321</v>
      </c>
      <c r="BM144" t="s">
        <v>441</v>
      </c>
      <c r="BN144" t="s">
        <v>449</v>
      </c>
      <c r="BO144">
        <v>30</v>
      </c>
      <c r="BP144" t="s">
        <v>423</v>
      </c>
      <c r="BQ144" t="s">
        <v>424</v>
      </c>
      <c r="BR144" t="s">
        <v>321</v>
      </c>
      <c r="BS144" t="s">
        <v>321</v>
      </c>
      <c r="BT144" t="s">
        <v>321</v>
      </c>
      <c r="BU144" t="s">
        <v>321</v>
      </c>
      <c r="BV144" t="s">
        <v>321</v>
      </c>
      <c r="BW144" t="s">
        <v>321</v>
      </c>
      <c r="BX144" t="s">
        <v>321</v>
      </c>
      <c r="BY144" t="s">
        <v>321</v>
      </c>
      <c r="BZ144" t="s">
        <v>321</v>
      </c>
      <c r="CA144" t="s">
        <v>321</v>
      </c>
      <c r="CB144" t="s">
        <v>321</v>
      </c>
      <c r="CC144" t="s">
        <v>321</v>
      </c>
      <c r="CD144" t="s">
        <v>321</v>
      </c>
      <c r="CE144" t="s">
        <v>321</v>
      </c>
      <c r="CF144" t="s">
        <v>321</v>
      </c>
      <c r="CG144" t="s">
        <v>321</v>
      </c>
      <c r="CH144" t="s">
        <v>321</v>
      </c>
      <c r="CI144" t="s">
        <v>321</v>
      </c>
      <c r="CJ144" t="s">
        <v>321</v>
      </c>
      <c r="CK144" t="s">
        <v>321</v>
      </c>
      <c r="CL144" t="s">
        <v>321</v>
      </c>
      <c r="CM144" t="s">
        <v>321</v>
      </c>
      <c r="CN144" t="s">
        <v>321</v>
      </c>
      <c r="CO144" t="s">
        <v>321</v>
      </c>
      <c r="CP144" t="s">
        <v>321</v>
      </c>
      <c r="CQ144" t="s">
        <v>321</v>
      </c>
      <c r="CR144" t="s">
        <v>321</v>
      </c>
      <c r="CS144" t="s">
        <v>321</v>
      </c>
      <c r="CT144" t="s">
        <v>321</v>
      </c>
      <c r="CU144" t="s">
        <v>321</v>
      </c>
      <c r="CV144" t="s">
        <v>321</v>
      </c>
      <c r="CW144" t="s">
        <v>321</v>
      </c>
      <c r="CX144">
        <v>279106.88770000002</v>
      </c>
      <c r="CY144">
        <v>4925648.1720000003</v>
      </c>
      <c r="CZ144">
        <v>44.450400999999999</v>
      </c>
      <c r="DA144">
        <v>-95.776240999999999</v>
      </c>
      <c r="DB144" s="291">
        <v>44497.63958333333</v>
      </c>
      <c r="DC144" t="s">
        <v>231</v>
      </c>
      <c r="DD144" t="s">
        <v>429</v>
      </c>
      <c r="DE144" t="s">
        <v>455</v>
      </c>
      <c r="DF144" t="s">
        <v>456</v>
      </c>
      <c r="DG144" t="s">
        <v>637</v>
      </c>
      <c r="DH144">
        <v>0</v>
      </c>
      <c r="DI144" t="s">
        <v>322</v>
      </c>
      <c r="DJ144">
        <v>100</v>
      </c>
      <c r="DK144">
        <v>15</v>
      </c>
    </row>
    <row r="145" spans="1:115" x14ac:dyDescent="0.25">
      <c r="A145">
        <v>144</v>
      </c>
      <c r="B145" t="s">
        <v>657</v>
      </c>
      <c r="C145">
        <v>1</v>
      </c>
      <c r="D145">
        <v>165</v>
      </c>
      <c r="E145">
        <v>1036523</v>
      </c>
      <c r="F145" t="s">
        <v>464</v>
      </c>
      <c r="G145">
        <v>68</v>
      </c>
      <c r="H145">
        <v>39.223999999999997</v>
      </c>
      <c r="I145" t="s">
        <v>297</v>
      </c>
      <c r="J145" t="s">
        <v>299</v>
      </c>
      <c r="K145" t="s">
        <v>321</v>
      </c>
      <c r="L145" t="s">
        <v>321</v>
      </c>
      <c r="M145" t="s">
        <v>299</v>
      </c>
      <c r="N145" t="s">
        <v>321</v>
      </c>
      <c r="O145" t="s">
        <v>900</v>
      </c>
      <c r="P145">
        <v>222070173</v>
      </c>
      <c r="Q145" s="290">
        <v>45114</v>
      </c>
      <c r="R145">
        <v>26</v>
      </c>
      <c r="S145">
        <v>2022</v>
      </c>
      <c r="T145" t="s">
        <v>407</v>
      </c>
      <c r="U145">
        <v>16</v>
      </c>
      <c r="V145" t="s">
        <v>321</v>
      </c>
      <c r="W145" t="s">
        <v>320</v>
      </c>
      <c r="X145">
        <v>0</v>
      </c>
      <c r="Y145">
        <v>1</v>
      </c>
      <c r="Z145" t="s">
        <v>321</v>
      </c>
      <c r="AA145" t="s">
        <v>557</v>
      </c>
      <c r="AB145" t="s">
        <v>452</v>
      </c>
      <c r="AC145" t="s">
        <v>433</v>
      </c>
      <c r="AD145" t="s">
        <v>412</v>
      </c>
      <c r="AE145" t="s">
        <v>321</v>
      </c>
      <c r="AF145" t="s">
        <v>434</v>
      </c>
      <c r="AG145" t="s">
        <v>414</v>
      </c>
      <c r="AH145" t="s">
        <v>558</v>
      </c>
      <c r="AI145" t="s">
        <v>469</v>
      </c>
      <c r="AJ145" t="s">
        <v>559</v>
      </c>
      <c r="AK145" t="s">
        <v>436</v>
      </c>
      <c r="AL145" t="s">
        <v>417</v>
      </c>
      <c r="AM145" t="s">
        <v>437</v>
      </c>
      <c r="AN145" t="s">
        <v>461</v>
      </c>
      <c r="AO145" t="s">
        <v>419</v>
      </c>
      <c r="AP145">
        <v>52</v>
      </c>
      <c r="AQ145" t="s">
        <v>420</v>
      </c>
      <c r="AR145" t="s">
        <v>421</v>
      </c>
      <c r="AS145" t="s">
        <v>428</v>
      </c>
      <c r="AT145" t="s">
        <v>321</v>
      </c>
      <c r="AU145" t="s">
        <v>321</v>
      </c>
      <c r="AV145" t="s">
        <v>321</v>
      </c>
      <c r="AW145" t="s">
        <v>441</v>
      </c>
      <c r="AX145" t="s">
        <v>449</v>
      </c>
      <c r="AY145">
        <v>30</v>
      </c>
      <c r="AZ145" t="s">
        <v>423</v>
      </c>
      <c r="BA145" t="s">
        <v>424</v>
      </c>
      <c r="BB145" t="s">
        <v>321</v>
      </c>
      <c r="BC145" t="s">
        <v>321</v>
      </c>
      <c r="BD145" t="s">
        <v>321</v>
      </c>
      <c r="BE145" t="s">
        <v>321</v>
      </c>
      <c r="BF145" t="s">
        <v>321</v>
      </c>
      <c r="BG145" t="s">
        <v>321</v>
      </c>
      <c r="BH145" t="s">
        <v>321</v>
      </c>
      <c r="BI145" t="s">
        <v>321</v>
      </c>
      <c r="BJ145" t="s">
        <v>321</v>
      </c>
      <c r="BK145" t="s">
        <v>321</v>
      </c>
      <c r="BL145" t="s">
        <v>321</v>
      </c>
      <c r="BM145" t="s">
        <v>321</v>
      </c>
      <c r="BN145" t="s">
        <v>321</v>
      </c>
      <c r="BO145" t="s">
        <v>321</v>
      </c>
      <c r="BP145" t="s">
        <v>321</v>
      </c>
      <c r="BQ145" t="s">
        <v>321</v>
      </c>
      <c r="BR145" t="s">
        <v>321</v>
      </c>
      <c r="BS145" t="s">
        <v>321</v>
      </c>
      <c r="BT145" t="s">
        <v>321</v>
      </c>
      <c r="BU145" t="s">
        <v>321</v>
      </c>
      <c r="BV145" t="s">
        <v>321</v>
      </c>
      <c r="BW145" t="s">
        <v>321</v>
      </c>
      <c r="BX145" t="s">
        <v>321</v>
      </c>
      <c r="BY145" t="s">
        <v>321</v>
      </c>
      <c r="BZ145" t="s">
        <v>321</v>
      </c>
      <c r="CA145" t="s">
        <v>321</v>
      </c>
      <c r="CB145" t="s">
        <v>321</v>
      </c>
      <c r="CC145" t="s">
        <v>321</v>
      </c>
      <c r="CD145" t="s">
        <v>321</v>
      </c>
      <c r="CE145" t="s">
        <v>321</v>
      </c>
      <c r="CF145" t="s">
        <v>321</v>
      </c>
      <c r="CG145" t="s">
        <v>321</v>
      </c>
      <c r="CH145" t="s">
        <v>321</v>
      </c>
      <c r="CI145" t="s">
        <v>321</v>
      </c>
      <c r="CJ145" t="s">
        <v>321</v>
      </c>
      <c r="CK145" t="s">
        <v>321</v>
      </c>
      <c r="CL145" t="s">
        <v>321</v>
      </c>
      <c r="CM145" t="s">
        <v>321</v>
      </c>
      <c r="CN145" t="s">
        <v>321</v>
      </c>
      <c r="CO145" t="s">
        <v>321</v>
      </c>
      <c r="CP145" t="s">
        <v>321</v>
      </c>
      <c r="CQ145" t="s">
        <v>321</v>
      </c>
      <c r="CR145" t="s">
        <v>321</v>
      </c>
      <c r="CS145" t="s">
        <v>321</v>
      </c>
      <c r="CT145" t="s">
        <v>321</v>
      </c>
      <c r="CU145" t="s">
        <v>321</v>
      </c>
      <c r="CV145" t="s">
        <v>321</v>
      </c>
      <c r="CW145" t="s">
        <v>321</v>
      </c>
      <c r="CX145">
        <v>278082.92200000002</v>
      </c>
      <c r="CY145">
        <v>4925310.2759999996</v>
      </c>
      <c r="CZ145">
        <v>44.447040999999999</v>
      </c>
      <c r="DA145">
        <v>-95.788943000000003</v>
      </c>
      <c r="DB145" s="291">
        <v>44768.670138888891</v>
      </c>
      <c r="DC145" t="s">
        <v>231</v>
      </c>
      <c r="DD145" t="s">
        <v>429</v>
      </c>
      <c r="DE145" t="s">
        <v>455</v>
      </c>
      <c r="DF145" t="s">
        <v>456</v>
      </c>
      <c r="DG145" t="s">
        <v>899</v>
      </c>
      <c r="DH145">
        <v>0</v>
      </c>
      <c r="DI145" t="s">
        <v>327</v>
      </c>
      <c r="DJ145">
        <v>100</v>
      </c>
      <c r="DK145">
        <v>9</v>
      </c>
    </row>
    <row r="146" spans="1:115" x14ac:dyDescent="0.25">
      <c r="A146">
        <v>145</v>
      </c>
      <c r="B146" t="s">
        <v>657</v>
      </c>
      <c r="C146">
        <v>1</v>
      </c>
      <c r="D146">
        <v>166</v>
      </c>
      <c r="E146">
        <v>987503</v>
      </c>
      <c r="F146" t="s">
        <v>464</v>
      </c>
      <c r="G146">
        <v>68</v>
      </c>
      <c r="H146">
        <v>39.231000000000002</v>
      </c>
      <c r="I146" t="s">
        <v>297</v>
      </c>
      <c r="J146" t="s">
        <v>299</v>
      </c>
      <c r="K146" t="s">
        <v>321</v>
      </c>
      <c r="L146" t="s">
        <v>406</v>
      </c>
      <c r="M146" t="s">
        <v>299</v>
      </c>
      <c r="N146" t="s">
        <v>321</v>
      </c>
      <c r="O146" s="292">
        <v>202000000000</v>
      </c>
      <c r="P146">
        <v>220090020</v>
      </c>
      <c r="Q146" s="290">
        <v>44927</v>
      </c>
      <c r="R146">
        <v>9</v>
      </c>
      <c r="S146">
        <v>2022</v>
      </c>
      <c r="T146" t="s">
        <v>489</v>
      </c>
      <c r="U146">
        <v>9</v>
      </c>
      <c r="V146" t="s">
        <v>321</v>
      </c>
      <c r="W146" t="s">
        <v>320</v>
      </c>
      <c r="X146">
        <v>0</v>
      </c>
      <c r="Y146">
        <v>2</v>
      </c>
      <c r="Z146" t="s">
        <v>476</v>
      </c>
      <c r="AA146" t="s">
        <v>409</v>
      </c>
      <c r="AB146" t="s">
        <v>452</v>
      </c>
      <c r="AC146" t="s">
        <v>433</v>
      </c>
      <c r="AD146" t="s">
        <v>412</v>
      </c>
      <c r="AE146" t="s">
        <v>321</v>
      </c>
      <c r="AF146" t="s">
        <v>434</v>
      </c>
      <c r="AG146" t="s">
        <v>414</v>
      </c>
      <c r="AH146" t="s">
        <v>558</v>
      </c>
      <c r="AI146" t="s">
        <v>898</v>
      </c>
      <c r="AJ146" t="s">
        <v>559</v>
      </c>
      <c r="AK146" t="s">
        <v>447</v>
      </c>
      <c r="AL146" t="s">
        <v>417</v>
      </c>
      <c r="AM146" t="s">
        <v>418</v>
      </c>
      <c r="AN146" t="s">
        <v>448</v>
      </c>
      <c r="AO146" t="s">
        <v>426</v>
      </c>
      <c r="AP146">
        <v>18</v>
      </c>
      <c r="AQ146" t="s">
        <v>427</v>
      </c>
      <c r="AR146" t="s">
        <v>421</v>
      </c>
      <c r="AS146" t="s">
        <v>428</v>
      </c>
      <c r="AT146" t="s">
        <v>321</v>
      </c>
      <c r="AU146" t="s">
        <v>321</v>
      </c>
      <c r="AV146" t="s">
        <v>321</v>
      </c>
      <c r="AW146" t="s">
        <v>441</v>
      </c>
      <c r="AX146" t="s">
        <v>449</v>
      </c>
      <c r="AY146">
        <v>30</v>
      </c>
      <c r="AZ146" t="s">
        <v>423</v>
      </c>
      <c r="BA146" t="s">
        <v>424</v>
      </c>
      <c r="BB146" t="s">
        <v>417</v>
      </c>
      <c r="BC146" t="s">
        <v>418</v>
      </c>
      <c r="BD146" t="s">
        <v>448</v>
      </c>
      <c r="BE146" t="s">
        <v>594</v>
      </c>
      <c r="BF146">
        <v>71</v>
      </c>
      <c r="BG146" t="s">
        <v>427</v>
      </c>
      <c r="BH146" t="s">
        <v>421</v>
      </c>
      <c r="BI146" t="s">
        <v>428</v>
      </c>
      <c r="BJ146" t="s">
        <v>321</v>
      </c>
      <c r="BK146" t="s">
        <v>321</v>
      </c>
      <c r="BL146" t="s">
        <v>321</v>
      </c>
      <c r="BM146" t="s">
        <v>441</v>
      </c>
      <c r="BN146" t="s">
        <v>449</v>
      </c>
      <c r="BO146">
        <v>30</v>
      </c>
      <c r="BP146" t="s">
        <v>423</v>
      </c>
      <c r="BQ146" t="s">
        <v>424</v>
      </c>
      <c r="BR146" t="s">
        <v>321</v>
      </c>
      <c r="BS146" t="s">
        <v>321</v>
      </c>
      <c r="BT146" t="s">
        <v>321</v>
      </c>
      <c r="BU146" t="s">
        <v>321</v>
      </c>
      <c r="BV146" t="s">
        <v>321</v>
      </c>
      <c r="BW146" t="s">
        <v>321</v>
      </c>
      <c r="BX146" t="s">
        <v>321</v>
      </c>
      <c r="BY146" t="s">
        <v>321</v>
      </c>
      <c r="BZ146" t="s">
        <v>321</v>
      </c>
      <c r="CA146" t="s">
        <v>321</v>
      </c>
      <c r="CB146" t="s">
        <v>321</v>
      </c>
      <c r="CC146" t="s">
        <v>321</v>
      </c>
      <c r="CD146" t="s">
        <v>321</v>
      </c>
      <c r="CE146" t="s">
        <v>321</v>
      </c>
      <c r="CF146" t="s">
        <v>321</v>
      </c>
      <c r="CG146" t="s">
        <v>321</v>
      </c>
      <c r="CH146" t="s">
        <v>321</v>
      </c>
      <c r="CI146" t="s">
        <v>321</v>
      </c>
      <c r="CJ146" t="s">
        <v>321</v>
      </c>
      <c r="CK146" t="s">
        <v>321</v>
      </c>
      <c r="CL146" t="s">
        <v>321</v>
      </c>
      <c r="CM146" t="s">
        <v>321</v>
      </c>
      <c r="CN146" t="s">
        <v>321</v>
      </c>
      <c r="CO146" t="s">
        <v>321</v>
      </c>
      <c r="CP146" t="s">
        <v>321</v>
      </c>
      <c r="CQ146" t="s">
        <v>321</v>
      </c>
      <c r="CR146" t="s">
        <v>321</v>
      </c>
      <c r="CS146" t="s">
        <v>321</v>
      </c>
      <c r="CT146" t="s">
        <v>321</v>
      </c>
      <c r="CU146" t="s">
        <v>321</v>
      </c>
      <c r="CV146" t="s">
        <v>321</v>
      </c>
      <c r="CW146" t="s">
        <v>321</v>
      </c>
      <c r="CX146">
        <v>278091.79440000001</v>
      </c>
      <c r="CY146">
        <v>4925303.608</v>
      </c>
      <c r="CZ146">
        <v>44.446992000000002</v>
      </c>
      <c r="DA146">
        <v>-95.788837000000001</v>
      </c>
      <c r="DB146" s="291">
        <v>44570.37777777778</v>
      </c>
      <c r="DC146" t="s">
        <v>231</v>
      </c>
      <c r="DD146" t="s">
        <v>429</v>
      </c>
      <c r="DE146" t="s">
        <v>455</v>
      </c>
      <c r="DF146" t="s">
        <v>456</v>
      </c>
      <c r="DG146" t="s">
        <v>897</v>
      </c>
      <c r="DH146">
        <v>0</v>
      </c>
      <c r="DI146" t="s">
        <v>327</v>
      </c>
      <c r="DJ146">
        <v>100</v>
      </c>
      <c r="DK146">
        <v>9</v>
      </c>
    </row>
    <row r="147" spans="1:115" x14ac:dyDescent="0.25">
      <c r="A147">
        <v>146</v>
      </c>
      <c r="B147" t="s">
        <v>657</v>
      </c>
      <c r="C147">
        <v>1</v>
      </c>
      <c r="D147">
        <v>167</v>
      </c>
      <c r="E147">
        <v>11006977</v>
      </c>
      <c r="F147" t="s">
        <v>570</v>
      </c>
      <c r="G147">
        <v>110</v>
      </c>
      <c r="H147">
        <v>0</v>
      </c>
      <c r="I147" t="s">
        <v>297</v>
      </c>
      <c r="J147" t="s">
        <v>299</v>
      </c>
      <c r="K147" t="s">
        <v>321</v>
      </c>
      <c r="L147" t="s">
        <v>406</v>
      </c>
      <c r="M147" t="s">
        <v>299</v>
      </c>
      <c r="N147" t="s">
        <v>321</v>
      </c>
      <c r="O147">
        <v>14022094</v>
      </c>
      <c r="P147">
        <v>143500188</v>
      </c>
      <c r="Q147" s="290">
        <v>45272</v>
      </c>
      <c r="R147">
        <v>16</v>
      </c>
      <c r="S147">
        <v>2014</v>
      </c>
      <c r="T147" t="s">
        <v>407</v>
      </c>
      <c r="U147">
        <v>8</v>
      </c>
      <c r="V147" t="s">
        <v>321</v>
      </c>
      <c r="W147" t="s">
        <v>320</v>
      </c>
      <c r="X147">
        <v>0</v>
      </c>
      <c r="Y147">
        <v>2</v>
      </c>
      <c r="Z147" t="s">
        <v>797</v>
      </c>
      <c r="AA147" t="s">
        <v>409</v>
      </c>
      <c r="AB147" t="s">
        <v>452</v>
      </c>
      <c r="AC147" t="s">
        <v>433</v>
      </c>
      <c r="AD147" t="s">
        <v>412</v>
      </c>
      <c r="AE147" t="s">
        <v>321</v>
      </c>
      <c r="AF147" t="s">
        <v>413</v>
      </c>
      <c r="AG147" t="s">
        <v>414</v>
      </c>
      <c r="AH147" t="s">
        <v>896</v>
      </c>
      <c r="AI147" t="s">
        <v>895</v>
      </c>
      <c r="AJ147" t="s">
        <v>888</v>
      </c>
      <c r="AK147" t="s">
        <v>447</v>
      </c>
      <c r="AL147">
        <v>0</v>
      </c>
      <c r="AM147" t="s">
        <v>425</v>
      </c>
      <c r="AN147" t="s">
        <v>892</v>
      </c>
      <c r="AO147" t="s">
        <v>321</v>
      </c>
      <c r="AP147">
        <v>35</v>
      </c>
      <c r="AQ147" t="s">
        <v>427</v>
      </c>
      <c r="AR147" t="s">
        <v>421</v>
      </c>
      <c r="AS147" t="s">
        <v>538</v>
      </c>
      <c r="AT147" t="s">
        <v>894</v>
      </c>
      <c r="AU147" t="s">
        <v>893</v>
      </c>
      <c r="AV147" t="s">
        <v>321</v>
      </c>
      <c r="AW147" t="s">
        <v>850</v>
      </c>
      <c r="AX147" t="s">
        <v>422</v>
      </c>
      <c r="AY147">
        <v>30</v>
      </c>
      <c r="AZ147" t="s">
        <v>423</v>
      </c>
      <c r="BA147" t="s">
        <v>424</v>
      </c>
      <c r="BB147" t="s">
        <v>417</v>
      </c>
      <c r="BC147" t="s">
        <v>478</v>
      </c>
      <c r="BD147" t="s">
        <v>892</v>
      </c>
      <c r="BE147" t="s">
        <v>439</v>
      </c>
      <c r="BF147">
        <v>55</v>
      </c>
      <c r="BG147" t="s">
        <v>420</v>
      </c>
      <c r="BH147" t="s">
        <v>421</v>
      </c>
      <c r="BI147" t="s">
        <v>321</v>
      </c>
      <c r="BJ147" t="s">
        <v>321</v>
      </c>
      <c r="BK147" t="s">
        <v>321</v>
      </c>
      <c r="BL147" t="s">
        <v>321</v>
      </c>
      <c r="BM147" t="s">
        <v>850</v>
      </c>
      <c r="BN147" t="s">
        <v>422</v>
      </c>
      <c r="BO147">
        <v>30</v>
      </c>
      <c r="BP147" t="s">
        <v>423</v>
      </c>
      <c r="BQ147" t="s">
        <v>424</v>
      </c>
      <c r="BR147" t="s">
        <v>321</v>
      </c>
      <c r="BS147" t="s">
        <v>321</v>
      </c>
      <c r="BT147" t="s">
        <v>321</v>
      </c>
      <c r="BU147" t="s">
        <v>321</v>
      </c>
      <c r="BV147" t="s">
        <v>321</v>
      </c>
      <c r="BW147" t="s">
        <v>321</v>
      </c>
      <c r="BX147" t="s">
        <v>321</v>
      </c>
      <c r="BY147" t="s">
        <v>321</v>
      </c>
      <c r="BZ147" t="s">
        <v>321</v>
      </c>
      <c r="CA147" t="s">
        <v>321</v>
      </c>
      <c r="CB147" t="s">
        <v>321</v>
      </c>
      <c r="CC147" t="s">
        <v>321</v>
      </c>
      <c r="CD147" t="s">
        <v>321</v>
      </c>
      <c r="CE147" t="s">
        <v>321</v>
      </c>
      <c r="CF147" t="s">
        <v>321</v>
      </c>
      <c r="CG147" t="s">
        <v>321</v>
      </c>
      <c r="CH147" t="s">
        <v>321</v>
      </c>
      <c r="CI147" t="s">
        <v>321</v>
      </c>
      <c r="CJ147" t="s">
        <v>321</v>
      </c>
      <c r="CK147" t="s">
        <v>321</v>
      </c>
      <c r="CL147" t="s">
        <v>321</v>
      </c>
      <c r="CM147" t="s">
        <v>321</v>
      </c>
      <c r="CN147" t="s">
        <v>321</v>
      </c>
      <c r="CO147" t="s">
        <v>321</v>
      </c>
      <c r="CP147" t="s">
        <v>321</v>
      </c>
      <c r="CQ147" t="s">
        <v>321</v>
      </c>
      <c r="CR147" t="s">
        <v>321</v>
      </c>
      <c r="CS147" t="s">
        <v>321</v>
      </c>
      <c r="CT147" t="s">
        <v>321</v>
      </c>
      <c r="CU147" t="s">
        <v>321</v>
      </c>
      <c r="CV147" t="s">
        <v>321</v>
      </c>
      <c r="CW147" t="s">
        <v>321</v>
      </c>
      <c r="CX147">
        <v>277478.33899999998</v>
      </c>
      <c r="CY147">
        <v>4924891.13</v>
      </c>
      <c r="CZ147">
        <v>44.443094000000002</v>
      </c>
      <c r="DA147">
        <v>-95.796360000000007</v>
      </c>
      <c r="DB147" s="291">
        <v>41989.364583333336</v>
      </c>
      <c r="DC147" t="s">
        <v>231</v>
      </c>
      <c r="DD147" t="s">
        <v>429</v>
      </c>
      <c r="DE147" t="s">
        <v>430</v>
      </c>
      <c r="DF147" t="s">
        <v>430</v>
      </c>
      <c r="DG147" t="s">
        <v>891</v>
      </c>
      <c r="DH147">
        <v>0</v>
      </c>
      <c r="DI147" t="s">
        <v>332</v>
      </c>
      <c r="DJ147">
        <v>100</v>
      </c>
      <c r="DK147">
        <v>3</v>
      </c>
    </row>
    <row r="148" spans="1:115" x14ac:dyDescent="0.25">
      <c r="A148">
        <v>147</v>
      </c>
      <c r="B148" t="s">
        <v>657</v>
      </c>
      <c r="C148">
        <v>1</v>
      </c>
      <c r="D148">
        <v>168</v>
      </c>
      <c r="E148">
        <v>320552</v>
      </c>
      <c r="F148" t="s">
        <v>570</v>
      </c>
      <c r="G148">
        <v>110</v>
      </c>
      <c r="H148">
        <v>0</v>
      </c>
      <c r="I148" t="s">
        <v>297</v>
      </c>
      <c r="J148" t="s">
        <v>299</v>
      </c>
      <c r="K148" t="s">
        <v>321</v>
      </c>
      <c r="L148" t="s">
        <v>406</v>
      </c>
      <c r="M148" t="s">
        <v>299</v>
      </c>
      <c r="N148" t="s">
        <v>321</v>
      </c>
      <c r="O148" t="s">
        <v>890</v>
      </c>
      <c r="P148">
        <v>160150123</v>
      </c>
      <c r="Q148" s="290">
        <v>44927</v>
      </c>
      <c r="R148">
        <v>15</v>
      </c>
      <c r="S148">
        <v>2016</v>
      </c>
      <c r="T148" t="s">
        <v>485</v>
      </c>
      <c r="U148">
        <v>16</v>
      </c>
      <c r="V148" t="s">
        <v>450</v>
      </c>
      <c r="W148" t="s">
        <v>320</v>
      </c>
      <c r="X148">
        <v>0</v>
      </c>
      <c r="Y148">
        <v>2</v>
      </c>
      <c r="Z148" t="s">
        <v>451</v>
      </c>
      <c r="AA148" t="s">
        <v>409</v>
      </c>
      <c r="AB148" t="s">
        <v>460</v>
      </c>
      <c r="AC148" t="s">
        <v>433</v>
      </c>
      <c r="AD148" t="s">
        <v>412</v>
      </c>
      <c r="AE148" t="s">
        <v>321</v>
      </c>
      <c r="AF148" t="s">
        <v>434</v>
      </c>
      <c r="AG148" t="s">
        <v>414</v>
      </c>
      <c r="AH148" t="s">
        <v>511</v>
      </c>
      <c r="AI148" t="s">
        <v>321</v>
      </c>
      <c r="AJ148" t="s">
        <v>888</v>
      </c>
      <c r="AK148" t="s">
        <v>451</v>
      </c>
      <c r="AL148" t="s">
        <v>417</v>
      </c>
      <c r="AM148" t="s">
        <v>425</v>
      </c>
      <c r="AN148" t="s">
        <v>453</v>
      </c>
      <c r="AO148" t="s">
        <v>426</v>
      </c>
      <c r="AP148">
        <v>78</v>
      </c>
      <c r="AQ148" t="s">
        <v>420</v>
      </c>
      <c r="AR148" t="s">
        <v>421</v>
      </c>
      <c r="AS148" t="s">
        <v>454</v>
      </c>
      <c r="AT148" t="s">
        <v>440</v>
      </c>
      <c r="AU148" t="s">
        <v>321</v>
      </c>
      <c r="AV148" t="s">
        <v>321</v>
      </c>
      <c r="AW148" t="s">
        <v>441</v>
      </c>
      <c r="AX148" t="s">
        <v>512</v>
      </c>
      <c r="AY148">
        <v>30</v>
      </c>
      <c r="AZ148" t="s">
        <v>423</v>
      </c>
      <c r="BA148" t="s">
        <v>424</v>
      </c>
      <c r="BB148" t="s">
        <v>417</v>
      </c>
      <c r="BC148" t="s">
        <v>425</v>
      </c>
      <c r="BD148" t="s">
        <v>461</v>
      </c>
      <c r="BE148" t="s">
        <v>426</v>
      </c>
      <c r="BF148">
        <v>22</v>
      </c>
      <c r="BG148" t="s">
        <v>427</v>
      </c>
      <c r="BH148" t="s">
        <v>421</v>
      </c>
      <c r="BI148" t="s">
        <v>428</v>
      </c>
      <c r="BJ148" t="s">
        <v>321</v>
      </c>
      <c r="BK148" t="s">
        <v>321</v>
      </c>
      <c r="BL148" t="s">
        <v>321</v>
      </c>
      <c r="BM148" t="s">
        <v>441</v>
      </c>
      <c r="BN148" t="s">
        <v>512</v>
      </c>
      <c r="BO148">
        <v>30</v>
      </c>
      <c r="BP148" t="s">
        <v>423</v>
      </c>
      <c r="BQ148" t="s">
        <v>424</v>
      </c>
      <c r="BR148" t="s">
        <v>321</v>
      </c>
      <c r="BS148" t="s">
        <v>321</v>
      </c>
      <c r="BT148" t="s">
        <v>321</v>
      </c>
      <c r="BU148" t="s">
        <v>321</v>
      </c>
      <c r="BV148" t="s">
        <v>321</v>
      </c>
      <c r="BW148" t="s">
        <v>321</v>
      </c>
      <c r="BX148" t="s">
        <v>321</v>
      </c>
      <c r="BY148" t="s">
        <v>321</v>
      </c>
      <c r="BZ148" t="s">
        <v>321</v>
      </c>
      <c r="CA148" t="s">
        <v>321</v>
      </c>
      <c r="CB148" t="s">
        <v>321</v>
      </c>
      <c r="CC148" t="s">
        <v>321</v>
      </c>
      <c r="CD148" t="s">
        <v>321</v>
      </c>
      <c r="CE148" t="s">
        <v>321</v>
      </c>
      <c r="CF148" t="s">
        <v>321</v>
      </c>
      <c r="CG148" t="s">
        <v>321</v>
      </c>
      <c r="CH148" t="s">
        <v>321</v>
      </c>
      <c r="CI148" t="s">
        <v>321</v>
      </c>
      <c r="CJ148" t="s">
        <v>321</v>
      </c>
      <c r="CK148" t="s">
        <v>321</v>
      </c>
      <c r="CL148" t="s">
        <v>321</v>
      </c>
      <c r="CM148" t="s">
        <v>321</v>
      </c>
      <c r="CN148" t="s">
        <v>321</v>
      </c>
      <c r="CO148" t="s">
        <v>321</v>
      </c>
      <c r="CP148" t="s">
        <v>321</v>
      </c>
      <c r="CQ148" t="s">
        <v>321</v>
      </c>
      <c r="CR148" t="s">
        <v>321</v>
      </c>
      <c r="CS148" t="s">
        <v>321</v>
      </c>
      <c r="CT148" t="s">
        <v>321</v>
      </c>
      <c r="CU148" t="s">
        <v>321</v>
      </c>
      <c r="CV148" t="s">
        <v>321</v>
      </c>
      <c r="CW148" t="s">
        <v>321</v>
      </c>
      <c r="CX148">
        <v>277478.34090000001</v>
      </c>
      <c r="CY148">
        <v>4924891.3260000004</v>
      </c>
      <c r="CZ148">
        <v>44.443095999999997</v>
      </c>
      <c r="DA148">
        <v>-95.796360000000007</v>
      </c>
      <c r="DB148" s="291">
        <v>42384.681944444441</v>
      </c>
      <c r="DC148" t="s">
        <v>231</v>
      </c>
      <c r="DD148" t="s">
        <v>429</v>
      </c>
      <c r="DE148" t="s">
        <v>455</v>
      </c>
      <c r="DF148" t="s">
        <v>456</v>
      </c>
      <c r="DG148" t="s">
        <v>889</v>
      </c>
      <c r="DH148">
        <v>0</v>
      </c>
      <c r="DI148" t="s">
        <v>332</v>
      </c>
      <c r="DJ148">
        <v>100</v>
      </c>
      <c r="DK148">
        <v>3</v>
      </c>
    </row>
    <row r="149" spans="1:115" x14ac:dyDescent="0.25">
      <c r="A149">
        <v>148</v>
      </c>
      <c r="B149" t="s">
        <v>657</v>
      </c>
      <c r="C149">
        <v>1</v>
      </c>
      <c r="D149">
        <v>169</v>
      </c>
      <c r="E149">
        <v>662049</v>
      </c>
      <c r="F149" t="s">
        <v>570</v>
      </c>
      <c r="G149">
        <v>110</v>
      </c>
      <c r="H149">
        <v>0</v>
      </c>
      <c r="I149" t="s">
        <v>297</v>
      </c>
      <c r="J149" t="s">
        <v>299</v>
      </c>
      <c r="K149" t="s">
        <v>321</v>
      </c>
      <c r="L149" t="s">
        <v>406</v>
      </c>
      <c r="M149" t="s">
        <v>299</v>
      </c>
      <c r="N149" t="s">
        <v>321</v>
      </c>
      <c r="O149">
        <v>18020829</v>
      </c>
      <c r="P149">
        <v>183250108</v>
      </c>
      <c r="Q149" s="290">
        <v>45241</v>
      </c>
      <c r="R149">
        <v>21</v>
      </c>
      <c r="S149">
        <v>2018</v>
      </c>
      <c r="T149" t="s">
        <v>494</v>
      </c>
      <c r="U149">
        <v>17</v>
      </c>
      <c r="V149" t="s">
        <v>422</v>
      </c>
      <c r="W149" t="s">
        <v>320</v>
      </c>
      <c r="X149">
        <v>0</v>
      </c>
      <c r="Y149">
        <v>2</v>
      </c>
      <c r="Z149" t="s">
        <v>451</v>
      </c>
      <c r="AA149" t="s">
        <v>409</v>
      </c>
      <c r="AB149" t="s">
        <v>460</v>
      </c>
      <c r="AC149" t="s">
        <v>411</v>
      </c>
      <c r="AD149" t="s">
        <v>412</v>
      </c>
      <c r="AE149" t="s">
        <v>321</v>
      </c>
      <c r="AF149" t="s">
        <v>434</v>
      </c>
      <c r="AG149" t="s">
        <v>414</v>
      </c>
      <c r="AH149" t="s">
        <v>511</v>
      </c>
      <c r="AI149" t="s">
        <v>321</v>
      </c>
      <c r="AJ149" t="s">
        <v>888</v>
      </c>
      <c r="AK149" t="s">
        <v>451</v>
      </c>
      <c r="AL149" t="s">
        <v>417</v>
      </c>
      <c r="AM149" t="s">
        <v>425</v>
      </c>
      <c r="AN149" t="s">
        <v>448</v>
      </c>
      <c r="AO149" t="s">
        <v>426</v>
      </c>
      <c r="AP149">
        <v>37</v>
      </c>
      <c r="AQ149" t="s">
        <v>420</v>
      </c>
      <c r="AR149" t="s">
        <v>421</v>
      </c>
      <c r="AS149" t="s">
        <v>428</v>
      </c>
      <c r="AT149" t="s">
        <v>321</v>
      </c>
      <c r="AU149" t="s">
        <v>321</v>
      </c>
      <c r="AV149" t="s">
        <v>321</v>
      </c>
      <c r="AW149" t="s">
        <v>441</v>
      </c>
      <c r="AX149" t="s">
        <v>442</v>
      </c>
      <c r="AY149">
        <v>30</v>
      </c>
      <c r="AZ149" t="s">
        <v>423</v>
      </c>
      <c r="BA149" t="s">
        <v>424</v>
      </c>
      <c r="BB149" t="s">
        <v>417</v>
      </c>
      <c r="BC149" t="s">
        <v>425</v>
      </c>
      <c r="BD149" t="s">
        <v>472</v>
      </c>
      <c r="BE149" t="s">
        <v>426</v>
      </c>
      <c r="BF149">
        <v>25</v>
      </c>
      <c r="BG149" t="s">
        <v>420</v>
      </c>
      <c r="BH149" t="s">
        <v>421</v>
      </c>
      <c r="BI149" t="s">
        <v>454</v>
      </c>
      <c r="BJ149" t="s">
        <v>321</v>
      </c>
      <c r="BK149" t="s">
        <v>321</v>
      </c>
      <c r="BL149" t="s">
        <v>321</v>
      </c>
      <c r="BM149" t="s">
        <v>441</v>
      </c>
      <c r="BN149" t="s">
        <v>512</v>
      </c>
      <c r="BO149">
        <v>30</v>
      </c>
      <c r="BP149" t="s">
        <v>423</v>
      </c>
      <c r="BQ149" t="s">
        <v>424</v>
      </c>
      <c r="BR149" t="s">
        <v>321</v>
      </c>
      <c r="BS149" t="s">
        <v>321</v>
      </c>
      <c r="BT149" t="s">
        <v>321</v>
      </c>
      <c r="BU149" t="s">
        <v>321</v>
      </c>
      <c r="BV149" t="s">
        <v>321</v>
      </c>
      <c r="BW149" t="s">
        <v>321</v>
      </c>
      <c r="BX149" t="s">
        <v>321</v>
      </c>
      <c r="BY149" t="s">
        <v>321</v>
      </c>
      <c r="BZ149" t="s">
        <v>321</v>
      </c>
      <c r="CA149" t="s">
        <v>321</v>
      </c>
      <c r="CB149" t="s">
        <v>321</v>
      </c>
      <c r="CC149" t="s">
        <v>321</v>
      </c>
      <c r="CD149" t="s">
        <v>321</v>
      </c>
      <c r="CE149" t="s">
        <v>321</v>
      </c>
      <c r="CF149" t="s">
        <v>321</v>
      </c>
      <c r="CG149" t="s">
        <v>321</v>
      </c>
      <c r="CH149" t="s">
        <v>321</v>
      </c>
      <c r="CI149" t="s">
        <v>321</v>
      </c>
      <c r="CJ149" t="s">
        <v>321</v>
      </c>
      <c r="CK149" t="s">
        <v>321</v>
      </c>
      <c r="CL149" t="s">
        <v>321</v>
      </c>
      <c r="CM149" t="s">
        <v>321</v>
      </c>
      <c r="CN149" t="s">
        <v>321</v>
      </c>
      <c r="CO149" t="s">
        <v>321</v>
      </c>
      <c r="CP149" t="s">
        <v>321</v>
      </c>
      <c r="CQ149" t="s">
        <v>321</v>
      </c>
      <c r="CR149" t="s">
        <v>321</v>
      </c>
      <c r="CS149" t="s">
        <v>321</v>
      </c>
      <c r="CT149" t="s">
        <v>321</v>
      </c>
      <c r="CU149" t="s">
        <v>321</v>
      </c>
      <c r="CV149" t="s">
        <v>321</v>
      </c>
      <c r="CW149" t="s">
        <v>321</v>
      </c>
      <c r="CX149">
        <v>277478.34450000001</v>
      </c>
      <c r="CY149">
        <v>4924891.7019999996</v>
      </c>
      <c r="CZ149">
        <v>44.443098999999997</v>
      </c>
      <c r="DA149">
        <v>-95.796360000000007</v>
      </c>
      <c r="DB149" s="291">
        <v>43425.715277777781</v>
      </c>
      <c r="DC149" t="s">
        <v>231</v>
      </c>
      <c r="DD149" t="s">
        <v>429</v>
      </c>
      <c r="DE149" t="s">
        <v>455</v>
      </c>
      <c r="DF149" t="s">
        <v>456</v>
      </c>
      <c r="DG149" t="s">
        <v>887</v>
      </c>
      <c r="DH149">
        <v>0</v>
      </c>
      <c r="DI149" t="s">
        <v>332</v>
      </c>
      <c r="DJ149">
        <v>100</v>
      </c>
      <c r="DK149">
        <v>3</v>
      </c>
    </row>
    <row r="150" spans="1:115" x14ac:dyDescent="0.25">
      <c r="A150">
        <v>149</v>
      </c>
      <c r="B150" t="s">
        <v>657</v>
      </c>
      <c r="C150">
        <v>1</v>
      </c>
      <c r="D150">
        <v>170</v>
      </c>
      <c r="E150">
        <v>1008587</v>
      </c>
      <c r="F150" t="s">
        <v>464</v>
      </c>
      <c r="G150">
        <v>68</v>
      </c>
      <c r="H150">
        <v>39.231000000000002</v>
      </c>
      <c r="I150" t="s">
        <v>297</v>
      </c>
      <c r="J150" t="s">
        <v>299</v>
      </c>
      <c r="K150" t="s">
        <v>321</v>
      </c>
      <c r="L150" t="s">
        <v>406</v>
      </c>
      <c r="M150" t="s">
        <v>299</v>
      </c>
      <c r="N150" t="s">
        <v>321</v>
      </c>
      <c r="O150" t="s">
        <v>886</v>
      </c>
      <c r="P150">
        <v>220540261</v>
      </c>
      <c r="Q150" s="290">
        <v>44959</v>
      </c>
      <c r="R150">
        <v>23</v>
      </c>
      <c r="S150">
        <v>2022</v>
      </c>
      <c r="T150" t="s">
        <v>494</v>
      </c>
      <c r="U150">
        <v>15</v>
      </c>
      <c r="V150" t="s">
        <v>422</v>
      </c>
      <c r="W150" t="s">
        <v>320</v>
      </c>
      <c r="X150">
        <v>0</v>
      </c>
      <c r="Y150">
        <v>1</v>
      </c>
      <c r="Z150" t="s">
        <v>321</v>
      </c>
      <c r="AA150" t="s">
        <v>566</v>
      </c>
      <c r="AB150" t="s">
        <v>452</v>
      </c>
      <c r="AC150" t="s">
        <v>433</v>
      </c>
      <c r="AD150" t="s">
        <v>412</v>
      </c>
      <c r="AE150" t="s">
        <v>321</v>
      </c>
      <c r="AF150" t="s">
        <v>467</v>
      </c>
      <c r="AG150" t="s">
        <v>414</v>
      </c>
      <c r="AH150" t="s">
        <v>558</v>
      </c>
      <c r="AI150" t="s">
        <v>477</v>
      </c>
      <c r="AJ150" t="s">
        <v>559</v>
      </c>
      <c r="AK150" t="s">
        <v>436</v>
      </c>
      <c r="AL150" t="s">
        <v>417</v>
      </c>
      <c r="AM150" t="s">
        <v>437</v>
      </c>
      <c r="AN150" t="s">
        <v>461</v>
      </c>
      <c r="AO150" t="s">
        <v>419</v>
      </c>
      <c r="AP150">
        <v>40</v>
      </c>
      <c r="AQ150" t="s">
        <v>420</v>
      </c>
      <c r="AR150" t="s">
        <v>421</v>
      </c>
      <c r="AS150" t="s">
        <v>428</v>
      </c>
      <c r="AT150" t="s">
        <v>321</v>
      </c>
      <c r="AU150" t="s">
        <v>321</v>
      </c>
      <c r="AV150" t="s">
        <v>321</v>
      </c>
      <c r="AW150" t="s">
        <v>605</v>
      </c>
      <c r="AX150" t="s">
        <v>449</v>
      </c>
      <c r="AY150">
        <v>30</v>
      </c>
      <c r="AZ150" t="s">
        <v>423</v>
      </c>
      <c r="BA150" t="s">
        <v>424</v>
      </c>
      <c r="BB150" t="s">
        <v>321</v>
      </c>
      <c r="BC150" t="s">
        <v>321</v>
      </c>
      <c r="BD150" t="s">
        <v>321</v>
      </c>
      <c r="BE150" t="s">
        <v>321</v>
      </c>
      <c r="BF150" t="s">
        <v>321</v>
      </c>
      <c r="BG150" t="s">
        <v>321</v>
      </c>
      <c r="BH150" t="s">
        <v>321</v>
      </c>
      <c r="BI150" t="s">
        <v>321</v>
      </c>
      <c r="BJ150" t="s">
        <v>321</v>
      </c>
      <c r="BK150" t="s">
        <v>321</v>
      </c>
      <c r="BL150" t="s">
        <v>321</v>
      </c>
      <c r="BM150" t="s">
        <v>321</v>
      </c>
      <c r="BN150" t="s">
        <v>321</v>
      </c>
      <c r="BO150" t="s">
        <v>321</v>
      </c>
      <c r="BP150" t="s">
        <v>321</v>
      </c>
      <c r="BQ150" t="s">
        <v>321</v>
      </c>
      <c r="BR150" t="s">
        <v>321</v>
      </c>
      <c r="BS150" t="s">
        <v>321</v>
      </c>
      <c r="BT150" t="s">
        <v>321</v>
      </c>
      <c r="BU150" t="s">
        <v>321</v>
      </c>
      <c r="BV150" t="s">
        <v>321</v>
      </c>
      <c r="BW150" t="s">
        <v>321</v>
      </c>
      <c r="BX150" t="s">
        <v>321</v>
      </c>
      <c r="BY150" t="s">
        <v>321</v>
      </c>
      <c r="BZ150" t="s">
        <v>321</v>
      </c>
      <c r="CA150" t="s">
        <v>321</v>
      </c>
      <c r="CB150" t="s">
        <v>321</v>
      </c>
      <c r="CC150" t="s">
        <v>321</v>
      </c>
      <c r="CD150" t="s">
        <v>321</v>
      </c>
      <c r="CE150" t="s">
        <v>321</v>
      </c>
      <c r="CF150" t="s">
        <v>321</v>
      </c>
      <c r="CG150" t="s">
        <v>321</v>
      </c>
      <c r="CH150" t="s">
        <v>321</v>
      </c>
      <c r="CI150" t="s">
        <v>321</v>
      </c>
      <c r="CJ150" t="s">
        <v>321</v>
      </c>
      <c r="CK150" t="s">
        <v>321</v>
      </c>
      <c r="CL150" t="s">
        <v>321</v>
      </c>
      <c r="CM150" t="s">
        <v>321</v>
      </c>
      <c r="CN150" t="s">
        <v>321</v>
      </c>
      <c r="CO150" t="s">
        <v>321</v>
      </c>
      <c r="CP150" t="s">
        <v>321</v>
      </c>
      <c r="CQ150" t="s">
        <v>321</v>
      </c>
      <c r="CR150" t="s">
        <v>321</v>
      </c>
      <c r="CS150" t="s">
        <v>321</v>
      </c>
      <c r="CT150" t="s">
        <v>321</v>
      </c>
      <c r="CU150" t="s">
        <v>321</v>
      </c>
      <c r="CV150" t="s">
        <v>321</v>
      </c>
      <c r="CW150" t="s">
        <v>321</v>
      </c>
      <c r="CX150">
        <v>278092.54340000002</v>
      </c>
      <c r="CY150">
        <v>4925302.8289999999</v>
      </c>
      <c r="CZ150">
        <v>44.446984999999998</v>
      </c>
      <c r="DA150">
        <v>-95.788826999999998</v>
      </c>
      <c r="DB150" s="291">
        <v>44615.649305555555</v>
      </c>
      <c r="DC150" t="s">
        <v>231</v>
      </c>
      <c r="DD150" t="s">
        <v>429</v>
      </c>
      <c r="DE150" t="s">
        <v>455</v>
      </c>
      <c r="DF150" t="s">
        <v>456</v>
      </c>
      <c r="DG150" t="s">
        <v>885</v>
      </c>
      <c r="DH150">
        <v>0</v>
      </c>
      <c r="DI150" t="s">
        <v>327</v>
      </c>
      <c r="DJ150">
        <v>100</v>
      </c>
      <c r="DK150">
        <v>9</v>
      </c>
    </row>
    <row r="151" spans="1:115" x14ac:dyDescent="0.25">
      <c r="A151">
        <v>150</v>
      </c>
      <c r="B151" t="s">
        <v>657</v>
      </c>
      <c r="C151">
        <v>1</v>
      </c>
      <c r="D151">
        <v>171</v>
      </c>
      <c r="E151">
        <v>1025560</v>
      </c>
      <c r="F151" t="s">
        <v>464</v>
      </c>
      <c r="G151">
        <v>68</v>
      </c>
      <c r="H151">
        <v>39.235999999999997</v>
      </c>
      <c r="I151" t="s">
        <v>297</v>
      </c>
      <c r="J151" t="s">
        <v>299</v>
      </c>
      <c r="K151" t="s">
        <v>321</v>
      </c>
      <c r="L151" t="s">
        <v>406</v>
      </c>
      <c r="M151" t="s">
        <v>299</v>
      </c>
      <c r="N151" t="s">
        <v>321</v>
      </c>
      <c r="O151">
        <v>22007809</v>
      </c>
      <c r="P151">
        <v>221500025</v>
      </c>
      <c r="Q151" s="290">
        <v>45051</v>
      </c>
      <c r="R151">
        <v>30</v>
      </c>
      <c r="S151">
        <v>2022</v>
      </c>
      <c r="T151" t="s">
        <v>431</v>
      </c>
      <c r="U151">
        <v>12</v>
      </c>
      <c r="V151" t="s">
        <v>422</v>
      </c>
      <c r="W151" t="s">
        <v>320</v>
      </c>
      <c r="X151">
        <v>0</v>
      </c>
      <c r="Y151">
        <v>2</v>
      </c>
      <c r="Z151" t="s">
        <v>408</v>
      </c>
      <c r="AA151" t="s">
        <v>409</v>
      </c>
      <c r="AB151" t="s">
        <v>452</v>
      </c>
      <c r="AC151" t="s">
        <v>433</v>
      </c>
      <c r="AD151" t="s">
        <v>412</v>
      </c>
      <c r="AE151" t="s">
        <v>321</v>
      </c>
      <c r="AF151" t="s">
        <v>434</v>
      </c>
      <c r="AG151" t="s">
        <v>414</v>
      </c>
      <c r="AH151" t="s">
        <v>558</v>
      </c>
      <c r="AI151" t="s">
        <v>884</v>
      </c>
      <c r="AJ151" t="s">
        <v>559</v>
      </c>
      <c r="AK151" t="s">
        <v>416</v>
      </c>
      <c r="AL151" t="s">
        <v>417</v>
      </c>
      <c r="AM151" t="s">
        <v>418</v>
      </c>
      <c r="AN151" t="s">
        <v>461</v>
      </c>
      <c r="AO151" t="s">
        <v>883</v>
      </c>
      <c r="AP151">
        <v>22</v>
      </c>
      <c r="AQ151" t="s">
        <v>427</v>
      </c>
      <c r="AR151" t="s">
        <v>421</v>
      </c>
      <c r="AS151" t="s">
        <v>440</v>
      </c>
      <c r="AT151" t="s">
        <v>321</v>
      </c>
      <c r="AU151" t="s">
        <v>321</v>
      </c>
      <c r="AV151" t="s">
        <v>321</v>
      </c>
      <c r="AW151" t="s">
        <v>544</v>
      </c>
      <c r="AX151" t="s">
        <v>449</v>
      </c>
      <c r="AY151">
        <v>30</v>
      </c>
      <c r="AZ151" t="s">
        <v>423</v>
      </c>
      <c r="BA151" t="s">
        <v>424</v>
      </c>
      <c r="BB151" t="s">
        <v>417</v>
      </c>
      <c r="BC151" t="s">
        <v>418</v>
      </c>
      <c r="BD151" t="s">
        <v>448</v>
      </c>
      <c r="BE151" t="s">
        <v>426</v>
      </c>
      <c r="BF151">
        <v>42</v>
      </c>
      <c r="BG151" t="s">
        <v>420</v>
      </c>
      <c r="BH151" t="s">
        <v>421</v>
      </c>
      <c r="BI151" t="s">
        <v>428</v>
      </c>
      <c r="BJ151" t="s">
        <v>321</v>
      </c>
      <c r="BK151" t="s">
        <v>321</v>
      </c>
      <c r="BL151" t="s">
        <v>321</v>
      </c>
      <c r="BM151" t="s">
        <v>544</v>
      </c>
      <c r="BN151" t="s">
        <v>449</v>
      </c>
      <c r="BO151">
        <v>30</v>
      </c>
      <c r="BP151" t="s">
        <v>423</v>
      </c>
      <c r="BQ151" t="s">
        <v>424</v>
      </c>
      <c r="BR151" t="s">
        <v>321</v>
      </c>
      <c r="BS151" t="s">
        <v>321</v>
      </c>
      <c r="BT151" t="s">
        <v>321</v>
      </c>
      <c r="BU151" t="s">
        <v>321</v>
      </c>
      <c r="BV151" t="s">
        <v>321</v>
      </c>
      <c r="BW151" t="s">
        <v>321</v>
      </c>
      <c r="BX151" t="s">
        <v>321</v>
      </c>
      <c r="BY151" t="s">
        <v>321</v>
      </c>
      <c r="BZ151" t="s">
        <v>321</v>
      </c>
      <c r="CA151" t="s">
        <v>321</v>
      </c>
      <c r="CB151" t="s">
        <v>321</v>
      </c>
      <c r="CC151" t="s">
        <v>321</v>
      </c>
      <c r="CD151" t="s">
        <v>321</v>
      </c>
      <c r="CE151" t="s">
        <v>321</v>
      </c>
      <c r="CF151" t="s">
        <v>321</v>
      </c>
      <c r="CG151" t="s">
        <v>321</v>
      </c>
      <c r="CH151" t="s">
        <v>321</v>
      </c>
      <c r="CI151" t="s">
        <v>321</v>
      </c>
      <c r="CJ151" t="s">
        <v>321</v>
      </c>
      <c r="CK151" t="s">
        <v>321</v>
      </c>
      <c r="CL151" t="s">
        <v>321</v>
      </c>
      <c r="CM151" t="s">
        <v>321</v>
      </c>
      <c r="CN151" t="s">
        <v>321</v>
      </c>
      <c r="CO151" t="s">
        <v>321</v>
      </c>
      <c r="CP151" t="s">
        <v>321</v>
      </c>
      <c r="CQ151" t="s">
        <v>321</v>
      </c>
      <c r="CR151" t="s">
        <v>321</v>
      </c>
      <c r="CS151" t="s">
        <v>321</v>
      </c>
      <c r="CT151" t="s">
        <v>321</v>
      </c>
      <c r="CU151" t="s">
        <v>321</v>
      </c>
      <c r="CV151" t="s">
        <v>321</v>
      </c>
      <c r="CW151" t="s">
        <v>321</v>
      </c>
      <c r="CX151">
        <v>278097.18650000001</v>
      </c>
      <c r="CY151">
        <v>4925297.9989999998</v>
      </c>
      <c r="CZ151">
        <v>44.446942999999997</v>
      </c>
      <c r="DA151">
        <v>-95.788767000000007</v>
      </c>
      <c r="DB151" s="291">
        <v>44711.538194444445</v>
      </c>
      <c r="DC151" t="s">
        <v>231</v>
      </c>
      <c r="DD151" t="s">
        <v>429</v>
      </c>
      <c r="DE151" t="s">
        <v>455</v>
      </c>
      <c r="DF151" t="s">
        <v>456</v>
      </c>
      <c r="DG151" t="s">
        <v>882</v>
      </c>
      <c r="DH151">
        <v>0</v>
      </c>
      <c r="DI151" t="s">
        <v>327</v>
      </c>
      <c r="DJ151">
        <v>100</v>
      </c>
      <c r="DK151">
        <v>9</v>
      </c>
    </row>
    <row r="152" spans="1:115" x14ac:dyDescent="0.25">
      <c r="A152">
        <v>151</v>
      </c>
      <c r="B152" t="s">
        <v>657</v>
      </c>
      <c r="C152">
        <v>1</v>
      </c>
      <c r="D152">
        <v>172</v>
      </c>
      <c r="E152">
        <v>1064977</v>
      </c>
      <c r="F152" t="s">
        <v>464</v>
      </c>
      <c r="G152">
        <v>68</v>
      </c>
      <c r="H152">
        <v>39.234999999999999</v>
      </c>
      <c r="I152" t="s">
        <v>297</v>
      </c>
      <c r="J152" t="s">
        <v>299</v>
      </c>
      <c r="K152" t="s">
        <v>321</v>
      </c>
      <c r="L152" t="s">
        <v>321</v>
      </c>
      <c r="M152" t="s">
        <v>299</v>
      </c>
      <c r="N152" t="s">
        <v>321</v>
      </c>
      <c r="O152">
        <v>22019072</v>
      </c>
      <c r="P152">
        <v>223440202</v>
      </c>
      <c r="Q152" s="290">
        <v>45272</v>
      </c>
      <c r="R152">
        <v>10</v>
      </c>
      <c r="S152">
        <v>2022</v>
      </c>
      <c r="T152" t="s">
        <v>506</v>
      </c>
      <c r="U152">
        <v>5</v>
      </c>
      <c r="V152" t="s">
        <v>321</v>
      </c>
      <c r="W152" t="s">
        <v>320</v>
      </c>
      <c r="X152">
        <v>0</v>
      </c>
      <c r="Y152">
        <v>2</v>
      </c>
      <c r="Z152" t="s">
        <v>785</v>
      </c>
      <c r="AA152" t="s">
        <v>409</v>
      </c>
      <c r="AB152" t="s">
        <v>452</v>
      </c>
      <c r="AC152" t="s">
        <v>411</v>
      </c>
      <c r="AD152" t="s">
        <v>881</v>
      </c>
      <c r="AE152" t="s">
        <v>321</v>
      </c>
      <c r="AF152" t="s">
        <v>467</v>
      </c>
      <c r="AG152" t="s">
        <v>880</v>
      </c>
      <c r="AH152" t="s">
        <v>558</v>
      </c>
      <c r="AI152" t="s">
        <v>879</v>
      </c>
      <c r="AJ152" t="s">
        <v>559</v>
      </c>
      <c r="AK152" t="s">
        <v>463</v>
      </c>
      <c r="AL152" t="s">
        <v>878</v>
      </c>
      <c r="AM152" t="s">
        <v>437</v>
      </c>
      <c r="AN152" t="s">
        <v>453</v>
      </c>
      <c r="AO152" t="s">
        <v>439</v>
      </c>
      <c r="AP152">
        <v>33</v>
      </c>
      <c r="AQ152" t="s">
        <v>420</v>
      </c>
      <c r="AR152" t="s">
        <v>421</v>
      </c>
      <c r="AS152" t="s">
        <v>877</v>
      </c>
      <c r="AT152" t="s">
        <v>321</v>
      </c>
      <c r="AU152" t="s">
        <v>321</v>
      </c>
      <c r="AV152" t="s">
        <v>321</v>
      </c>
      <c r="AW152" t="s">
        <v>441</v>
      </c>
      <c r="AX152" t="s">
        <v>449</v>
      </c>
      <c r="AY152">
        <v>30</v>
      </c>
      <c r="AZ152" t="s">
        <v>423</v>
      </c>
      <c r="BA152" t="s">
        <v>424</v>
      </c>
      <c r="BB152" t="s">
        <v>417</v>
      </c>
      <c r="BC152" t="s">
        <v>437</v>
      </c>
      <c r="BD152" t="s">
        <v>448</v>
      </c>
      <c r="BE152" t="s">
        <v>426</v>
      </c>
      <c r="BF152">
        <v>32</v>
      </c>
      <c r="BG152" t="s">
        <v>420</v>
      </c>
      <c r="BH152" t="s">
        <v>421</v>
      </c>
      <c r="BI152" t="s">
        <v>428</v>
      </c>
      <c r="BJ152" t="s">
        <v>321</v>
      </c>
      <c r="BK152" t="s">
        <v>321</v>
      </c>
      <c r="BL152" t="s">
        <v>321</v>
      </c>
      <c r="BM152" t="s">
        <v>441</v>
      </c>
      <c r="BN152" t="s">
        <v>449</v>
      </c>
      <c r="BO152">
        <v>30</v>
      </c>
      <c r="BP152" t="s">
        <v>423</v>
      </c>
      <c r="BQ152" t="s">
        <v>424</v>
      </c>
      <c r="BR152" t="s">
        <v>321</v>
      </c>
      <c r="BS152" t="s">
        <v>321</v>
      </c>
      <c r="BT152" t="s">
        <v>321</v>
      </c>
      <c r="BU152" t="s">
        <v>321</v>
      </c>
      <c r="BV152" t="s">
        <v>321</v>
      </c>
      <c r="BW152" t="s">
        <v>321</v>
      </c>
      <c r="BX152" t="s">
        <v>321</v>
      </c>
      <c r="BY152" t="s">
        <v>321</v>
      </c>
      <c r="BZ152" t="s">
        <v>321</v>
      </c>
      <c r="CA152" t="s">
        <v>321</v>
      </c>
      <c r="CB152" t="s">
        <v>321</v>
      </c>
      <c r="CC152" t="s">
        <v>321</v>
      </c>
      <c r="CD152" t="s">
        <v>321</v>
      </c>
      <c r="CE152" t="s">
        <v>321</v>
      </c>
      <c r="CF152" t="s">
        <v>321</v>
      </c>
      <c r="CG152" t="s">
        <v>321</v>
      </c>
      <c r="CH152" t="s">
        <v>321</v>
      </c>
      <c r="CI152" t="s">
        <v>321</v>
      </c>
      <c r="CJ152" t="s">
        <v>321</v>
      </c>
      <c r="CK152" t="s">
        <v>321</v>
      </c>
      <c r="CL152" t="s">
        <v>321</v>
      </c>
      <c r="CM152" t="s">
        <v>321</v>
      </c>
      <c r="CN152" t="s">
        <v>321</v>
      </c>
      <c r="CO152" t="s">
        <v>321</v>
      </c>
      <c r="CP152" t="s">
        <v>321</v>
      </c>
      <c r="CQ152" t="s">
        <v>321</v>
      </c>
      <c r="CR152" t="s">
        <v>321</v>
      </c>
      <c r="CS152" t="s">
        <v>321</v>
      </c>
      <c r="CT152" t="s">
        <v>321</v>
      </c>
      <c r="CU152" t="s">
        <v>321</v>
      </c>
      <c r="CV152" t="s">
        <v>321</v>
      </c>
      <c r="CW152" t="s">
        <v>321</v>
      </c>
      <c r="CX152">
        <v>278096.15120000002</v>
      </c>
      <c r="CY152">
        <v>4925297.841</v>
      </c>
      <c r="CZ152">
        <v>44.446933999999999</v>
      </c>
      <c r="DA152">
        <v>-95.788770999999997</v>
      </c>
      <c r="DB152" s="291">
        <v>44905.208333333336</v>
      </c>
      <c r="DC152" t="s">
        <v>231</v>
      </c>
      <c r="DD152" t="s">
        <v>429</v>
      </c>
      <c r="DE152" t="s">
        <v>876</v>
      </c>
      <c r="DF152" t="s">
        <v>875</v>
      </c>
      <c r="DG152" t="s">
        <v>874</v>
      </c>
      <c r="DH152">
        <v>0</v>
      </c>
      <c r="DI152" t="s">
        <v>327</v>
      </c>
      <c r="DJ152">
        <v>100</v>
      </c>
      <c r="DK152">
        <v>9</v>
      </c>
    </row>
    <row r="153" spans="1:115" x14ac:dyDescent="0.25">
      <c r="A153">
        <v>152</v>
      </c>
      <c r="B153" t="s">
        <v>657</v>
      </c>
      <c r="C153">
        <v>2</v>
      </c>
      <c r="D153">
        <v>173</v>
      </c>
      <c r="E153">
        <v>349423</v>
      </c>
      <c r="F153" t="s">
        <v>570</v>
      </c>
      <c r="G153">
        <v>111</v>
      </c>
      <c r="H153">
        <v>1.7569999999999999</v>
      </c>
      <c r="I153" t="s">
        <v>297</v>
      </c>
      <c r="J153" t="s">
        <v>299</v>
      </c>
      <c r="K153" t="s">
        <v>321</v>
      </c>
      <c r="L153" t="s">
        <v>406</v>
      </c>
      <c r="M153" t="s">
        <v>299</v>
      </c>
      <c r="N153" t="s">
        <v>321</v>
      </c>
      <c r="O153" t="s">
        <v>873</v>
      </c>
      <c r="P153">
        <v>161370067</v>
      </c>
      <c r="Q153" s="290">
        <v>45051</v>
      </c>
      <c r="R153">
        <v>16</v>
      </c>
      <c r="S153">
        <v>2016</v>
      </c>
      <c r="T153" t="s">
        <v>431</v>
      </c>
      <c r="U153">
        <v>11</v>
      </c>
      <c r="V153" t="s">
        <v>459</v>
      </c>
      <c r="W153" t="s">
        <v>320</v>
      </c>
      <c r="X153">
        <v>0</v>
      </c>
      <c r="Y153">
        <v>3</v>
      </c>
      <c r="Z153" t="s">
        <v>476</v>
      </c>
      <c r="AA153" t="s">
        <v>409</v>
      </c>
      <c r="AB153" t="s">
        <v>452</v>
      </c>
      <c r="AC153" t="s">
        <v>433</v>
      </c>
      <c r="AD153" t="s">
        <v>412</v>
      </c>
      <c r="AE153" t="s">
        <v>321</v>
      </c>
      <c r="AF153" t="s">
        <v>434</v>
      </c>
      <c r="AG153" t="s">
        <v>414</v>
      </c>
      <c r="AH153" t="s">
        <v>483</v>
      </c>
      <c r="AI153" t="s">
        <v>321</v>
      </c>
      <c r="AJ153" t="s">
        <v>592</v>
      </c>
      <c r="AK153" t="s">
        <v>447</v>
      </c>
      <c r="AL153" t="s">
        <v>417</v>
      </c>
      <c r="AM153" t="s">
        <v>418</v>
      </c>
      <c r="AN153" t="s">
        <v>461</v>
      </c>
      <c r="AO153" t="s">
        <v>426</v>
      </c>
      <c r="AP153">
        <v>34</v>
      </c>
      <c r="AQ153" t="s">
        <v>420</v>
      </c>
      <c r="AR153" t="s">
        <v>421</v>
      </c>
      <c r="AS153" t="s">
        <v>532</v>
      </c>
      <c r="AT153" t="s">
        <v>321</v>
      </c>
      <c r="AU153" t="s">
        <v>321</v>
      </c>
      <c r="AV153" t="s">
        <v>321</v>
      </c>
      <c r="AW153" t="s">
        <v>441</v>
      </c>
      <c r="AX153" t="s">
        <v>449</v>
      </c>
      <c r="AY153">
        <v>30</v>
      </c>
      <c r="AZ153" t="s">
        <v>423</v>
      </c>
      <c r="BA153" t="s">
        <v>424</v>
      </c>
      <c r="BB153" t="s">
        <v>417</v>
      </c>
      <c r="BC153" t="s">
        <v>425</v>
      </c>
      <c r="BD153" t="s">
        <v>461</v>
      </c>
      <c r="BE153" t="s">
        <v>594</v>
      </c>
      <c r="BF153">
        <v>27</v>
      </c>
      <c r="BG153" t="s">
        <v>420</v>
      </c>
      <c r="BH153" t="s">
        <v>421</v>
      </c>
      <c r="BI153" t="s">
        <v>428</v>
      </c>
      <c r="BJ153" t="s">
        <v>321</v>
      </c>
      <c r="BK153" t="s">
        <v>321</v>
      </c>
      <c r="BL153" t="s">
        <v>321</v>
      </c>
      <c r="BM153" t="s">
        <v>441</v>
      </c>
      <c r="BN153" t="s">
        <v>449</v>
      </c>
      <c r="BO153">
        <v>30</v>
      </c>
      <c r="BP153" t="s">
        <v>423</v>
      </c>
      <c r="BQ153" t="s">
        <v>424</v>
      </c>
      <c r="BR153" t="s">
        <v>417</v>
      </c>
      <c r="BS153" t="s">
        <v>478</v>
      </c>
      <c r="BT153" t="s">
        <v>461</v>
      </c>
      <c r="BU153" t="s">
        <v>594</v>
      </c>
      <c r="BV153">
        <v>22</v>
      </c>
      <c r="BW153" t="s">
        <v>420</v>
      </c>
      <c r="BX153" t="s">
        <v>421</v>
      </c>
      <c r="BY153" t="s">
        <v>428</v>
      </c>
      <c r="BZ153" t="s">
        <v>321</v>
      </c>
      <c r="CA153" t="s">
        <v>321</v>
      </c>
      <c r="CB153" t="s">
        <v>321</v>
      </c>
      <c r="CC153" t="s">
        <v>441</v>
      </c>
      <c r="CD153" t="s">
        <v>449</v>
      </c>
      <c r="CE153">
        <v>30</v>
      </c>
      <c r="CF153" t="s">
        <v>423</v>
      </c>
      <c r="CG153" t="s">
        <v>424</v>
      </c>
      <c r="CH153" t="s">
        <v>321</v>
      </c>
      <c r="CI153" t="s">
        <v>321</v>
      </c>
      <c r="CJ153" t="s">
        <v>321</v>
      </c>
      <c r="CK153" t="s">
        <v>321</v>
      </c>
      <c r="CL153" t="s">
        <v>321</v>
      </c>
      <c r="CM153" t="s">
        <v>321</v>
      </c>
      <c r="CN153" t="s">
        <v>321</v>
      </c>
      <c r="CO153" t="s">
        <v>321</v>
      </c>
      <c r="CP153" t="s">
        <v>321</v>
      </c>
      <c r="CQ153" t="s">
        <v>321</v>
      </c>
      <c r="CR153" t="s">
        <v>321</v>
      </c>
      <c r="CS153" t="s">
        <v>321</v>
      </c>
      <c r="CT153" t="s">
        <v>321</v>
      </c>
      <c r="CU153" t="s">
        <v>321</v>
      </c>
      <c r="CV153" t="s">
        <v>321</v>
      </c>
      <c r="CW153" t="s">
        <v>321</v>
      </c>
      <c r="CX153">
        <v>277917.34889999998</v>
      </c>
      <c r="CY153">
        <v>4925118.852</v>
      </c>
      <c r="CZ153">
        <v>44.445276999999997</v>
      </c>
      <c r="DA153">
        <v>-95.790947000000003</v>
      </c>
      <c r="DB153" s="291">
        <v>42506.458333333336</v>
      </c>
      <c r="DC153" t="s">
        <v>231</v>
      </c>
      <c r="DD153" t="s">
        <v>429</v>
      </c>
      <c r="DE153" t="s">
        <v>455</v>
      </c>
      <c r="DF153" t="s">
        <v>456</v>
      </c>
      <c r="DG153" t="s">
        <v>872</v>
      </c>
      <c r="DH153">
        <v>0</v>
      </c>
      <c r="DI153" t="s">
        <v>333</v>
      </c>
      <c r="DJ153">
        <v>100</v>
      </c>
      <c r="DK153">
        <v>6</v>
      </c>
    </row>
    <row r="154" spans="1:115" x14ac:dyDescent="0.25">
      <c r="A154">
        <v>153</v>
      </c>
      <c r="B154" t="s">
        <v>657</v>
      </c>
      <c r="C154">
        <v>2</v>
      </c>
      <c r="D154">
        <v>174</v>
      </c>
      <c r="E154">
        <v>11059033</v>
      </c>
      <c r="F154" t="s">
        <v>570</v>
      </c>
      <c r="G154">
        <v>111</v>
      </c>
      <c r="H154">
        <v>1.76</v>
      </c>
      <c r="I154" t="s">
        <v>297</v>
      </c>
      <c r="J154" t="s">
        <v>299</v>
      </c>
      <c r="K154" t="s">
        <v>321</v>
      </c>
      <c r="L154" t="s">
        <v>406</v>
      </c>
      <c r="M154" t="s">
        <v>299</v>
      </c>
      <c r="N154" t="s">
        <v>321</v>
      </c>
      <c r="O154" t="s">
        <v>871</v>
      </c>
      <c r="P154">
        <v>151690185</v>
      </c>
      <c r="Q154" s="290">
        <v>45083</v>
      </c>
      <c r="R154">
        <v>18</v>
      </c>
      <c r="S154">
        <v>2015</v>
      </c>
      <c r="T154" t="s">
        <v>458</v>
      </c>
      <c r="U154">
        <v>15</v>
      </c>
      <c r="V154" t="s">
        <v>321</v>
      </c>
      <c r="W154" t="s">
        <v>320</v>
      </c>
      <c r="X154">
        <v>0</v>
      </c>
      <c r="Y154">
        <v>2</v>
      </c>
      <c r="Z154" t="s">
        <v>451</v>
      </c>
      <c r="AA154" t="s">
        <v>409</v>
      </c>
      <c r="AB154" t="s">
        <v>410</v>
      </c>
      <c r="AC154" t="s">
        <v>433</v>
      </c>
      <c r="AD154" t="s">
        <v>412</v>
      </c>
      <c r="AE154" t="s">
        <v>321</v>
      </c>
      <c r="AF154" t="s">
        <v>434</v>
      </c>
      <c r="AG154" t="s">
        <v>414</v>
      </c>
      <c r="AH154" t="s">
        <v>870</v>
      </c>
      <c r="AI154" t="s">
        <v>869</v>
      </c>
      <c r="AJ154" t="s">
        <v>592</v>
      </c>
      <c r="AK154" t="s">
        <v>451</v>
      </c>
      <c r="AL154" t="s">
        <v>417</v>
      </c>
      <c r="AM154" t="s">
        <v>478</v>
      </c>
      <c r="AN154" t="s">
        <v>461</v>
      </c>
      <c r="AO154" t="s">
        <v>419</v>
      </c>
      <c r="AP154">
        <v>37</v>
      </c>
      <c r="AQ154" t="s">
        <v>427</v>
      </c>
      <c r="AR154" t="s">
        <v>421</v>
      </c>
      <c r="AS154" t="s">
        <v>428</v>
      </c>
      <c r="AT154" t="s">
        <v>321</v>
      </c>
      <c r="AU154" t="s">
        <v>321</v>
      </c>
      <c r="AV154" t="s">
        <v>321</v>
      </c>
      <c r="AW154" t="s">
        <v>805</v>
      </c>
      <c r="AX154" t="s">
        <v>422</v>
      </c>
      <c r="AY154">
        <v>30</v>
      </c>
      <c r="AZ154" t="s">
        <v>423</v>
      </c>
      <c r="BA154" t="s">
        <v>424</v>
      </c>
      <c r="BB154" t="s">
        <v>417</v>
      </c>
      <c r="BC154" t="s">
        <v>868</v>
      </c>
      <c r="BD154" t="s">
        <v>472</v>
      </c>
      <c r="BE154" t="s">
        <v>426</v>
      </c>
      <c r="BF154">
        <v>25</v>
      </c>
      <c r="BG154" t="s">
        <v>420</v>
      </c>
      <c r="BH154" t="s">
        <v>421</v>
      </c>
      <c r="BI154" t="s">
        <v>321</v>
      </c>
      <c r="BJ154" t="s">
        <v>321</v>
      </c>
      <c r="BK154" t="s">
        <v>321</v>
      </c>
      <c r="BL154" t="s">
        <v>321</v>
      </c>
      <c r="BM154" t="s">
        <v>805</v>
      </c>
      <c r="BN154" t="s">
        <v>422</v>
      </c>
      <c r="BO154">
        <v>30</v>
      </c>
      <c r="BP154" t="s">
        <v>423</v>
      </c>
      <c r="BQ154" t="s">
        <v>424</v>
      </c>
      <c r="BR154" t="s">
        <v>321</v>
      </c>
      <c r="BS154" t="s">
        <v>321</v>
      </c>
      <c r="BT154" t="s">
        <v>321</v>
      </c>
      <c r="BU154" t="s">
        <v>321</v>
      </c>
      <c r="BV154" t="s">
        <v>321</v>
      </c>
      <c r="BW154" t="s">
        <v>321</v>
      </c>
      <c r="BX154" t="s">
        <v>321</v>
      </c>
      <c r="BY154" t="s">
        <v>321</v>
      </c>
      <c r="BZ154" t="s">
        <v>321</v>
      </c>
      <c r="CA154" t="s">
        <v>321</v>
      </c>
      <c r="CB154" t="s">
        <v>321</v>
      </c>
      <c r="CC154" t="s">
        <v>321</v>
      </c>
      <c r="CD154" t="s">
        <v>321</v>
      </c>
      <c r="CE154" t="s">
        <v>321</v>
      </c>
      <c r="CF154" t="s">
        <v>321</v>
      </c>
      <c r="CG154" t="s">
        <v>321</v>
      </c>
      <c r="CH154" t="s">
        <v>321</v>
      </c>
      <c r="CI154" t="s">
        <v>321</v>
      </c>
      <c r="CJ154" t="s">
        <v>321</v>
      </c>
      <c r="CK154" t="s">
        <v>321</v>
      </c>
      <c r="CL154" t="s">
        <v>321</v>
      </c>
      <c r="CM154" t="s">
        <v>321</v>
      </c>
      <c r="CN154" t="s">
        <v>321</v>
      </c>
      <c r="CO154" t="s">
        <v>321</v>
      </c>
      <c r="CP154" t="s">
        <v>321</v>
      </c>
      <c r="CQ154" t="s">
        <v>321</v>
      </c>
      <c r="CR154" t="s">
        <v>321</v>
      </c>
      <c r="CS154" t="s">
        <v>321</v>
      </c>
      <c r="CT154" t="s">
        <v>321</v>
      </c>
      <c r="CU154" t="s">
        <v>321</v>
      </c>
      <c r="CV154" t="s">
        <v>321</v>
      </c>
      <c r="CW154" t="s">
        <v>321</v>
      </c>
      <c r="CX154">
        <v>277914.26799999998</v>
      </c>
      <c r="CY154">
        <v>4925121.8289999999</v>
      </c>
      <c r="CZ154">
        <v>44.445303000000003</v>
      </c>
      <c r="DA154">
        <v>-95.790987000000001</v>
      </c>
      <c r="DB154" s="291">
        <v>42173.625</v>
      </c>
      <c r="DC154" t="s">
        <v>231</v>
      </c>
      <c r="DD154" t="s">
        <v>429</v>
      </c>
      <c r="DE154" t="s">
        <v>430</v>
      </c>
      <c r="DF154" t="s">
        <v>430</v>
      </c>
      <c r="DG154" t="s">
        <v>867</v>
      </c>
      <c r="DH154">
        <v>0</v>
      </c>
      <c r="DI154" t="s">
        <v>333</v>
      </c>
      <c r="DJ154">
        <v>100</v>
      </c>
      <c r="DK154">
        <v>6</v>
      </c>
    </row>
    <row r="155" spans="1:115" x14ac:dyDescent="0.25">
      <c r="A155">
        <v>154</v>
      </c>
      <c r="B155" t="s">
        <v>657</v>
      </c>
      <c r="C155">
        <v>2</v>
      </c>
      <c r="D155">
        <v>175</v>
      </c>
      <c r="E155">
        <v>11071019</v>
      </c>
      <c r="F155" t="s">
        <v>570</v>
      </c>
      <c r="G155">
        <v>111</v>
      </c>
      <c r="H155">
        <v>1.76</v>
      </c>
      <c r="I155" t="s">
        <v>297</v>
      </c>
      <c r="J155" t="s">
        <v>299</v>
      </c>
      <c r="K155" t="s">
        <v>321</v>
      </c>
      <c r="L155" t="s">
        <v>406</v>
      </c>
      <c r="M155" t="s">
        <v>299</v>
      </c>
      <c r="N155" t="s">
        <v>321</v>
      </c>
      <c r="O155">
        <v>15018823</v>
      </c>
      <c r="P155">
        <v>152850071</v>
      </c>
      <c r="Q155" s="290">
        <v>45209</v>
      </c>
      <c r="R155">
        <v>12</v>
      </c>
      <c r="S155">
        <v>2015</v>
      </c>
      <c r="T155" t="s">
        <v>431</v>
      </c>
      <c r="U155">
        <v>6</v>
      </c>
      <c r="V155" t="s">
        <v>321</v>
      </c>
      <c r="W155" t="s">
        <v>318</v>
      </c>
      <c r="X155">
        <v>0</v>
      </c>
      <c r="Y155">
        <v>2</v>
      </c>
      <c r="Z155" t="s">
        <v>797</v>
      </c>
      <c r="AA155" t="s">
        <v>409</v>
      </c>
      <c r="AB155" t="s">
        <v>452</v>
      </c>
      <c r="AC155" t="s">
        <v>411</v>
      </c>
      <c r="AD155" t="s">
        <v>446</v>
      </c>
      <c r="AE155" t="s">
        <v>321</v>
      </c>
      <c r="AF155" t="s">
        <v>434</v>
      </c>
      <c r="AG155" t="s">
        <v>414</v>
      </c>
      <c r="AH155" t="s">
        <v>866</v>
      </c>
      <c r="AI155" t="s">
        <v>865</v>
      </c>
      <c r="AJ155" t="s">
        <v>592</v>
      </c>
      <c r="AK155" t="s">
        <v>447</v>
      </c>
      <c r="AL155" t="s">
        <v>417</v>
      </c>
      <c r="AM155" t="s">
        <v>478</v>
      </c>
      <c r="AN155" t="s">
        <v>864</v>
      </c>
      <c r="AO155" t="s">
        <v>426</v>
      </c>
      <c r="AP155">
        <v>23</v>
      </c>
      <c r="AQ155" t="s">
        <v>427</v>
      </c>
      <c r="AR155" t="s">
        <v>421</v>
      </c>
      <c r="AS155" t="s">
        <v>321</v>
      </c>
      <c r="AT155" t="s">
        <v>321</v>
      </c>
      <c r="AU155" t="s">
        <v>321</v>
      </c>
      <c r="AV155" t="s">
        <v>321</v>
      </c>
      <c r="AW155" t="s">
        <v>850</v>
      </c>
      <c r="AX155" t="s">
        <v>449</v>
      </c>
      <c r="AY155">
        <v>30</v>
      </c>
      <c r="AZ155" t="s">
        <v>423</v>
      </c>
      <c r="BA155" t="s">
        <v>424</v>
      </c>
      <c r="BB155" t="s">
        <v>417</v>
      </c>
      <c r="BC155" t="s">
        <v>478</v>
      </c>
      <c r="BD155" t="s">
        <v>864</v>
      </c>
      <c r="BE155" t="s">
        <v>794</v>
      </c>
      <c r="BF155">
        <v>20</v>
      </c>
      <c r="BG155" t="s">
        <v>420</v>
      </c>
      <c r="BH155" t="s">
        <v>421</v>
      </c>
      <c r="BI155" t="s">
        <v>428</v>
      </c>
      <c r="BJ155" t="s">
        <v>321</v>
      </c>
      <c r="BK155" t="s">
        <v>321</v>
      </c>
      <c r="BL155" t="s">
        <v>321</v>
      </c>
      <c r="BM155" t="s">
        <v>850</v>
      </c>
      <c r="BN155" t="s">
        <v>449</v>
      </c>
      <c r="BO155">
        <v>30</v>
      </c>
      <c r="BP155" t="s">
        <v>423</v>
      </c>
      <c r="BQ155" t="s">
        <v>424</v>
      </c>
      <c r="BR155" t="s">
        <v>321</v>
      </c>
      <c r="BS155" t="s">
        <v>321</v>
      </c>
      <c r="BT155" t="s">
        <v>321</v>
      </c>
      <c r="BU155" t="s">
        <v>321</v>
      </c>
      <c r="BV155" t="s">
        <v>321</v>
      </c>
      <c r="BW155" t="s">
        <v>321</v>
      </c>
      <c r="BX155" t="s">
        <v>321</v>
      </c>
      <c r="BY155" t="s">
        <v>321</v>
      </c>
      <c r="BZ155" t="s">
        <v>321</v>
      </c>
      <c r="CA155" t="s">
        <v>321</v>
      </c>
      <c r="CB155" t="s">
        <v>321</v>
      </c>
      <c r="CC155" t="s">
        <v>321</v>
      </c>
      <c r="CD155" t="s">
        <v>321</v>
      </c>
      <c r="CE155" t="s">
        <v>321</v>
      </c>
      <c r="CF155" t="s">
        <v>321</v>
      </c>
      <c r="CG155" t="s">
        <v>321</v>
      </c>
      <c r="CH155" t="s">
        <v>321</v>
      </c>
      <c r="CI155" t="s">
        <v>321</v>
      </c>
      <c r="CJ155" t="s">
        <v>321</v>
      </c>
      <c r="CK155" t="s">
        <v>321</v>
      </c>
      <c r="CL155" t="s">
        <v>321</v>
      </c>
      <c r="CM155" t="s">
        <v>321</v>
      </c>
      <c r="CN155" t="s">
        <v>321</v>
      </c>
      <c r="CO155" t="s">
        <v>321</v>
      </c>
      <c r="CP155" t="s">
        <v>321</v>
      </c>
      <c r="CQ155" t="s">
        <v>321</v>
      </c>
      <c r="CR155" t="s">
        <v>321</v>
      </c>
      <c r="CS155" t="s">
        <v>321</v>
      </c>
      <c r="CT155" t="s">
        <v>321</v>
      </c>
      <c r="CU155" t="s">
        <v>321</v>
      </c>
      <c r="CV155" t="s">
        <v>321</v>
      </c>
      <c r="CW155" t="s">
        <v>321</v>
      </c>
      <c r="CX155">
        <v>277914.26799999998</v>
      </c>
      <c r="CY155">
        <v>4925121.8289999999</v>
      </c>
      <c r="CZ155">
        <v>44.445303000000003</v>
      </c>
      <c r="DA155">
        <v>-95.790987000000001</v>
      </c>
      <c r="DB155" s="291">
        <v>42289.290277777778</v>
      </c>
      <c r="DC155" t="s">
        <v>231</v>
      </c>
      <c r="DD155" t="s">
        <v>429</v>
      </c>
      <c r="DE155" t="s">
        <v>430</v>
      </c>
      <c r="DF155" t="s">
        <v>430</v>
      </c>
      <c r="DG155" t="s">
        <v>863</v>
      </c>
      <c r="DH155">
        <v>0</v>
      </c>
      <c r="DI155" t="s">
        <v>333</v>
      </c>
      <c r="DJ155">
        <v>100</v>
      </c>
      <c r="DK155">
        <v>6</v>
      </c>
    </row>
    <row r="156" spans="1:115" x14ac:dyDescent="0.25">
      <c r="A156">
        <v>155</v>
      </c>
      <c r="B156" t="s">
        <v>657</v>
      </c>
      <c r="C156">
        <v>2</v>
      </c>
      <c r="D156">
        <v>176</v>
      </c>
      <c r="E156">
        <v>396545</v>
      </c>
      <c r="F156" t="s">
        <v>570</v>
      </c>
      <c r="G156">
        <v>111</v>
      </c>
      <c r="H156">
        <v>1.7609999999999999</v>
      </c>
      <c r="I156" t="s">
        <v>297</v>
      </c>
      <c r="J156" t="s">
        <v>299</v>
      </c>
      <c r="K156" t="s">
        <v>321</v>
      </c>
      <c r="L156" t="s">
        <v>406</v>
      </c>
      <c r="M156" t="s">
        <v>299</v>
      </c>
      <c r="N156" t="s">
        <v>321</v>
      </c>
      <c r="O156" s="292">
        <v>202000000000</v>
      </c>
      <c r="P156">
        <v>163260078</v>
      </c>
      <c r="Q156" s="290">
        <v>45241</v>
      </c>
      <c r="R156">
        <v>21</v>
      </c>
      <c r="S156">
        <v>2016</v>
      </c>
      <c r="T156" t="s">
        <v>431</v>
      </c>
      <c r="U156">
        <v>12</v>
      </c>
      <c r="V156" t="s">
        <v>466</v>
      </c>
      <c r="W156" t="s">
        <v>320</v>
      </c>
      <c r="X156">
        <v>0</v>
      </c>
      <c r="Y156">
        <v>2</v>
      </c>
      <c r="Z156" t="s">
        <v>451</v>
      </c>
      <c r="AA156" t="s">
        <v>409</v>
      </c>
      <c r="AB156" t="s">
        <v>452</v>
      </c>
      <c r="AC156" t="s">
        <v>433</v>
      </c>
      <c r="AD156" t="s">
        <v>412</v>
      </c>
      <c r="AE156" t="s">
        <v>321</v>
      </c>
      <c r="AF156" t="s">
        <v>523</v>
      </c>
      <c r="AG156" t="s">
        <v>414</v>
      </c>
      <c r="AH156" t="s">
        <v>483</v>
      </c>
      <c r="AI156" t="s">
        <v>321</v>
      </c>
      <c r="AJ156" t="s">
        <v>592</v>
      </c>
      <c r="AK156" t="s">
        <v>451</v>
      </c>
      <c r="AL156" t="s">
        <v>417</v>
      </c>
      <c r="AM156" t="s">
        <v>418</v>
      </c>
      <c r="AN156" t="s">
        <v>472</v>
      </c>
      <c r="AO156" t="s">
        <v>426</v>
      </c>
      <c r="AP156">
        <v>36</v>
      </c>
      <c r="AQ156" t="s">
        <v>427</v>
      </c>
      <c r="AR156" t="s">
        <v>421</v>
      </c>
      <c r="AS156" t="s">
        <v>428</v>
      </c>
      <c r="AT156" t="s">
        <v>321</v>
      </c>
      <c r="AU156" t="s">
        <v>321</v>
      </c>
      <c r="AV156" t="s">
        <v>321</v>
      </c>
      <c r="AW156" t="s">
        <v>441</v>
      </c>
      <c r="AX156" t="s">
        <v>449</v>
      </c>
      <c r="AY156">
        <v>30</v>
      </c>
      <c r="AZ156" t="s">
        <v>423</v>
      </c>
      <c r="BA156" t="s">
        <v>424</v>
      </c>
      <c r="BB156" t="s">
        <v>417</v>
      </c>
      <c r="BC156" t="s">
        <v>478</v>
      </c>
      <c r="BD156" t="s">
        <v>453</v>
      </c>
      <c r="BE156" t="s">
        <v>426</v>
      </c>
      <c r="BF156">
        <v>54</v>
      </c>
      <c r="BG156" t="s">
        <v>427</v>
      </c>
      <c r="BH156" t="s">
        <v>421</v>
      </c>
      <c r="BI156" t="s">
        <v>473</v>
      </c>
      <c r="BJ156" t="s">
        <v>321</v>
      </c>
      <c r="BK156" t="s">
        <v>321</v>
      </c>
      <c r="BL156" t="s">
        <v>321</v>
      </c>
      <c r="BM156" t="s">
        <v>544</v>
      </c>
      <c r="BN156" t="s">
        <v>449</v>
      </c>
      <c r="BO156">
        <v>30</v>
      </c>
      <c r="BP156" t="s">
        <v>423</v>
      </c>
      <c r="BQ156" t="s">
        <v>424</v>
      </c>
      <c r="BR156" t="s">
        <v>321</v>
      </c>
      <c r="BS156" t="s">
        <v>321</v>
      </c>
      <c r="BT156" t="s">
        <v>321</v>
      </c>
      <c r="BU156" t="s">
        <v>321</v>
      </c>
      <c r="BV156" t="s">
        <v>321</v>
      </c>
      <c r="BW156" t="s">
        <v>321</v>
      </c>
      <c r="BX156" t="s">
        <v>321</v>
      </c>
      <c r="BY156" t="s">
        <v>321</v>
      </c>
      <c r="BZ156" t="s">
        <v>321</v>
      </c>
      <c r="CA156" t="s">
        <v>321</v>
      </c>
      <c r="CB156" t="s">
        <v>321</v>
      </c>
      <c r="CC156" t="s">
        <v>321</v>
      </c>
      <c r="CD156" t="s">
        <v>321</v>
      </c>
      <c r="CE156" t="s">
        <v>321</v>
      </c>
      <c r="CF156" t="s">
        <v>321</v>
      </c>
      <c r="CG156" t="s">
        <v>321</v>
      </c>
      <c r="CH156" t="s">
        <v>321</v>
      </c>
      <c r="CI156" t="s">
        <v>321</v>
      </c>
      <c r="CJ156" t="s">
        <v>321</v>
      </c>
      <c r="CK156" t="s">
        <v>321</v>
      </c>
      <c r="CL156" t="s">
        <v>321</v>
      </c>
      <c r="CM156" t="s">
        <v>321</v>
      </c>
      <c r="CN156" t="s">
        <v>321</v>
      </c>
      <c r="CO156" t="s">
        <v>321</v>
      </c>
      <c r="CP156" t="s">
        <v>321</v>
      </c>
      <c r="CQ156" t="s">
        <v>321</v>
      </c>
      <c r="CR156" t="s">
        <v>321</v>
      </c>
      <c r="CS156" t="s">
        <v>321</v>
      </c>
      <c r="CT156" t="s">
        <v>321</v>
      </c>
      <c r="CU156" t="s">
        <v>321</v>
      </c>
      <c r="CV156" t="s">
        <v>321</v>
      </c>
      <c r="CW156" t="s">
        <v>321</v>
      </c>
      <c r="CX156">
        <v>277913.23330000002</v>
      </c>
      <c r="CY156">
        <v>4925122.8689999999</v>
      </c>
      <c r="CZ156">
        <v>44.445312000000001</v>
      </c>
      <c r="DA156">
        <v>-95.791000999999994</v>
      </c>
      <c r="DB156" s="291">
        <v>42695.517361111109</v>
      </c>
      <c r="DC156" t="s">
        <v>231</v>
      </c>
      <c r="DD156" t="s">
        <v>429</v>
      </c>
      <c r="DE156" t="s">
        <v>455</v>
      </c>
      <c r="DF156" t="s">
        <v>456</v>
      </c>
      <c r="DG156" t="s">
        <v>862</v>
      </c>
      <c r="DH156">
        <v>0</v>
      </c>
      <c r="DI156" t="s">
        <v>333</v>
      </c>
      <c r="DJ156">
        <v>100</v>
      </c>
      <c r="DK156">
        <v>6</v>
      </c>
    </row>
    <row r="157" spans="1:115" x14ac:dyDescent="0.25">
      <c r="A157">
        <v>156</v>
      </c>
      <c r="B157" t="s">
        <v>657</v>
      </c>
      <c r="C157">
        <v>1</v>
      </c>
      <c r="D157">
        <v>177</v>
      </c>
      <c r="E157">
        <v>1007888</v>
      </c>
      <c r="F157" t="s">
        <v>570</v>
      </c>
      <c r="G157">
        <v>107</v>
      </c>
      <c r="H157">
        <v>0.75900000000000001</v>
      </c>
      <c r="I157" t="s">
        <v>297</v>
      </c>
      <c r="J157" t="s">
        <v>299</v>
      </c>
      <c r="K157" t="s">
        <v>321</v>
      </c>
      <c r="L157" t="s">
        <v>406</v>
      </c>
      <c r="M157" t="s">
        <v>299</v>
      </c>
      <c r="N157" t="s">
        <v>321</v>
      </c>
      <c r="O157" s="292">
        <v>202000000000</v>
      </c>
      <c r="P157">
        <v>220480154</v>
      </c>
      <c r="Q157" s="290">
        <v>44959</v>
      </c>
      <c r="R157">
        <v>17</v>
      </c>
      <c r="S157">
        <v>2022</v>
      </c>
      <c r="T157" t="s">
        <v>458</v>
      </c>
      <c r="U157">
        <v>17</v>
      </c>
      <c r="V157" t="s">
        <v>422</v>
      </c>
      <c r="W157" t="s">
        <v>320</v>
      </c>
      <c r="X157">
        <v>0</v>
      </c>
      <c r="Y157">
        <v>2</v>
      </c>
      <c r="Z157" t="s">
        <v>451</v>
      </c>
      <c r="AA157" t="s">
        <v>409</v>
      </c>
      <c r="AB157" t="s">
        <v>452</v>
      </c>
      <c r="AC157" t="s">
        <v>433</v>
      </c>
      <c r="AD157" t="s">
        <v>412</v>
      </c>
      <c r="AE157" t="s">
        <v>321</v>
      </c>
      <c r="AF157" t="s">
        <v>434</v>
      </c>
      <c r="AG157" t="s">
        <v>414</v>
      </c>
      <c r="AH157" t="s">
        <v>571</v>
      </c>
      <c r="AI157" t="s">
        <v>321</v>
      </c>
      <c r="AJ157" t="s">
        <v>572</v>
      </c>
      <c r="AK157" t="s">
        <v>451</v>
      </c>
      <c r="AL157" t="s">
        <v>417</v>
      </c>
      <c r="AM157" t="s">
        <v>425</v>
      </c>
      <c r="AN157" t="s">
        <v>472</v>
      </c>
      <c r="AO157" t="s">
        <v>426</v>
      </c>
      <c r="AP157">
        <v>25</v>
      </c>
      <c r="AQ157" t="s">
        <v>427</v>
      </c>
      <c r="AR157" t="s">
        <v>421</v>
      </c>
      <c r="AS157" t="s">
        <v>462</v>
      </c>
      <c r="AT157" t="s">
        <v>321</v>
      </c>
      <c r="AU157" t="s">
        <v>321</v>
      </c>
      <c r="AV157" t="s">
        <v>321</v>
      </c>
      <c r="AW157" t="s">
        <v>441</v>
      </c>
      <c r="AX157" t="s">
        <v>449</v>
      </c>
      <c r="AY157">
        <v>30</v>
      </c>
      <c r="AZ157" t="s">
        <v>423</v>
      </c>
      <c r="BA157" t="s">
        <v>589</v>
      </c>
      <c r="BB157" t="s">
        <v>417</v>
      </c>
      <c r="BC157" t="s">
        <v>418</v>
      </c>
      <c r="BD157" t="s">
        <v>448</v>
      </c>
      <c r="BE157" t="s">
        <v>419</v>
      </c>
      <c r="BF157">
        <v>51</v>
      </c>
      <c r="BG157" t="s">
        <v>427</v>
      </c>
      <c r="BH157" t="s">
        <v>421</v>
      </c>
      <c r="BI157" t="s">
        <v>428</v>
      </c>
      <c r="BJ157" t="s">
        <v>321</v>
      </c>
      <c r="BK157" t="s">
        <v>321</v>
      </c>
      <c r="BL157" t="s">
        <v>321</v>
      </c>
      <c r="BM157" t="s">
        <v>441</v>
      </c>
      <c r="BN157" t="s">
        <v>449</v>
      </c>
      <c r="BO157">
        <v>30</v>
      </c>
      <c r="BP157" t="s">
        <v>423</v>
      </c>
      <c r="BQ157" t="s">
        <v>589</v>
      </c>
      <c r="BR157" t="s">
        <v>321</v>
      </c>
      <c r="BS157" t="s">
        <v>321</v>
      </c>
      <c r="BT157" t="s">
        <v>321</v>
      </c>
      <c r="BU157" t="s">
        <v>321</v>
      </c>
      <c r="BV157" t="s">
        <v>321</v>
      </c>
      <c r="BW157" t="s">
        <v>321</v>
      </c>
      <c r="BX157" t="s">
        <v>321</v>
      </c>
      <c r="BY157" t="s">
        <v>321</v>
      </c>
      <c r="BZ157" t="s">
        <v>321</v>
      </c>
      <c r="CA157" t="s">
        <v>321</v>
      </c>
      <c r="CB157" t="s">
        <v>321</v>
      </c>
      <c r="CC157" t="s">
        <v>321</v>
      </c>
      <c r="CD157" t="s">
        <v>321</v>
      </c>
      <c r="CE157" t="s">
        <v>321</v>
      </c>
      <c r="CF157" t="s">
        <v>321</v>
      </c>
      <c r="CG157" t="s">
        <v>321</v>
      </c>
      <c r="CH157" t="s">
        <v>321</v>
      </c>
      <c r="CI157" t="s">
        <v>321</v>
      </c>
      <c r="CJ157" t="s">
        <v>321</v>
      </c>
      <c r="CK157" t="s">
        <v>321</v>
      </c>
      <c r="CL157" t="s">
        <v>321</v>
      </c>
      <c r="CM157" t="s">
        <v>321</v>
      </c>
      <c r="CN157" t="s">
        <v>321</v>
      </c>
      <c r="CO157" t="s">
        <v>321</v>
      </c>
      <c r="CP157" t="s">
        <v>321</v>
      </c>
      <c r="CQ157" t="s">
        <v>321</v>
      </c>
      <c r="CR157" t="s">
        <v>321</v>
      </c>
      <c r="CS157" t="s">
        <v>321</v>
      </c>
      <c r="CT157" t="s">
        <v>321</v>
      </c>
      <c r="CU157" t="s">
        <v>321</v>
      </c>
      <c r="CV157" t="s">
        <v>321</v>
      </c>
      <c r="CW157" t="s">
        <v>321</v>
      </c>
      <c r="CX157">
        <v>279106.891</v>
      </c>
      <c r="CY157">
        <v>4925648.3859999999</v>
      </c>
      <c r="CZ157">
        <v>44.450403000000001</v>
      </c>
      <c r="DA157">
        <v>-95.776240999999999</v>
      </c>
      <c r="DB157" s="291">
        <v>44609.71597222222</v>
      </c>
      <c r="DC157" t="s">
        <v>231</v>
      </c>
      <c r="DD157" t="s">
        <v>429</v>
      </c>
      <c r="DE157" t="s">
        <v>455</v>
      </c>
      <c r="DF157" t="s">
        <v>456</v>
      </c>
      <c r="DG157" t="s">
        <v>861</v>
      </c>
      <c r="DH157">
        <v>0</v>
      </c>
      <c r="DI157" t="s">
        <v>322</v>
      </c>
      <c r="DJ157">
        <v>100</v>
      </c>
      <c r="DK157">
        <v>15</v>
      </c>
    </row>
    <row r="158" spans="1:115" x14ac:dyDescent="0.25">
      <c r="A158">
        <v>157</v>
      </c>
      <c r="B158" t="s">
        <v>657</v>
      </c>
      <c r="C158">
        <v>1</v>
      </c>
      <c r="D158">
        <v>178</v>
      </c>
      <c r="E158">
        <v>671355</v>
      </c>
      <c r="F158" t="s">
        <v>570</v>
      </c>
      <c r="G158">
        <v>112</v>
      </c>
      <c r="H158">
        <v>0.13800000000000001</v>
      </c>
      <c r="I158" t="s">
        <v>297</v>
      </c>
      <c r="J158" t="s">
        <v>299</v>
      </c>
      <c r="K158" t="s">
        <v>321</v>
      </c>
      <c r="L158" t="s">
        <v>406</v>
      </c>
      <c r="M158" t="s">
        <v>299</v>
      </c>
      <c r="N158" t="s">
        <v>321</v>
      </c>
      <c r="O158">
        <v>18022769</v>
      </c>
      <c r="P158">
        <v>183610068</v>
      </c>
      <c r="Q158" s="290">
        <v>45272</v>
      </c>
      <c r="R158">
        <v>27</v>
      </c>
      <c r="S158">
        <v>2018</v>
      </c>
      <c r="T158" t="s">
        <v>458</v>
      </c>
      <c r="U158">
        <v>8</v>
      </c>
      <c r="V158" t="s">
        <v>422</v>
      </c>
      <c r="W158" t="s">
        <v>320</v>
      </c>
      <c r="X158">
        <v>0</v>
      </c>
      <c r="Y158">
        <v>1</v>
      </c>
      <c r="Z158" t="s">
        <v>321</v>
      </c>
      <c r="AA158" t="s">
        <v>557</v>
      </c>
      <c r="AB158" t="s">
        <v>410</v>
      </c>
      <c r="AC158" t="s">
        <v>433</v>
      </c>
      <c r="AD158" t="s">
        <v>467</v>
      </c>
      <c r="AE158" t="s">
        <v>522</v>
      </c>
      <c r="AF158" t="s">
        <v>413</v>
      </c>
      <c r="AG158" t="s">
        <v>414</v>
      </c>
      <c r="AH158" t="s">
        <v>860</v>
      </c>
      <c r="AI158" t="s">
        <v>321</v>
      </c>
      <c r="AJ158" t="s">
        <v>855</v>
      </c>
      <c r="AK158" t="s">
        <v>436</v>
      </c>
      <c r="AL158" t="s">
        <v>417</v>
      </c>
      <c r="AM158" t="s">
        <v>425</v>
      </c>
      <c r="AN158" t="s">
        <v>461</v>
      </c>
      <c r="AO158" t="s">
        <v>419</v>
      </c>
      <c r="AP158">
        <v>44</v>
      </c>
      <c r="AQ158" t="s">
        <v>427</v>
      </c>
      <c r="AR158" t="s">
        <v>421</v>
      </c>
      <c r="AS158" t="s">
        <v>462</v>
      </c>
      <c r="AT158" t="s">
        <v>846</v>
      </c>
      <c r="AU158" t="s">
        <v>321</v>
      </c>
      <c r="AV158" t="s">
        <v>321</v>
      </c>
      <c r="AW158" t="s">
        <v>463</v>
      </c>
      <c r="AX158" t="s">
        <v>442</v>
      </c>
      <c r="AY158">
        <v>30</v>
      </c>
      <c r="AZ158" t="s">
        <v>536</v>
      </c>
      <c r="BA158" t="s">
        <v>424</v>
      </c>
      <c r="BB158" t="s">
        <v>321</v>
      </c>
      <c r="BC158" t="s">
        <v>321</v>
      </c>
      <c r="BD158" t="s">
        <v>321</v>
      </c>
      <c r="BE158" t="s">
        <v>321</v>
      </c>
      <c r="BF158" t="s">
        <v>321</v>
      </c>
      <c r="BG158" t="s">
        <v>321</v>
      </c>
      <c r="BH158" t="s">
        <v>321</v>
      </c>
      <c r="BI158" t="s">
        <v>321</v>
      </c>
      <c r="BJ158" t="s">
        <v>321</v>
      </c>
      <c r="BK158" t="s">
        <v>321</v>
      </c>
      <c r="BL158" t="s">
        <v>321</v>
      </c>
      <c r="BM158" t="s">
        <v>321</v>
      </c>
      <c r="BN158" t="s">
        <v>321</v>
      </c>
      <c r="BO158" t="s">
        <v>321</v>
      </c>
      <c r="BP158" t="s">
        <v>321</v>
      </c>
      <c r="BQ158" t="s">
        <v>321</v>
      </c>
      <c r="BR158" t="s">
        <v>321</v>
      </c>
      <c r="BS158" t="s">
        <v>321</v>
      </c>
      <c r="BT158" t="s">
        <v>321</v>
      </c>
      <c r="BU158" t="s">
        <v>321</v>
      </c>
      <c r="BV158" t="s">
        <v>321</v>
      </c>
      <c r="BW158" t="s">
        <v>321</v>
      </c>
      <c r="BX158" t="s">
        <v>321</v>
      </c>
      <c r="BY158" t="s">
        <v>321</v>
      </c>
      <c r="BZ158" t="s">
        <v>321</v>
      </c>
      <c r="CA158" t="s">
        <v>321</v>
      </c>
      <c r="CB158" t="s">
        <v>321</v>
      </c>
      <c r="CC158" t="s">
        <v>321</v>
      </c>
      <c r="CD158" t="s">
        <v>321</v>
      </c>
      <c r="CE158" t="s">
        <v>321</v>
      </c>
      <c r="CF158" t="s">
        <v>321</v>
      </c>
      <c r="CG158" t="s">
        <v>321</v>
      </c>
      <c r="CH158" t="s">
        <v>321</v>
      </c>
      <c r="CI158" t="s">
        <v>321</v>
      </c>
      <c r="CJ158" t="s">
        <v>321</v>
      </c>
      <c r="CK158" t="s">
        <v>321</v>
      </c>
      <c r="CL158" t="s">
        <v>321</v>
      </c>
      <c r="CM158" t="s">
        <v>321</v>
      </c>
      <c r="CN158" t="s">
        <v>321</v>
      </c>
      <c r="CO158" t="s">
        <v>321</v>
      </c>
      <c r="CP158" t="s">
        <v>321</v>
      </c>
      <c r="CQ158" t="s">
        <v>321</v>
      </c>
      <c r="CR158" t="s">
        <v>321</v>
      </c>
      <c r="CS158" t="s">
        <v>321</v>
      </c>
      <c r="CT158" t="s">
        <v>321</v>
      </c>
      <c r="CU158" t="s">
        <v>321</v>
      </c>
      <c r="CV158" t="s">
        <v>321</v>
      </c>
      <c r="CW158" t="s">
        <v>321</v>
      </c>
      <c r="CX158">
        <v>278436.09669999999</v>
      </c>
      <c r="CY158">
        <v>4925626.9639999997</v>
      </c>
      <c r="CZ158">
        <v>44.450004999999997</v>
      </c>
      <c r="DA158">
        <v>-95.784653000000006</v>
      </c>
      <c r="DB158" s="291">
        <v>43461.350694444445</v>
      </c>
      <c r="DC158" t="s">
        <v>231</v>
      </c>
      <c r="DD158" t="s">
        <v>429</v>
      </c>
      <c r="DE158" t="s">
        <v>455</v>
      </c>
      <c r="DF158" t="s">
        <v>456</v>
      </c>
      <c r="DG158" t="s">
        <v>859</v>
      </c>
      <c r="DH158">
        <v>0</v>
      </c>
      <c r="DI158" t="s">
        <v>330</v>
      </c>
      <c r="DJ158">
        <v>100</v>
      </c>
      <c r="DK158">
        <v>11</v>
      </c>
    </row>
    <row r="159" spans="1:115" x14ac:dyDescent="0.25">
      <c r="A159">
        <v>158</v>
      </c>
      <c r="B159" t="s">
        <v>657</v>
      </c>
      <c r="C159">
        <v>1</v>
      </c>
      <c r="D159">
        <v>179</v>
      </c>
      <c r="E159">
        <v>11048882</v>
      </c>
      <c r="F159" t="s">
        <v>570</v>
      </c>
      <c r="G159">
        <v>112</v>
      </c>
      <c r="H159">
        <v>0.13900000000000001</v>
      </c>
      <c r="I159" t="s">
        <v>297</v>
      </c>
      <c r="J159" t="s">
        <v>299</v>
      </c>
      <c r="K159" t="s">
        <v>321</v>
      </c>
      <c r="L159" t="s">
        <v>406</v>
      </c>
      <c r="M159" t="s">
        <v>299</v>
      </c>
      <c r="N159" t="s">
        <v>321</v>
      </c>
      <c r="O159" t="s">
        <v>858</v>
      </c>
      <c r="P159">
        <v>150810122</v>
      </c>
      <c r="Q159" s="290">
        <v>44988</v>
      </c>
      <c r="R159">
        <v>22</v>
      </c>
      <c r="S159">
        <v>2015</v>
      </c>
      <c r="T159" t="s">
        <v>489</v>
      </c>
      <c r="U159">
        <v>20</v>
      </c>
      <c r="V159" t="s">
        <v>321</v>
      </c>
      <c r="W159" t="s">
        <v>320</v>
      </c>
      <c r="X159">
        <v>0</v>
      </c>
      <c r="Y159">
        <v>2</v>
      </c>
      <c r="Z159" t="s">
        <v>451</v>
      </c>
      <c r="AA159" t="s">
        <v>409</v>
      </c>
      <c r="AB159" t="s">
        <v>410</v>
      </c>
      <c r="AC159" t="s">
        <v>411</v>
      </c>
      <c r="AD159" t="s">
        <v>467</v>
      </c>
      <c r="AE159" t="s">
        <v>321</v>
      </c>
      <c r="AF159" t="s">
        <v>857</v>
      </c>
      <c r="AG159" t="s">
        <v>414</v>
      </c>
      <c r="AH159" t="s">
        <v>819</v>
      </c>
      <c r="AI159" t="s">
        <v>856</v>
      </c>
      <c r="AJ159" t="s">
        <v>855</v>
      </c>
      <c r="AK159" t="s">
        <v>451</v>
      </c>
      <c r="AL159" t="s">
        <v>417</v>
      </c>
      <c r="AM159" t="s">
        <v>425</v>
      </c>
      <c r="AN159" t="s">
        <v>461</v>
      </c>
      <c r="AO159" t="s">
        <v>426</v>
      </c>
      <c r="AP159">
        <v>20</v>
      </c>
      <c r="AQ159" t="s">
        <v>427</v>
      </c>
      <c r="AR159" t="s">
        <v>421</v>
      </c>
      <c r="AS159" t="s">
        <v>321</v>
      </c>
      <c r="AT159" t="s">
        <v>321</v>
      </c>
      <c r="AU159" t="s">
        <v>321</v>
      </c>
      <c r="AV159" t="s">
        <v>321</v>
      </c>
      <c r="AW159" t="s">
        <v>321</v>
      </c>
      <c r="AX159" t="s">
        <v>422</v>
      </c>
      <c r="AY159">
        <v>30</v>
      </c>
      <c r="AZ159" t="s">
        <v>854</v>
      </c>
      <c r="BA159" t="s">
        <v>424</v>
      </c>
      <c r="BB159" t="s">
        <v>417</v>
      </c>
      <c r="BC159" t="s">
        <v>425</v>
      </c>
      <c r="BD159" t="s">
        <v>448</v>
      </c>
      <c r="BE159" t="s">
        <v>426</v>
      </c>
      <c r="BF159">
        <v>21</v>
      </c>
      <c r="BG159" t="s">
        <v>420</v>
      </c>
      <c r="BH159" t="s">
        <v>421</v>
      </c>
      <c r="BI159" t="s">
        <v>428</v>
      </c>
      <c r="BJ159" t="s">
        <v>321</v>
      </c>
      <c r="BK159" t="s">
        <v>321</v>
      </c>
      <c r="BL159" t="s">
        <v>321</v>
      </c>
      <c r="BM159" t="s">
        <v>321</v>
      </c>
      <c r="BN159" t="s">
        <v>422</v>
      </c>
      <c r="BO159">
        <v>30</v>
      </c>
      <c r="BP159" t="s">
        <v>854</v>
      </c>
      <c r="BQ159" t="s">
        <v>424</v>
      </c>
      <c r="BR159" t="s">
        <v>321</v>
      </c>
      <c r="BS159" t="s">
        <v>321</v>
      </c>
      <c r="BT159" t="s">
        <v>321</v>
      </c>
      <c r="BU159" t="s">
        <v>321</v>
      </c>
      <c r="BV159" t="s">
        <v>321</v>
      </c>
      <c r="BW159" t="s">
        <v>321</v>
      </c>
      <c r="BX159" t="s">
        <v>321</v>
      </c>
      <c r="BY159" t="s">
        <v>321</v>
      </c>
      <c r="BZ159" t="s">
        <v>321</v>
      </c>
      <c r="CA159" t="s">
        <v>321</v>
      </c>
      <c r="CB159" t="s">
        <v>321</v>
      </c>
      <c r="CC159" t="s">
        <v>321</v>
      </c>
      <c r="CD159" t="s">
        <v>321</v>
      </c>
      <c r="CE159" t="s">
        <v>321</v>
      </c>
      <c r="CF159" t="s">
        <v>321</v>
      </c>
      <c r="CG159" t="s">
        <v>321</v>
      </c>
      <c r="CH159" t="s">
        <v>321</v>
      </c>
      <c r="CI159" t="s">
        <v>321</v>
      </c>
      <c r="CJ159" t="s">
        <v>321</v>
      </c>
      <c r="CK159" t="s">
        <v>321</v>
      </c>
      <c r="CL159" t="s">
        <v>321</v>
      </c>
      <c r="CM159" t="s">
        <v>321</v>
      </c>
      <c r="CN159" t="s">
        <v>321</v>
      </c>
      <c r="CO159" t="s">
        <v>321</v>
      </c>
      <c r="CP159" t="s">
        <v>321</v>
      </c>
      <c r="CQ159" t="s">
        <v>321</v>
      </c>
      <c r="CR159" t="s">
        <v>321</v>
      </c>
      <c r="CS159" t="s">
        <v>321</v>
      </c>
      <c r="CT159" t="s">
        <v>321</v>
      </c>
      <c r="CU159" t="s">
        <v>321</v>
      </c>
      <c r="CV159" t="s">
        <v>321</v>
      </c>
      <c r="CW159" t="s">
        <v>321</v>
      </c>
      <c r="CX159">
        <v>278437.35930000001</v>
      </c>
      <c r="CY159">
        <v>4925625.523</v>
      </c>
      <c r="CZ159">
        <v>44.449992000000002</v>
      </c>
      <c r="DA159">
        <v>-95.784637000000004</v>
      </c>
      <c r="DB159" s="291">
        <v>42085.844444444447</v>
      </c>
      <c r="DC159" t="s">
        <v>231</v>
      </c>
      <c r="DD159" t="s">
        <v>429</v>
      </c>
      <c r="DE159" t="s">
        <v>430</v>
      </c>
      <c r="DF159" t="s">
        <v>430</v>
      </c>
      <c r="DG159" t="s">
        <v>853</v>
      </c>
      <c r="DH159">
        <v>0</v>
      </c>
      <c r="DI159" t="s">
        <v>330</v>
      </c>
      <c r="DJ159">
        <v>100</v>
      </c>
      <c r="DK159">
        <v>11</v>
      </c>
    </row>
    <row r="160" spans="1:115" x14ac:dyDescent="0.25">
      <c r="A160">
        <v>159</v>
      </c>
      <c r="B160" t="s">
        <v>657</v>
      </c>
      <c r="C160">
        <v>1</v>
      </c>
      <c r="D160">
        <v>180</v>
      </c>
      <c r="E160">
        <v>11055055</v>
      </c>
      <c r="F160" t="s">
        <v>570</v>
      </c>
      <c r="G160">
        <v>115</v>
      </c>
      <c r="H160">
        <v>0</v>
      </c>
      <c r="I160" t="s">
        <v>297</v>
      </c>
      <c r="J160" t="s">
        <v>299</v>
      </c>
      <c r="K160" t="s">
        <v>321</v>
      </c>
      <c r="L160" t="s">
        <v>406</v>
      </c>
      <c r="M160" t="s">
        <v>299</v>
      </c>
      <c r="N160" t="s">
        <v>321</v>
      </c>
      <c r="O160">
        <v>2015006690</v>
      </c>
      <c r="P160">
        <v>151070120</v>
      </c>
      <c r="Q160" s="290">
        <v>45020</v>
      </c>
      <c r="R160">
        <v>17</v>
      </c>
      <c r="S160">
        <v>2015</v>
      </c>
      <c r="T160" t="s">
        <v>485</v>
      </c>
      <c r="U160">
        <v>15</v>
      </c>
      <c r="V160" t="s">
        <v>321</v>
      </c>
      <c r="W160" t="s">
        <v>319</v>
      </c>
      <c r="X160">
        <v>0</v>
      </c>
      <c r="Y160">
        <v>4</v>
      </c>
      <c r="Z160" t="s">
        <v>797</v>
      </c>
      <c r="AA160" t="s">
        <v>409</v>
      </c>
      <c r="AB160" t="s">
        <v>452</v>
      </c>
      <c r="AC160" t="s">
        <v>433</v>
      </c>
      <c r="AD160" t="s">
        <v>412</v>
      </c>
      <c r="AE160" t="s">
        <v>412</v>
      </c>
      <c r="AF160" t="s">
        <v>434</v>
      </c>
      <c r="AG160" t="s">
        <v>414</v>
      </c>
      <c r="AH160" t="s">
        <v>852</v>
      </c>
      <c r="AI160" t="s">
        <v>851</v>
      </c>
      <c r="AJ160" t="s">
        <v>598</v>
      </c>
      <c r="AK160" t="s">
        <v>447</v>
      </c>
      <c r="AL160" t="s">
        <v>417</v>
      </c>
      <c r="AM160" t="s">
        <v>425</v>
      </c>
      <c r="AN160" t="s">
        <v>461</v>
      </c>
      <c r="AO160" t="s">
        <v>794</v>
      </c>
      <c r="AP160">
        <v>51</v>
      </c>
      <c r="AQ160" t="s">
        <v>427</v>
      </c>
      <c r="AR160" t="s">
        <v>421</v>
      </c>
      <c r="AS160" t="s">
        <v>428</v>
      </c>
      <c r="AT160" t="s">
        <v>428</v>
      </c>
      <c r="AU160" t="s">
        <v>321</v>
      </c>
      <c r="AV160" t="s">
        <v>321</v>
      </c>
      <c r="AW160" t="s">
        <v>850</v>
      </c>
      <c r="AX160" t="s">
        <v>449</v>
      </c>
      <c r="AY160">
        <v>30</v>
      </c>
      <c r="AZ160" t="s">
        <v>423</v>
      </c>
      <c r="BA160" t="s">
        <v>424</v>
      </c>
      <c r="BB160" t="s">
        <v>417</v>
      </c>
      <c r="BC160" t="s">
        <v>478</v>
      </c>
      <c r="BD160" t="s">
        <v>448</v>
      </c>
      <c r="BE160" t="s">
        <v>794</v>
      </c>
      <c r="BF160">
        <v>17</v>
      </c>
      <c r="BG160" t="s">
        <v>420</v>
      </c>
      <c r="BH160" t="s">
        <v>421</v>
      </c>
      <c r="BI160" t="s">
        <v>428</v>
      </c>
      <c r="BJ160" t="s">
        <v>428</v>
      </c>
      <c r="BK160" t="s">
        <v>321</v>
      </c>
      <c r="BL160" t="s">
        <v>321</v>
      </c>
      <c r="BM160" t="s">
        <v>850</v>
      </c>
      <c r="BN160" t="s">
        <v>449</v>
      </c>
      <c r="BO160">
        <v>30</v>
      </c>
      <c r="BP160" t="s">
        <v>423</v>
      </c>
      <c r="BQ160" t="s">
        <v>424</v>
      </c>
      <c r="BR160" t="s">
        <v>417</v>
      </c>
      <c r="BS160" t="s">
        <v>425</v>
      </c>
      <c r="BT160" t="s">
        <v>448</v>
      </c>
      <c r="BU160" t="s">
        <v>594</v>
      </c>
      <c r="BV160">
        <v>18</v>
      </c>
      <c r="BW160" t="s">
        <v>420</v>
      </c>
      <c r="BX160" t="s">
        <v>421</v>
      </c>
      <c r="BY160" t="s">
        <v>806</v>
      </c>
      <c r="BZ160" t="s">
        <v>839</v>
      </c>
      <c r="CA160" t="s">
        <v>321</v>
      </c>
      <c r="CB160" t="s">
        <v>321</v>
      </c>
      <c r="CC160" t="s">
        <v>850</v>
      </c>
      <c r="CD160" t="s">
        <v>449</v>
      </c>
      <c r="CE160">
        <v>30</v>
      </c>
      <c r="CF160" t="s">
        <v>423</v>
      </c>
      <c r="CG160" t="s">
        <v>424</v>
      </c>
      <c r="CH160" t="s">
        <v>417</v>
      </c>
      <c r="CI160" t="s">
        <v>478</v>
      </c>
      <c r="CJ160" t="s">
        <v>448</v>
      </c>
      <c r="CK160" t="s">
        <v>426</v>
      </c>
      <c r="CL160">
        <v>19</v>
      </c>
      <c r="CM160" t="s">
        <v>420</v>
      </c>
      <c r="CN160" t="s">
        <v>421</v>
      </c>
      <c r="CO160" t="s">
        <v>538</v>
      </c>
      <c r="CP160" t="s">
        <v>428</v>
      </c>
      <c r="CQ160" t="s">
        <v>321</v>
      </c>
      <c r="CR160" t="s">
        <v>321</v>
      </c>
      <c r="CS160" t="s">
        <v>850</v>
      </c>
      <c r="CT160" t="s">
        <v>449</v>
      </c>
      <c r="CU160">
        <v>30</v>
      </c>
      <c r="CV160" t="s">
        <v>423</v>
      </c>
      <c r="CW160" t="s">
        <v>424</v>
      </c>
      <c r="CX160">
        <v>279106.891</v>
      </c>
      <c r="CY160">
        <v>4925648.3859999999</v>
      </c>
      <c r="CZ160">
        <v>44.450403000000001</v>
      </c>
      <c r="DA160">
        <v>-95.776240999999999</v>
      </c>
      <c r="DB160" s="291">
        <v>42111.63958333333</v>
      </c>
      <c r="DC160" t="s">
        <v>231</v>
      </c>
      <c r="DD160" t="s">
        <v>429</v>
      </c>
      <c r="DE160" t="s">
        <v>430</v>
      </c>
      <c r="DF160" t="s">
        <v>430</v>
      </c>
      <c r="DG160" t="s">
        <v>849</v>
      </c>
      <c r="DH160">
        <v>0</v>
      </c>
      <c r="DI160" t="s">
        <v>322</v>
      </c>
      <c r="DJ160">
        <v>100</v>
      </c>
      <c r="DK160">
        <v>15</v>
      </c>
    </row>
    <row r="161" spans="1:115" x14ac:dyDescent="0.25">
      <c r="A161">
        <v>160</v>
      </c>
      <c r="B161" t="s">
        <v>657</v>
      </c>
      <c r="C161">
        <v>1</v>
      </c>
      <c r="D161">
        <v>181</v>
      </c>
      <c r="E161">
        <v>324379</v>
      </c>
      <c r="F161" t="s">
        <v>570</v>
      </c>
      <c r="G161">
        <v>115</v>
      </c>
      <c r="H161">
        <v>0</v>
      </c>
      <c r="I161" t="s">
        <v>297</v>
      </c>
      <c r="J161" t="s">
        <v>299</v>
      </c>
      <c r="K161" t="s">
        <v>321</v>
      </c>
      <c r="L161" t="s">
        <v>406</v>
      </c>
      <c r="M161" t="s">
        <v>299</v>
      </c>
      <c r="N161" t="s">
        <v>321</v>
      </c>
      <c r="O161" t="s">
        <v>848</v>
      </c>
      <c r="P161">
        <v>160290037</v>
      </c>
      <c r="Q161" s="290">
        <v>44927</v>
      </c>
      <c r="R161">
        <v>29</v>
      </c>
      <c r="S161">
        <v>2016</v>
      </c>
      <c r="T161" t="s">
        <v>485</v>
      </c>
      <c r="U161">
        <v>9</v>
      </c>
      <c r="V161" t="s">
        <v>495</v>
      </c>
      <c r="W161" t="s">
        <v>319</v>
      </c>
      <c r="X161">
        <v>0</v>
      </c>
      <c r="Y161">
        <v>2</v>
      </c>
      <c r="Z161" t="s">
        <v>451</v>
      </c>
      <c r="AA161" t="s">
        <v>409</v>
      </c>
      <c r="AB161" t="s">
        <v>452</v>
      </c>
      <c r="AC161" t="s">
        <v>433</v>
      </c>
      <c r="AD161" t="s">
        <v>412</v>
      </c>
      <c r="AE161" t="s">
        <v>321</v>
      </c>
      <c r="AF161" t="s">
        <v>434</v>
      </c>
      <c r="AG161" t="s">
        <v>414</v>
      </c>
      <c r="AH161" t="s">
        <v>571</v>
      </c>
      <c r="AI161" t="s">
        <v>321</v>
      </c>
      <c r="AJ161" t="s">
        <v>598</v>
      </c>
      <c r="AK161" t="s">
        <v>486</v>
      </c>
      <c r="AL161" t="s">
        <v>417</v>
      </c>
      <c r="AM161" t="s">
        <v>425</v>
      </c>
      <c r="AN161" t="s">
        <v>472</v>
      </c>
      <c r="AO161" t="s">
        <v>487</v>
      </c>
      <c r="AP161">
        <v>21</v>
      </c>
      <c r="AQ161" t="s">
        <v>427</v>
      </c>
      <c r="AR161" t="s">
        <v>421</v>
      </c>
      <c r="AS161" t="s">
        <v>454</v>
      </c>
      <c r="AT161" t="s">
        <v>321</v>
      </c>
      <c r="AU161" t="s">
        <v>321</v>
      </c>
      <c r="AV161" t="s">
        <v>321</v>
      </c>
      <c r="AW161" t="s">
        <v>441</v>
      </c>
      <c r="AX161" t="s">
        <v>449</v>
      </c>
      <c r="AY161">
        <v>30</v>
      </c>
      <c r="AZ161" t="s">
        <v>423</v>
      </c>
      <c r="BA161" t="s">
        <v>424</v>
      </c>
      <c r="BB161" t="s">
        <v>417</v>
      </c>
      <c r="BC161" t="s">
        <v>478</v>
      </c>
      <c r="BD161" t="s">
        <v>453</v>
      </c>
      <c r="BE161" t="s">
        <v>426</v>
      </c>
      <c r="BF161">
        <v>21</v>
      </c>
      <c r="BG161" t="s">
        <v>427</v>
      </c>
      <c r="BH161" t="s">
        <v>421</v>
      </c>
      <c r="BI161" t="s">
        <v>428</v>
      </c>
      <c r="BJ161" t="s">
        <v>321</v>
      </c>
      <c r="BK161" t="s">
        <v>321</v>
      </c>
      <c r="BL161" t="s">
        <v>321</v>
      </c>
      <c r="BM161" t="s">
        <v>441</v>
      </c>
      <c r="BN161" t="s">
        <v>449</v>
      </c>
      <c r="BO161">
        <v>30</v>
      </c>
      <c r="BP161" t="s">
        <v>423</v>
      </c>
      <c r="BQ161" t="s">
        <v>424</v>
      </c>
      <c r="BR161" t="s">
        <v>321</v>
      </c>
      <c r="BS161" t="s">
        <v>321</v>
      </c>
      <c r="BT161" t="s">
        <v>321</v>
      </c>
      <c r="BU161" t="s">
        <v>321</v>
      </c>
      <c r="BV161" t="s">
        <v>321</v>
      </c>
      <c r="BW161" t="s">
        <v>321</v>
      </c>
      <c r="BX161" t="s">
        <v>321</v>
      </c>
      <c r="BY161" t="s">
        <v>321</v>
      </c>
      <c r="BZ161" t="s">
        <v>321</v>
      </c>
      <c r="CA161" t="s">
        <v>321</v>
      </c>
      <c r="CB161" t="s">
        <v>321</v>
      </c>
      <c r="CC161" t="s">
        <v>321</v>
      </c>
      <c r="CD161" t="s">
        <v>321</v>
      </c>
      <c r="CE161" t="s">
        <v>321</v>
      </c>
      <c r="CF161" t="s">
        <v>321</v>
      </c>
      <c r="CG161" t="s">
        <v>321</v>
      </c>
      <c r="CH161" t="s">
        <v>321</v>
      </c>
      <c r="CI161" t="s">
        <v>321</v>
      </c>
      <c r="CJ161" t="s">
        <v>321</v>
      </c>
      <c r="CK161" t="s">
        <v>321</v>
      </c>
      <c r="CL161" t="s">
        <v>321</v>
      </c>
      <c r="CM161" t="s">
        <v>321</v>
      </c>
      <c r="CN161" t="s">
        <v>321</v>
      </c>
      <c r="CO161" t="s">
        <v>321</v>
      </c>
      <c r="CP161" t="s">
        <v>321</v>
      </c>
      <c r="CQ161" t="s">
        <v>321</v>
      </c>
      <c r="CR161" t="s">
        <v>321</v>
      </c>
      <c r="CS161" t="s">
        <v>321</v>
      </c>
      <c r="CT161" t="s">
        <v>321</v>
      </c>
      <c r="CU161" t="s">
        <v>321</v>
      </c>
      <c r="CV161" t="s">
        <v>321</v>
      </c>
      <c r="CW161" t="s">
        <v>321</v>
      </c>
      <c r="CX161">
        <v>279106.8982</v>
      </c>
      <c r="CY161">
        <v>4925648.6150000002</v>
      </c>
      <c r="CZ161">
        <v>44.450405000000003</v>
      </c>
      <c r="DA161">
        <v>-95.776240999999999</v>
      </c>
      <c r="DB161" s="291">
        <v>42398.392361111109</v>
      </c>
      <c r="DC161" t="s">
        <v>231</v>
      </c>
      <c r="DD161" t="s">
        <v>429</v>
      </c>
      <c r="DE161" t="s">
        <v>455</v>
      </c>
      <c r="DF161" t="s">
        <v>456</v>
      </c>
      <c r="DG161" t="s">
        <v>847</v>
      </c>
      <c r="DH161">
        <v>0</v>
      </c>
      <c r="DI161" t="s">
        <v>322</v>
      </c>
      <c r="DJ161">
        <v>100</v>
      </c>
      <c r="DK161">
        <v>15</v>
      </c>
    </row>
    <row r="162" spans="1:115" x14ac:dyDescent="0.25">
      <c r="A162">
        <v>161</v>
      </c>
      <c r="B162" t="s">
        <v>657</v>
      </c>
      <c r="C162">
        <v>1</v>
      </c>
      <c r="D162">
        <v>182</v>
      </c>
      <c r="E162">
        <v>631094</v>
      </c>
      <c r="F162" t="s">
        <v>570</v>
      </c>
      <c r="G162">
        <v>115</v>
      </c>
      <c r="H162">
        <v>2E-3</v>
      </c>
      <c r="I162" t="s">
        <v>297</v>
      </c>
      <c r="J162" t="s">
        <v>299</v>
      </c>
      <c r="K162" t="s">
        <v>321</v>
      </c>
      <c r="L162" t="s">
        <v>406</v>
      </c>
      <c r="M162" t="s">
        <v>299</v>
      </c>
      <c r="N162" t="s">
        <v>321</v>
      </c>
      <c r="O162" s="292">
        <v>202000000000</v>
      </c>
      <c r="P162">
        <v>182410065</v>
      </c>
      <c r="Q162" s="290">
        <v>45146</v>
      </c>
      <c r="R162">
        <v>29</v>
      </c>
      <c r="S162">
        <v>2018</v>
      </c>
      <c r="T162" t="s">
        <v>494</v>
      </c>
      <c r="U162">
        <v>10</v>
      </c>
      <c r="V162" t="s">
        <v>466</v>
      </c>
      <c r="W162" t="s">
        <v>320</v>
      </c>
      <c r="X162">
        <v>0</v>
      </c>
      <c r="Y162">
        <v>2</v>
      </c>
      <c r="Z162" t="s">
        <v>525</v>
      </c>
      <c r="AA162" t="s">
        <v>409</v>
      </c>
      <c r="AB162" t="s">
        <v>452</v>
      </c>
      <c r="AC162" t="s">
        <v>433</v>
      </c>
      <c r="AD162" t="s">
        <v>412</v>
      </c>
      <c r="AE162" t="s">
        <v>321</v>
      </c>
      <c r="AF162" t="s">
        <v>434</v>
      </c>
      <c r="AG162" t="s">
        <v>414</v>
      </c>
      <c r="AH162" t="s">
        <v>571</v>
      </c>
      <c r="AI162" t="s">
        <v>321</v>
      </c>
      <c r="AJ162" t="s">
        <v>598</v>
      </c>
      <c r="AK162" t="s">
        <v>526</v>
      </c>
      <c r="AL162" t="s">
        <v>417</v>
      </c>
      <c r="AM162" t="s">
        <v>425</v>
      </c>
      <c r="AN162" t="s">
        <v>448</v>
      </c>
      <c r="AO162" t="s">
        <v>426</v>
      </c>
      <c r="AP162">
        <v>27</v>
      </c>
      <c r="AQ162" t="s">
        <v>420</v>
      </c>
      <c r="AR162" t="s">
        <v>421</v>
      </c>
      <c r="AS162" t="s">
        <v>846</v>
      </c>
      <c r="AT162" t="s">
        <v>321</v>
      </c>
      <c r="AU162" t="s">
        <v>321</v>
      </c>
      <c r="AV162" t="s">
        <v>321</v>
      </c>
      <c r="AW162" t="s">
        <v>441</v>
      </c>
      <c r="AX162" t="s">
        <v>449</v>
      </c>
      <c r="AY162">
        <v>30</v>
      </c>
      <c r="AZ162" t="s">
        <v>423</v>
      </c>
      <c r="BA162" t="s">
        <v>424</v>
      </c>
      <c r="BB162" t="s">
        <v>417</v>
      </c>
      <c r="BC162" t="s">
        <v>437</v>
      </c>
      <c r="BD162" t="s">
        <v>461</v>
      </c>
      <c r="BE162" t="s">
        <v>426</v>
      </c>
      <c r="BF162">
        <v>48</v>
      </c>
      <c r="BG162" t="s">
        <v>420</v>
      </c>
      <c r="BH162" t="s">
        <v>421</v>
      </c>
      <c r="BI162" t="s">
        <v>428</v>
      </c>
      <c r="BJ162" t="s">
        <v>321</v>
      </c>
      <c r="BK162" t="s">
        <v>321</v>
      </c>
      <c r="BL162" t="s">
        <v>321</v>
      </c>
      <c r="BM162" t="s">
        <v>441</v>
      </c>
      <c r="BN162" t="s">
        <v>449</v>
      </c>
      <c r="BO162">
        <v>30</v>
      </c>
      <c r="BP162" t="s">
        <v>423</v>
      </c>
      <c r="BQ162" t="s">
        <v>424</v>
      </c>
      <c r="BR162" t="s">
        <v>321</v>
      </c>
      <c r="BS162" t="s">
        <v>321</v>
      </c>
      <c r="BT162" t="s">
        <v>321</v>
      </c>
      <c r="BU162" t="s">
        <v>321</v>
      </c>
      <c r="BV162" t="s">
        <v>321</v>
      </c>
      <c r="BW162" t="s">
        <v>321</v>
      </c>
      <c r="BX162" t="s">
        <v>321</v>
      </c>
      <c r="BY162" t="s">
        <v>321</v>
      </c>
      <c r="BZ162" t="s">
        <v>321</v>
      </c>
      <c r="CA162" t="s">
        <v>321</v>
      </c>
      <c r="CB162" t="s">
        <v>321</v>
      </c>
      <c r="CC162" t="s">
        <v>321</v>
      </c>
      <c r="CD162" t="s">
        <v>321</v>
      </c>
      <c r="CE162" t="s">
        <v>321</v>
      </c>
      <c r="CF162" t="s">
        <v>321</v>
      </c>
      <c r="CG162" t="s">
        <v>321</v>
      </c>
      <c r="CH162" t="s">
        <v>321</v>
      </c>
      <c r="CI162" t="s">
        <v>321</v>
      </c>
      <c r="CJ162" t="s">
        <v>321</v>
      </c>
      <c r="CK162" t="s">
        <v>321</v>
      </c>
      <c r="CL162" t="s">
        <v>321</v>
      </c>
      <c r="CM162" t="s">
        <v>321</v>
      </c>
      <c r="CN162" t="s">
        <v>321</v>
      </c>
      <c r="CO162" t="s">
        <v>321</v>
      </c>
      <c r="CP162" t="s">
        <v>321</v>
      </c>
      <c r="CQ162" t="s">
        <v>321</v>
      </c>
      <c r="CR162" t="s">
        <v>321</v>
      </c>
      <c r="CS162" t="s">
        <v>321</v>
      </c>
      <c r="CT162" t="s">
        <v>321</v>
      </c>
      <c r="CU162" t="s">
        <v>321</v>
      </c>
      <c r="CV162" t="s">
        <v>321</v>
      </c>
      <c r="CW162" t="s">
        <v>321</v>
      </c>
      <c r="CX162">
        <v>279106.96950000001</v>
      </c>
      <c r="CY162">
        <v>4925650.9019999998</v>
      </c>
      <c r="CZ162">
        <v>44.450425000000003</v>
      </c>
      <c r="DA162">
        <v>-95.776241999999996</v>
      </c>
      <c r="DB162" s="291">
        <v>43341.416666666664</v>
      </c>
      <c r="DC162" t="s">
        <v>231</v>
      </c>
      <c r="DD162" t="s">
        <v>429</v>
      </c>
      <c r="DE162" t="s">
        <v>455</v>
      </c>
      <c r="DF162" t="s">
        <v>456</v>
      </c>
      <c r="DG162" t="s">
        <v>845</v>
      </c>
      <c r="DH162">
        <v>0</v>
      </c>
      <c r="DI162" t="s">
        <v>322</v>
      </c>
      <c r="DJ162">
        <v>100</v>
      </c>
      <c r="DK162">
        <v>15</v>
      </c>
    </row>
    <row r="163" spans="1:115" x14ac:dyDescent="0.25">
      <c r="A163">
        <v>162</v>
      </c>
      <c r="B163" t="s">
        <v>657</v>
      </c>
      <c r="C163">
        <v>1</v>
      </c>
      <c r="D163">
        <v>183</v>
      </c>
      <c r="E163">
        <v>1044505</v>
      </c>
      <c r="F163" t="s">
        <v>570</v>
      </c>
      <c r="G163">
        <v>107</v>
      </c>
      <c r="H163">
        <v>0.75800000000000001</v>
      </c>
      <c r="I163" t="s">
        <v>297</v>
      </c>
      <c r="J163" t="s">
        <v>299</v>
      </c>
      <c r="K163" t="s">
        <v>321</v>
      </c>
      <c r="L163" t="s">
        <v>321</v>
      </c>
      <c r="M163" t="s">
        <v>299</v>
      </c>
      <c r="N163" t="s">
        <v>321</v>
      </c>
      <c r="O163" s="292">
        <v>202000000000</v>
      </c>
      <c r="P163">
        <v>222510079</v>
      </c>
      <c r="Q163" s="290">
        <v>45178</v>
      </c>
      <c r="R163">
        <v>8</v>
      </c>
      <c r="S163">
        <v>2022</v>
      </c>
      <c r="T163" t="s">
        <v>458</v>
      </c>
      <c r="U163">
        <v>17</v>
      </c>
      <c r="V163" t="s">
        <v>321</v>
      </c>
      <c r="W163" t="s">
        <v>320</v>
      </c>
      <c r="X163">
        <v>0</v>
      </c>
      <c r="Y163">
        <v>2</v>
      </c>
      <c r="Z163" t="s">
        <v>525</v>
      </c>
      <c r="AA163" t="s">
        <v>409</v>
      </c>
      <c r="AB163" t="s">
        <v>452</v>
      </c>
      <c r="AC163" t="s">
        <v>433</v>
      </c>
      <c r="AD163" t="s">
        <v>412</v>
      </c>
      <c r="AE163" t="s">
        <v>321</v>
      </c>
      <c r="AF163" t="s">
        <v>434</v>
      </c>
      <c r="AG163" t="s">
        <v>414</v>
      </c>
      <c r="AH163" t="s">
        <v>571</v>
      </c>
      <c r="AI163" t="s">
        <v>477</v>
      </c>
      <c r="AJ163" t="s">
        <v>572</v>
      </c>
      <c r="AK163" t="s">
        <v>526</v>
      </c>
      <c r="AL163" t="s">
        <v>417</v>
      </c>
      <c r="AM163" t="s">
        <v>418</v>
      </c>
      <c r="AN163" t="s">
        <v>453</v>
      </c>
      <c r="AO163" t="s">
        <v>426</v>
      </c>
      <c r="AP163">
        <v>65</v>
      </c>
      <c r="AQ163" t="s">
        <v>427</v>
      </c>
      <c r="AR163" t="s">
        <v>421</v>
      </c>
      <c r="AS163" t="s">
        <v>428</v>
      </c>
      <c r="AT163" t="s">
        <v>321</v>
      </c>
      <c r="AU163" t="s">
        <v>321</v>
      </c>
      <c r="AV163" t="s">
        <v>321</v>
      </c>
      <c r="AW163" t="s">
        <v>441</v>
      </c>
      <c r="AX163" t="s">
        <v>449</v>
      </c>
      <c r="AY163">
        <v>30</v>
      </c>
      <c r="AZ163" t="s">
        <v>423</v>
      </c>
      <c r="BA163" t="s">
        <v>606</v>
      </c>
      <c r="BB163" t="s">
        <v>417</v>
      </c>
      <c r="BC163" t="s">
        <v>425</v>
      </c>
      <c r="BD163" t="s">
        <v>448</v>
      </c>
      <c r="BE163" t="s">
        <v>487</v>
      </c>
      <c r="BF163">
        <v>32</v>
      </c>
      <c r="BG163" t="s">
        <v>427</v>
      </c>
      <c r="BH163" t="s">
        <v>421</v>
      </c>
      <c r="BI163" t="s">
        <v>454</v>
      </c>
      <c r="BJ163" t="s">
        <v>321</v>
      </c>
      <c r="BK163" t="s">
        <v>321</v>
      </c>
      <c r="BL163" t="s">
        <v>321</v>
      </c>
      <c r="BM163" t="s">
        <v>441</v>
      </c>
      <c r="BN163" t="s">
        <v>449</v>
      </c>
      <c r="BO163">
        <v>30</v>
      </c>
      <c r="BP163" t="s">
        <v>423</v>
      </c>
      <c r="BQ163" t="s">
        <v>623</v>
      </c>
      <c r="BR163" t="s">
        <v>321</v>
      </c>
      <c r="BS163" t="s">
        <v>321</v>
      </c>
      <c r="BT163" t="s">
        <v>321</v>
      </c>
      <c r="BU163" t="s">
        <v>321</v>
      </c>
      <c r="BV163" t="s">
        <v>321</v>
      </c>
      <c r="BW163" t="s">
        <v>321</v>
      </c>
      <c r="BX163" t="s">
        <v>321</v>
      </c>
      <c r="BY163" t="s">
        <v>321</v>
      </c>
      <c r="BZ163" t="s">
        <v>321</v>
      </c>
      <c r="CA163" t="s">
        <v>321</v>
      </c>
      <c r="CB163" t="s">
        <v>321</v>
      </c>
      <c r="CC163" t="s">
        <v>321</v>
      </c>
      <c r="CD163" t="s">
        <v>321</v>
      </c>
      <c r="CE163" t="s">
        <v>321</v>
      </c>
      <c r="CF163" t="s">
        <v>321</v>
      </c>
      <c r="CG163" t="s">
        <v>321</v>
      </c>
      <c r="CH163" t="s">
        <v>321</v>
      </c>
      <c r="CI163" t="s">
        <v>321</v>
      </c>
      <c r="CJ163" t="s">
        <v>321</v>
      </c>
      <c r="CK163" t="s">
        <v>321</v>
      </c>
      <c r="CL163" t="s">
        <v>321</v>
      </c>
      <c r="CM163" t="s">
        <v>321</v>
      </c>
      <c r="CN163" t="s">
        <v>321</v>
      </c>
      <c r="CO163" t="s">
        <v>321</v>
      </c>
      <c r="CP163" t="s">
        <v>321</v>
      </c>
      <c r="CQ163" t="s">
        <v>321</v>
      </c>
      <c r="CR163" t="s">
        <v>321</v>
      </c>
      <c r="CS163" t="s">
        <v>321</v>
      </c>
      <c r="CT163" t="s">
        <v>321</v>
      </c>
      <c r="CU163" t="s">
        <v>321</v>
      </c>
      <c r="CV163" t="s">
        <v>321</v>
      </c>
      <c r="CW163" t="s">
        <v>321</v>
      </c>
      <c r="CX163">
        <v>279108.44910000003</v>
      </c>
      <c r="CY163">
        <v>4925648.0970000001</v>
      </c>
      <c r="CZ163">
        <v>44.450392999999998</v>
      </c>
      <c r="DA163">
        <v>-95.776212999999998</v>
      </c>
      <c r="DB163" s="291">
        <v>44812.709027777775</v>
      </c>
      <c r="DC163" t="s">
        <v>231</v>
      </c>
      <c r="DD163" t="s">
        <v>429</v>
      </c>
      <c r="DE163" t="s">
        <v>455</v>
      </c>
      <c r="DF163" t="s">
        <v>456</v>
      </c>
      <c r="DG163" t="s">
        <v>844</v>
      </c>
      <c r="DH163">
        <v>0</v>
      </c>
      <c r="DI163" t="s">
        <v>322</v>
      </c>
      <c r="DJ163">
        <v>100</v>
      </c>
      <c r="DK163">
        <v>15</v>
      </c>
    </row>
    <row r="164" spans="1:115" x14ac:dyDescent="0.25">
      <c r="A164">
        <v>163</v>
      </c>
      <c r="B164" t="s">
        <v>657</v>
      </c>
      <c r="C164">
        <v>1</v>
      </c>
      <c r="D164">
        <v>184</v>
      </c>
      <c r="E164">
        <v>10895949</v>
      </c>
      <c r="F164" t="s">
        <v>570</v>
      </c>
      <c r="G164">
        <v>115</v>
      </c>
      <c r="H164">
        <v>0.01</v>
      </c>
      <c r="I164" t="s">
        <v>297</v>
      </c>
      <c r="J164" t="s">
        <v>299</v>
      </c>
      <c r="K164" t="s">
        <v>321</v>
      </c>
      <c r="L164" t="s">
        <v>406</v>
      </c>
      <c r="M164" t="s">
        <v>299</v>
      </c>
      <c r="N164" t="s">
        <v>321</v>
      </c>
      <c r="O164" t="s">
        <v>843</v>
      </c>
      <c r="P164">
        <v>132260027</v>
      </c>
      <c r="Q164" s="290">
        <v>45146</v>
      </c>
      <c r="R164">
        <v>13</v>
      </c>
      <c r="S164">
        <v>2013</v>
      </c>
      <c r="T164" t="s">
        <v>407</v>
      </c>
      <c r="U164">
        <v>14</v>
      </c>
      <c r="V164" t="s">
        <v>321</v>
      </c>
      <c r="W164" t="s">
        <v>318</v>
      </c>
      <c r="X164">
        <v>0</v>
      </c>
      <c r="Y164">
        <v>2</v>
      </c>
      <c r="Z164" t="s">
        <v>463</v>
      </c>
      <c r="AA164" t="s">
        <v>409</v>
      </c>
      <c r="AB164" t="s">
        <v>410</v>
      </c>
      <c r="AC164" t="s">
        <v>433</v>
      </c>
      <c r="AD164" t="s">
        <v>412</v>
      </c>
      <c r="AE164" t="s">
        <v>321</v>
      </c>
      <c r="AF164" t="s">
        <v>434</v>
      </c>
      <c r="AG164" t="s">
        <v>414</v>
      </c>
      <c r="AH164" t="s">
        <v>842</v>
      </c>
      <c r="AI164" t="s">
        <v>841</v>
      </c>
      <c r="AJ164" t="s">
        <v>598</v>
      </c>
      <c r="AK164" t="s">
        <v>463</v>
      </c>
      <c r="AL164" t="s">
        <v>417</v>
      </c>
      <c r="AM164" t="s">
        <v>840</v>
      </c>
      <c r="AN164" t="s">
        <v>453</v>
      </c>
      <c r="AO164" t="s">
        <v>426</v>
      </c>
      <c r="AP164">
        <v>15</v>
      </c>
      <c r="AQ164" t="s">
        <v>427</v>
      </c>
      <c r="AR164" t="s">
        <v>421</v>
      </c>
      <c r="AS164" t="s">
        <v>806</v>
      </c>
      <c r="AT164" t="s">
        <v>839</v>
      </c>
      <c r="AU164" t="s">
        <v>321</v>
      </c>
      <c r="AV164" t="s">
        <v>321</v>
      </c>
      <c r="AW164" t="s">
        <v>805</v>
      </c>
      <c r="AX164" t="s">
        <v>449</v>
      </c>
      <c r="AY164">
        <v>30</v>
      </c>
      <c r="AZ164" t="s">
        <v>423</v>
      </c>
      <c r="BA164" t="s">
        <v>424</v>
      </c>
      <c r="BB164" t="s">
        <v>417</v>
      </c>
      <c r="BC164" t="s">
        <v>817</v>
      </c>
      <c r="BD164" t="s">
        <v>453</v>
      </c>
      <c r="BE164" t="s">
        <v>487</v>
      </c>
      <c r="BF164">
        <v>38</v>
      </c>
      <c r="BG164" t="s">
        <v>427</v>
      </c>
      <c r="BH164" t="s">
        <v>421</v>
      </c>
      <c r="BI164" t="s">
        <v>428</v>
      </c>
      <c r="BJ164" t="s">
        <v>321</v>
      </c>
      <c r="BK164" t="s">
        <v>321</v>
      </c>
      <c r="BL164" t="s">
        <v>321</v>
      </c>
      <c r="BM164" t="s">
        <v>805</v>
      </c>
      <c r="BN164" t="s">
        <v>449</v>
      </c>
      <c r="BO164">
        <v>30</v>
      </c>
      <c r="BP164" t="s">
        <v>423</v>
      </c>
      <c r="BQ164" t="s">
        <v>424</v>
      </c>
      <c r="BR164" t="s">
        <v>321</v>
      </c>
      <c r="BS164" t="s">
        <v>321</v>
      </c>
      <c r="BT164" t="s">
        <v>321</v>
      </c>
      <c r="BU164" t="s">
        <v>321</v>
      </c>
      <c r="BV164" t="s">
        <v>321</v>
      </c>
      <c r="BW164" t="s">
        <v>321</v>
      </c>
      <c r="BX164" t="s">
        <v>321</v>
      </c>
      <c r="BY164" t="s">
        <v>321</v>
      </c>
      <c r="BZ164" t="s">
        <v>321</v>
      </c>
      <c r="CA164" t="s">
        <v>321</v>
      </c>
      <c r="CB164" t="s">
        <v>321</v>
      </c>
      <c r="CC164" t="s">
        <v>321</v>
      </c>
      <c r="CD164" t="s">
        <v>321</v>
      </c>
      <c r="CE164" t="s">
        <v>321</v>
      </c>
      <c r="CF164" t="s">
        <v>321</v>
      </c>
      <c r="CG164" t="s">
        <v>321</v>
      </c>
      <c r="CH164" t="s">
        <v>321</v>
      </c>
      <c r="CI164" t="s">
        <v>321</v>
      </c>
      <c r="CJ164" t="s">
        <v>321</v>
      </c>
      <c r="CK164" t="s">
        <v>321</v>
      </c>
      <c r="CL164" t="s">
        <v>321</v>
      </c>
      <c r="CM164" t="s">
        <v>321</v>
      </c>
      <c r="CN164" t="s">
        <v>321</v>
      </c>
      <c r="CO164" t="s">
        <v>321</v>
      </c>
      <c r="CP164" t="s">
        <v>321</v>
      </c>
      <c r="CQ164" t="s">
        <v>321</v>
      </c>
      <c r="CR164" t="s">
        <v>321</v>
      </c>
      <c r="CS164" t="s">
        <v>321</v>
      </c>
      <c r="CT164" t="s">
        <v>321</v>
      </c>
      <c r="CU164" t="s">
        <v>321</v>
      </c>
      <c r="CV164" t="s">
        <v>321</v>
      </c>
      <c r="CW164" t="s">
        <v>321</v>
      </c>
      <c r="CX164">
        <v>279107.39250000002</v>
      </c>
      <c r="CY164">
        <v>4925664.4709999999</v>
      </c>
      <c r="CZ164">
        <v>44.450547999999998</v>
      </c>
      <c r="DA164">
        <v>-95.776241999999996</v>
      </c>
      <c r="DB164" s="291">
        <v>41499.597916666666</v>
      </c>
      <c r="DC164" t="s">
        <v>231</v>
      </c>
      <c r="DD164" t="s">
        <v>429</v>
      </c>
      <c r="DE164" t="s">
        <v>430</v>
      </c>
      <c r="DF164" t="s">
        <v>430</v>
      </c>
      <c r="DG164" t="s">
        <v>838</v>
      </c>
      <c r="DH164">
        <v>0</v>
      </c>
      <c r="DI164" t="s">
        <v>322</v>
      </c>
      <c r="DJ164">
        <v>100</v>
      </c>
      <c r="DK164">
        <v>15</v>
      </c>
    </row>
    <row r="165" spans="1:115" x14ac:dyDescent="0.25">
      <c r="A165">
        <v>164</v>
      </c>
      <c r="B165" t="s">
        <v>657</v>
      </c>
      <c r="C165">
        <v>1</v>
      </c>
      <c r="D165">
        <v>185</v>
      </c>
      <c r="E165">
        <v>393790</v>
      </c>
      <c r="F165" t="s">
        <v>570</v>
      </c>
      <c r="G165">
        <v>124</v>
      </c>
      <c r="H165">
        <v>0.97599999999999998</v>
      </c>
      <c r="I165" t="s">
        <v>297</v>
      </c>
      <c r="J165" t="s">
        <v>299</v>
      </c>
      <c r="K165" t="s">
        <v>321</v>
      </c>
      <c r="L165" t="s">
        <v>406</v>
      </c>
      <c r="M165" t="s">
        <v>299</v>
      </c>
      <c r="N165" t="s">
        <v>321</v>
      </c>
      <c r="O165">
        <v>1600050263</v>
      </c>
      <c r="P165">
        <v>163160129</v>
      </c>
      <c r="Q165" s="290">
        <v>45241</v>
      </c>
      <c r="R165">
        <v>11</v>
      </c>
      <c r="S165">
        <v>2016</v>
      </c>
      <c r="T165" t="s">
        <v>485</v>
      </c>
      <c r="U165">
        <v>16</v>
      </c>
      <c r="V165" t="s">
        <v>466</v>
      </c>
      <c r="W165" t="s">
        <v>320</v>
      </c>
      <c r="X165">
        <v>0</v>
      </c>
      <c r="Y165">
        <v>2</v>
      </c>
      <c r="Z165" t="s">
        <v>451</v>
      </c>
      <c r="AA165" t="s">
        <v>409</v>
      </c>
      <c r="AB165" t="s">
        <v>452</v>
      </c>
      <c r="AC165" t="s">
        <v>433</v>
      </c>
      <c r="AD165" t="s">
        <v>412</v>
      </c>
      <c r="AE165" t="s">
        <v>321</v>
      </c>
      <c r="AF165" t="s">
        <v>434</v>
      </c>
      <c r="AG165" t="s">
        <v>414</v>
      </c>
      <c r="AH165" t="s">
        <v>511</v>
      </c>
      <c r="AI165" t="s">
        <v>321</v>
      </c>
      <c r="AJ165" t="s">
        <v>837</v>
      </c>
      <c r="AK165" t="s">
        <v>451</v>
      </c>
      <c r="AL165" t="s">
        <v>417</v>
      </c>
      <c r="AM165" t="s">
        <v>425</v>
      </c>
      <c r="AN165" t="s">
        <v>472</v>
      </c>
      <c r="AO165" t="s">
        <v>426</v>
      </c>
      <c r="AP165">
        <v>28</v>
      </c>
      <c r="AQ165" t="s">
        <v>420</v>
      </c>
      <c r="AR165" t="s">
        <v>421</v>
      </c>
      <c r="AS165" t="s">
        <v>454</v>
      </c>
      <c r="AT165" t="s">
        <v>321</v>
      </c>
      <c r="AU165" t="s">
        <v>321</v>
      </c>
      <c r="AV165" t="s">
        <v>321</v>
      </c>
      <c r="AW165" t="s">
        <v>441</v>
      </c>
      <c r="AX165" t="s">
        <v>512</v>
      </c>
      <c r="AY165">
        <v>30</v>
      </c>
      <c r="AZ165" t="s">
        <v>423</v>
      </c>
      <c r="BA165" t="s">
        <v>424</v>
      </c>
      <c r="BB165" t="s">
        <v>417</v>
      </c>
      <c r="BC165" t="s">
        <v>418</v>
      </c>
      <c r="BD165" t="s">
        <v>448</v>
      </c>
      <c r="BE165" t="s">
        <v>426</v>
      </c>
      <c r="BF165">
        <v>55</v>
      </c>
      <c r="BG165" t="s">
        <v>427</v>
      </c>
      <c r="BH165" t="s">
        <v>421</v>
      </c>
      <c r="BI165" t="s">
        <v>428</v>
      </c>
      <c r="BJ165" t="s">
        <v>321</v>
      </c>
      <c r="BK165" t="s">
        <v>321</v>
      </c>
      <c r="BL165" t="s">
        <v>321</v>
      </c>
      <c r="BM165" t="s">
        <v>441</v>
      </c>
      <c r="BN165" t="s">
        <v>442</v>
      </c>
      <c r="BO165">
        <v>30</v>
      </c>
      <c r="BP165" t="s">
        <v>423</v>
      </c>
      <c r="BQ165" t="s">
        <v>424</v>
      </c>
      <c r="BR165" t="s">
        <v>321</v>
      </c>
      <c r="BS165" t="s">
        <v>321</v>
      </c>
      <c r="BT165" t="s">
        <v>321</v>
      </c>
      <c r="BU165" t="s">
        <v>321</v>
      </c>
      <c r="BV165" t="s">
        <v>321</v>
      </c>
      <c r="BW165" t="s">
        <v>321</v>
      </c>
      <c r="BX165" t="s">
        <v>321</v>
      </c>
      <c r="BY165" t="s">
        <v>321</v>
      </c>
      <c r="BZ165" t="s">
        <v>321</v>
      </c>
      <c r="CA165" t="s">
        <v>321</v>
      </c>
      <c r="CB165" t="s">
        <v>321</v>
      </c>
      <c r="CC165" t="s">
        <v>321</v>
      </c>
      <c r="CD165" t="s">
        <v>321</v>
      </c>
      <c r="CE165" t="s">
        <v>321</v>
      </c>
      <c r="CF165" t="s">
        <v>321</v>
      </c>
      <c r="CG165" t="s">
        <v>321</v>
      </c>
      <c r="CH165" t="s">
        <v>321</v>
      </c>
      <c r="CI165" t="s">
        <v>321</v>
      </c>
      <c r="CJ165" t="s">
        <v>321</v>
      </c>
      <c r="CK165" t="s">
        <v>321</v>
      </c>
      <c r="CL165" t="s">
        <v>321</v>
      </c>
      <c r="CM165" t="s">
        <v>321</v>
      </c>
      <c r="CN165" t="s">
        <v>321</v>
      </c>
      <c r="CO165" t="s">
        <v>321</v>
      </c>
      <c r="CP165" t="s">
        <v>321</v>
      </c>
      <c r="CQ165" t="s">
        <v>321</v>
      </c>
      <c r="CR165" t="s">
        <v>321</v>
      </c>
      <c r="CS165" t="s">
        <v>321</v>
      </c>
      <c r="CT165" t="s">
        <v>321</v>
      </c>
      <c r="CU165" t="s">
        <v>321</v>
      </c>
      <c r="CV165" t="s">
        <v>321</v>
      </c>
      <c r="CW165" t="s">
        <v>321</v>
      </c>
      <c r="CX165">
        <v>277478.33439999999</v>
      </c>
      <c r="CY165">
        <v>4924890.6349999998</v>
      </c>
      <c r="CZ165">
        <v>44.443089999999998</v>
      </c>
      <c r="DA165">
        <v>-95.796360000000007</v>
      </c>
      <c r="DB165" s="291">
        <v>42685.677083333336</v>
      </c>
      <c r="DC165" t="s">
        <v>231</v>
      </c>
      <c r="DD165" t="s">
        <v>429</v>
      </c>
      <c r="DE165" t="s">
        <v>455</v>
      </c>
      <c r="DF165" t="s">
        <v>456</v>
      </c>
      <c r="DG165" t="s">
        <v>836</v>
      </c>
      <c r="DH165">
        <v>0</v>
      </c>
      <c r="DI165" t="s">
        <v>332</v>
      </c>
      <c r="DJ165">
        <v>100</v>
      </c>
      <c r="DK165">
        <v>3</v>
      </c>
    </row>
    <row r="166" spans="1:115" x14ac:dyDescent="0.25">
      <c r="A166">
        <v>165</v>
      </c>
      <c r="B166" t="s">
        <v>657</v>
      </c>
      <c r="C166">
        <v>2</v>
      </c>
      <c r="D166">
        <v>186</v>
      </c>
      <c r="E166">
        <v>1025686</v>
      </c>
      <c r="F166" t="s">
        <v>570</v>
      </c>
      <c r="G166">
        <v>111</v>
      </c>
      <c r="H166">
        <v>1.752</v>
      </c>
      <c r="I166" t="s">
        <v>297</v>
      </c>
      <c r="J166" t="s">
        <v>299</v>
      </c>
      <c r="K166" t="s">
        <v>321</v>
      </c>
      <c r="L166" t="s">
        <v>406</v>
      </c>
      <c r="M166" t="s">
        <v>299</v>
      </c>
      <c r="N166" t="s">
        <v>321</v>
      </c>
      <c r="O166" t="s">
        <v>835</v>
      </c>
      <c r="P166">
        <v>221460180</v>
      </c>
      <c r="Q166" s="290">
        <v>45051</v>
      </c>
      <c r="R166">
        <v>26</v>
      </c>
      <c r="S166">
        <v>2022</v>
      </c>
      <c r="T166" t="s">
        <v>458</v>
      </c>
      <c r="U166">
        <v>10</v>
      </c>
      <c r="V166" t="s">
        <v>321</v>
      </c>
      <c r="W166" t="s">
        <v>320</v>
      </c>
      <c r="X166">
        <v>0</v>
      </c>
      <c r="Y166">
        <v>2</v>
      </c>
      <c r="Z166" t="s">
        <v>525</v>
      </c>
      <c r="AA166" t="s">
        <v>409</v>
      </c>
      <c r="AB166" t="s">
        <v>452</v>
      </c>
      <c r="AC166" t="s">
        <v>433</v>
      </c>
      <c r="AD166" t="s">
        <v>412</v>
      </c>
      <c r="AE166" t="s">
        <v>321</v>
      </c>
      <c r="AF166" t="s">
        <v>434</v>
      </c>
      <c r="AG166" t="s">
        <v>414</v>
      </c>
      <c r="AH166" t="s">
        <v>483</v>
      </c>
      <c r="AI166" t="s">
        <v>477</v>
      </c>
      <c r="AJ166" t="s">
        <v>592</v>
      </c>
      <c r="AK166" t="s">
        <v>526</v>
      </c>
      <c r="AL166" t="s">
        <v>417</v>
      </c>
      <c r="AM166" t="s">
        <v>425</v>
      </c>
      <c r="AN166" t="s">
        <v>453</v>
      </c>
      <c r="AO166" t="s">
        <v>487</v>
      </c>
      <c r="AP166">
        <v>50</v>
      </c>
      <c r="AQ166" t="s">
        <v>420</v>
      </c>
      <c r="AR166" t="s">
        <v>421</v>
      </c>
      <c r="AS166" t="s">
        <v>454</v>
      </c>
      <c r="AT166" t="s">
        <v>321</v>
      </c>
      <c r="AU166" t="s">
        <v>321</v>
      </c>
      <c r="AV166" t="s">
        <v>321</v>
      </c>
      <c r="AW166" t="s">
        <v>441</v>
      </c>
      <c r="AX166" t="s">
        <v>449</v>
      </c>
      <c r="AY166">
        <v>30</v>
      </c>
      <c r="AZ166" t="s">
        <v>423</v>
      </c>
      <c r="BA166" t="s">
        <v>424</v>
      </c>
      <c r="BB166" t="s">
        <v>417</v>
      </c>
      <c r="BC166" t="s">
        <v>478</v>
      </c>
      <c r="BD166" t="s">
        <v>472</v>
      </c>
      <c r="BE166" t="s">
        <v>426</v>
      </c>
      <c r="BF166">
        <v>73</v>
      </c>
      <c r="BG166" t="s">
        <v>420</v>
      </c>
      <c r="BH166" t="s">
        <v>421</v>
      </c>
      <c r="BI166" t="s">
        <v>428</v>
      </c>
      <c r="BJ166" t="s">
        <v>321</v>
      </c>
      <c r="BK166" t="s">
        <v>321</v>
      </c>
      <c r="BL166" t="s">
        <v>321</v>
      </c>
      <c r="BM166" t="s">
        <v>441</v>
      </c>
      <c r="BN166" t="s">
        <v>449</v>
      </c>
      <c r="BO166">
        <v>30</v>
      </c>
      <c r="BP166" t="s">
        <v>423</v>
      </c>
      <c r="BQ166" t="s">
        <v>424</v>
      </c>
      <c r="BR166" t="s">
        <v>321</v>
      </c>
      <c r="BS166" t="s">
        <v>321</v>
      </c>
      <c r="BT166" t="s">
        <v>321</v>
      </c>
      <c r="BU166" t="s">
        <v>321</v>
      </c>
      <c r="BV166" t="s">
        <v>321</v>
      </c>
      <c r="BW166" t="s">
        <v>321</v>
      </c>
      <c r="BX166" t="s">
        <v>321</v>
      </c>
      <c r="BY166" t="s">
        <v>321</v>
      </c>
      <c r="BZ166" t="s">
        <v>321</v>
      </c>
      <c r="CA166" t="s">
        <v>321</v>
      </c>
      <c r="CB166" t="s">
        <v>321</v>
      </c>
      <c r="CC166" t="s">
        <v>321</v>
      </c>
      <c r="CD166" t="s">
        <v>321</v>
      </c>
      <c r="CE166" t="s">
        <v>321</v>
      </c>
      <c r="CF166" t="s">
        <v>321</v>
      </c>
      <c r="CG166" t="s">
        <v>321</v>
      </c>
      <c r="CH166" t="s">
        <v>321</v>
      </c>
      <c r="CI166" t="s">
        <v>321</v>
      </c>
      <c r="CJ166" t="s">
        <v>321</v>
      </c>
      <c r="CK166" t="s">
        <v>321</v>
      </c>
      <c r="CL166" t="s">
        <v>321</v>
      </c>
      <c r="CM166" t="s">
        <v>321</v>
      </c>
      <c r="CN166" t="s">
        <v>321</v>
      </c>
      <c r="CO166" t="s">
        <v>321</v>
      </c>
      <c r="CP166" t="s">
        <v>321</v>
      </c>
      <c r="CQ166" t="s">
        <v>321</v>
      </c>
      <c r="CR166" t="s">
        <v>321</v>
      </c>
      <c r="CS166" t="s">
        <v>321</v>
      </c>
      <c r="CT166" t="s">
        <v>321</v>
      </c>
      <c r="CU166" t="s">
        <v>321</v>
      </c>
      <c r="CV166" t="s">
        <v>321</v>
      </c>
      <c r="CW166" t="s">
        <v>321</v>
      </c>
      <c r="CX166">
        <v>277923.18229999999</v>
      </c>
      <c r="CY166">
        <v>4925113.2149999999</v>
      </c>
      <c r="CZ166">
        <v>44.445228</v>
      </c>
      <c r="DA166">
        <v>-95.790871999999993</v>
      </c>
      <c r="DB166" s="291">
        <v>44707.417361111111</v>
      </c>
      <c r="DC166" t="s">
        <v>231</v>
      </c>
      <c r="DD166" t="s">
        <v>429</v>
      </c>
      <c r="DE166" t="s">
        <v>455</v>
      </c>
      <c r="DF166" t="s">
        <v>456</v>
      </c>
      <c r="DG166" t="s">
        <v>834</v>
      </c>
      <c r="DH166">
        <v>0</v>
      </c>
      <c r="DI166" t="s">
        <v>333</v>
      </c>
      <c r="DJ166">
        <v>100</v>
      </c>
      <c r="DK166">
        <v>6</v>
      </c>
    </row>
    <row r="167" spans="1:115" x14ac:dyDescent="0.25">
      <c r="A167">
        <v>166</v>
      </c>
      <c r="B167" t="s">
        <v>657</v>
      </c>
      <c r="C167">
        <v>2</v>
      </c>
      <c r="D167">
        <v>187</v>
      </c>
      <c r="E167">
        <v>1044550</v>
      </c>
      <c r="F167" t="s">
        <v>570</v>
      </c>
      <c r="G167">
        <v>111</v>
      </c>
      <c r="H167">
        <v>1.754</v>
      </c>
      <c r="I167" t="s">
        <v>297</v>
      </c>
      <c r="J167" t="s">
        <v>299</v>
      </c>
      <c r="K167" t="s">
        <v>321</v>
      </c>
      <c r="L167" t="s">
        <v>321</v>
      </c>
      <c r="M167" t="s">
        <v>299</v>
      </c>
      <c r="N167" t="s">
        <v>321</v>
      </c>
      <c r="O167" s="292">
        <v>202000000000</v>
      </c>
      <c r="P167">
        <v>222510111</v>
      </c>
      <c r="Q167" s="290">
        <v>45178</v>
      </c>
      <c r="R167">
        <v>8</v>
      </c>
      <c r="S167">
        <v>2022</v>
      </c>
      <c r="T167" t="s">
        <v>458</v>
      </c>
      <c r="U167">
        <v>21</v>
      </c>
      <c r="V167" t="s">
        <v>422</v>
      </c>
      <c r="W167" t="s">
        <v>320</v>
      </c>
      <c r="X167">
        <v>0</v>
      </c>
      <c r="Y167">
        <v>2</v>
      </c>
      <c r="Z167" t="s">
        <v>451</v>
      </c>
      <c r="AA167" t="s">
        <v>409</v>
      </c>
      <c r="AB167" t="s">
        <v>452</v>
      </c>
      <c r="AC167" t="s">
        <v>411</v>
      </c>
      <c r="AD167" t="s">
        <v>412</v>
      </c>
      <c r="AE167" t="s">
        <v>321</v>
      </c>
      <c r="AF167" t="s">
        <v>434</v>
      </c>
      <c r="AG167" t="s">
        <v>414</v>
      </c>
      <c r="AH167" t="s">
        <v>483</v>
      </c>
      <c r="AI167" t="s">
        <v>477</v>
      </c>
      <c r="AJ167" t="s">
        <v>592</v>
      </c>
      <c r="AK167" t="s">
        <v>451</v>
      </c>
      <c r="AL167" t="s">
        <v>417</v>
      </c>
      <c r="AM167" t="s">
        <v>418</v>
      </c>
      <c r="AN167" t="s">
        <v>472</v>
      </c>
      <c r="AO167" t="s">
        <v>426</v>
      </c>
      <c r="AP167">
        <v>34</v>
      </c>
      <c r="AQ167" t="s">
        <v>420</v>
      </c>
      <c r="AR167" t="s">
        <v>421</v>
      </c>
      <c r="AS167" t="s">
        <v>428</v>
      </c>
      <c r="AT167" t="s">
        <v>321</v>
      </c>
      <c r="AU167" t="s">
        <v>321</v>
      </c>
      <c r="AV167" t="s">
        <v>321</v>
      </c>
      <c r="AW167" t="s">
        <v>441</v>
      </c>
      <c r="AX167" t="s">
        <v>449</v>
      </c>
      <c r="AY167">
        <v>30</v>
      </c>
      <c r="AZ167" t="s">
        <v>423</v>
      </c>
      <c r="BA167" t="s">
        <v>424</v>
      </c>
      <c r="BB167" t="s">
        <v>417</v>
      </c>
      <c r="BC167" t="s">
        <v>514</v>
      </c>
      <c r="BD167" t="s">
        <v>448</v>
      </c>
      <c r="BE167" t="s">
        <v>419</v>
      </c>
      <c r="BF167">
        <v>32</v>
      </c>
      <c r="BG167" t="s">
        <v>420</v>
      </c>
      <c r="BH167" t="s">
        <v>421</v>
      </c>
      <c r="BI167" t="s">
        <v>430</v>
      </c>
      <c r="BJ167" t="s">
        <v>321</v>
      </c>
      <c r="BK167" t="s">
        <v>321</v>
      </c>
      <c r="BL167" t="s">
        <v>321</v>
      </c>
      <c r="BM167" t="s">
        <v>441</v>
      </c>
      <c r="BN167" t="s">
        <v>449</v>
      </c>
      <c r="BO167">
        <v>30</v>
      </c>
      <c r="BP167" t="s">
        <v>423</v>
      </c>
      <c r="BQ167" t="s">
        <v>424</v>
      </c>
      <c r="BR167" t="s">
        <v>321</v>
      </c>
      <c r="BS167" t="s">
        <v>321</v>
      </c>
      <c r="BT167" t="s">
        <v>321</v>
      </c>
      <c r="BU167" t="s">
        <v>321</v>
      </c>
      <c r="BV167" t="s">
        <v>321</v>
      </c>
      <c r="BW167" t="s">
        <v>321</v>
      </c>
      <c r="BX167" t="s">
        <v>321</v>
      </c>
      <c r="BY167" t="s">
        <v>321</v>
      </c>
      <c r="BZ167" t="s">
        <v>321</v>
      </c>
      <c r="CA167" t="s">
        <v>321</v>
      </c>
      <c r="CB167" t="s">
        <v>321</v>
      </c>
      <c r="CC167" t="s">
        <v>321</v>
      </c>
      <c r="CD167" t="s">
        <v>321</v>
      </c>
      <c r="CE167" t="s">
        <v>321</v>
      </c>
      <c r="CF167" t="s">
        <v>321</v>
      </c>
      <c r="CG167" t="s">
        <v>321</v>
      </c>
      <c r="CH167" t="s">
        <v>321</v>
      </c>
      <c r="CI167" t="s">
        <v>321</v>
      </c>
      <c r="CJ167" t="s">
        <v>321</v>
      </c>
      <c r="CK167" t="s">
        <v>321</v>
      </c>
      <c r="CL167" t="s">
        <v>321</v>
      </c>
      <c r="CM167" t="s">
        <v>321</v>
      </c>
      <c r="CN167" t="s">
        <v>321</v>
      </c>
      <c r="CO167" t="s">
        <v>321</v>
      </c>
      <c r="CP167" t="s">
        <v>321</v>
      </c>
      <c r="CQ167" t="s">
        <v>321</v>
      </c>
      <c r="CR167" t="s">
        <v>321</v>
      </c>
      <c r="CS167" t="s">
        <v>321</v>
      </c>
      <c r="CT167" t="s">
        <v>321</v>
      </c>
      <c r="CU167" t="s">
        <v>321</v>
      </c>
      <c r="CV167" t="s">
        <v>321</v>
      </c>
      <c r="CW167" t="s">
        <v>321</v>
      </c>
      <c r="CX167">
        <v>277928.05489999999</v>
      </c>
      <c r="CY167">
        <v>4925121.0990000004</v>
      </c>
      <c r="CZ167">
        <v>44.445292999999999</v>
      </c>
      <c r="DA167">
        <v>-95.790806000000003</v>
      </c>
      <c r="DB167" s="291">
        <v>44812.900694444441</v>
      </c>
      <c r="DC167" t="s">
        <v>231</v>
      </c>
      <c r="DD167" t="s">
        <v>429</v>
      </c>
      <c r="DE167" t="s">
        <v>455</v>
      </c>
      <c r="DF167" t="s">
        <v>456</v>
      </c>
      <c r="DG167" t="s">
        <v>833</v>
      </c>
      <c r="DH167">
        <v>0</v>
      </c>
      <c r="DI167" t="s">
        <v>333</v>
      </c>
      <c r="DJ167">
        <v>100</v>
      </c>
      <c r="DK167">
        <v>6</v>
      </c>
    </row>
    <row r="168" spans="1:115" x14ac:dyDescent="0.25">
      <c r="A168">
        <v>167</v>
      </c>
      <c r="B168" t="s">
        <v>657</v>
      </c>
      <c r="C168">
        <v>1</v>
      </c>
      <c r="D168">
        <v>188</v>
      </c>
      <c r="E168">
        <v>780130</v>
      </c>
      <c r="F168" t="s">
        <v>602</v>
      </c>
      <c r="G168">
        <v>14</v>
      </c>
      <c r="H168">
        <v>0.34599999999999997</v>
      </c>
      <c r="I168" t="s">
        <v>297</v>
      </c>
      <c r="J168" t="s">
        <v>299</v>
      </c>
      <c r="K168" t="s">
        <v>321</v>
      </c>
      <c r="L168" t="s">
        <v>406</v>
      </c>
      <c r="M168" t="s">
        <v>299</v>
      </c>
      <c r="N168" t="s">
        <v>321</v>
      </c>
      <c r="O168">
        <v>20000833</v>
      </c>
      <c r="P168">
        <v>200150327</v>
      </c>
      <c r="Q168" s="290">
        <v>44927</v>
      </c>
      <c r="R168">
        <v>15</v>
      </c>
      <c r="S168">
        <v>2020</v>
      </c>
      <c r="T168" t="s">
        <v>494</v>
      </c>
      <c r="U168">
        <v>15</v>
      </c>
      <c r="V168" t="s">
        <v>422</v>
      </c>
      <c r="W168" t="s">
        <v>320</v>
      </c>
      <c r="X168">
        <v>0</v>
      </c>
      <c r="Y168">
        <v>2</v>
      </c>
      <c r="Z168" t="s">
        <v>321</v>
      </c>
      <c r="AA168" t="s">
        <v>507</v>
      </c>
      <c r="AB168" t="s">
        <v>410</v>
      </c>
      <c r="AC168" t="s">
        <v>430</v>
      </c>
      <c r="AD168" t="s">
        <v>430</v>
      </c>
      <c r="AE168" t="s">
        <v>321</v>
      </c>
      <c r="AF168" t="s">
        <v>430</v>
      </c>
      <c r="AG168" t="s">
        <v>414</v>
      </c>
      <c r="AH168" t="s">
        <v>612</v>
      </c>
      <c r="AI168" t="s">
        <v>321</v>
      </c>
      <c r="AJ168" t="s">
        <v>638</v>
      </c>
      <c r="AK168" t="s">
        <v>463</v>
      </c>
      <c r="AL168" t="s">
        <v>508</v>
      </c>
      <c r="AM168" t="s">
        <v>514</v>
      </c>
      <c r="AN168" t="s">
        <v>430</v>
      </c>
      <c r="AO168" t="s">
        <v>463</v>
      </c>
      <c r="AP168" t="s">
        <v>321</v>
      </c>
      <c r="AQ168" t="s">
        <v>321</v>
      </c>
      <c r="AR168" t="s">
        <v>321</v>
      </c>
      <c r="AS168" t="s">
        <v>321</v>
      </c>
      <c r="AT168" t="s">
        <v>321</v>
      </c>
      <c r="AU168" t="s">
        <v>321</v>
      </c>
      <c r="AV168" t="s">
        <v>321</v>
      </c>
      <c r="AW168" t="s">
        <v>430</v>
      </c>
      <c r="AX168" t="s">
        <v>422</v>
      </c>
      <c r="AY168" t="s">
        <v>321</v>
      </c>
      <c r="AZ168" t="s">
        <v>423</v>
      </c>
      <c r="BA168" t="s">
        <v>424</v>
      </c>
      <c r="BB168" t="s">
        <v>504</v>
      </c>
      <c r="BC168" t="s">
        <v>321</v>
      </c>
      <c r="BD168" t="s">
        <v>430</v>
      </c>
      <c r="BE168" t="s">
        <v>430</v>
      </c>
      <c r="BF168" t="s">
        <v>321</v>
      </c>
      <c r="BG168" t="s">
        <v>321</v>
      </c>
      <c r="BH168" t="s">
        <v>321</v>
      </c>
      <c r="BI168" t="s">
        <v>321</v>
      </c>
      <c r="BJ168" t="s">
        <v>321</v>
      </c>
      <c r="BK168" t="s">
        <v>321</v>
      </c>
      <c r="BL168" t="s">
        <v>321</v>
      </c>
      <c r="BM168" t="s">
        <v>430</v>
      </c>
      <c r="BN168" t="s">
        <v>422</v>
      </c>
      <c r="BO168" t="s">
        <v>321</v>
      </c>
      <c r="BP168" t="s">
        <v>423</v>
      </c>
      <c r="BQ168" t="s">
        <v>424</v>
      </c>
      <c r="BR168" t="s">
        <v>321</v>
      </c>
      <c r="BS168" t="s">
        <v>321</v>
      </c>
      <c r="BT168" t="s">
        <v>321</v>
      </c>
      <c r="BU168" t="s">
        <v>321</v>
      </c>
      <c r="BV168" t="s">
        <v>321</v>
      </c>
      <c r="BW168" t="s">
        <v>321</v>
      </c>
      <c r="BX168" t="s">
        <v>321</v>
      </c>
      <c r="BY168" t="s">
        <v>321</v>
      </c>
      <c r="BZ168" t="s">
        <v>321</v>
      </c>
      <c r="CA168" t="s">
        <v>321</v>
      </c>
      <c r="CB168" t="s">
        <v>321</v>
      </c>
      <c r="CC168" t="s">
        <v>321</v>
      </c>
      <c r="CD168" t="s">
        <v>321</v>
      </c>
      <c r="CE168" t="s">
        <v>321</v>
      </c>
      <c r="CF168" t="s">
        <v>321</v>
      </c>
      <c r="CG168" t="s">
        <v>321</v>
      </c>
      <c r="CH168" t="s">
        <v>321</v>
      </c>
      <c r="CI168" t="s">
        <v>321</v>
      </c>
      <c r="CJ168" t="s">
        <v>321</v>
      </c>
      <c r="CK168" t="s">
        <v>321</v>
      </c>
      <c r="CL168" t="s">
        <v>321</v>
      </c>
      <c r="CM168" t="s">
        <v>321</v>
      </c>
      <c r="CN168" t="s">
        <v>321</v>
      </c>
      <c r="CO168" t="s">
        <v>321</v>
      </c>
      <c r="CP168" t="s">
        <v>321</v>
      </c>
      <c r="CQ168" t="s">
        <v>321</v>
      </c>
      <c r="CR168" t="s">
        <v>321</v>
      </c>
      <c r="CS168" t="s">
        <v>321</v>
      </c>
      <c r="CT168" t="s">
        <v>321</v>
      </c>
      <c r="CU168" t="s">
        <v>321</v>
      </c>
      <c r="CV168" t="s">
        <v>321</v>
      </c>
      <c r="CW168" t="s">
        <v>321</v>
      </c>
      <c r="CX168">
        <v>278774.8173</v>
      </c>
      <c r="CY168">
        <v>4925632.9720000001</v>
      </c>
      <c r="CZ168">
        <v>44.450163000000003</v>
      </c>
      <c r="DA168">
        <v>-95.780404000000004</v>
      </c>
      <c r="DB168" s="291">
        <v>43845.631944444445</v>
      </c>
      <c r="DC168" t="s">
        <v>231</v>
      </c>
      <c r="DD168" t="s">
        <v>429</v>
      </c>
      <c r="DE168" t="s">
        <v>455</v>
      </c>
      <c r="DF168" t="s">
        <v>456</v>
      </c>
      <c r="DG168" t="s">
        <v>639</v>
      </c>
      <c r="DH168">
        <v>0</v>
      </c>
      <c r="DI168" t="s">
        <v>334</v>
      </c>
      <c r="DJ168">
        <v>100</v>
      </c>
      <c r="DK168">
        <v>13</v>
      </c>
    </row>
    <row r="169" spans="1:115" x14ac:dyDescent="0.25">
      <c r="A169">
        <v>168</v>
      </c>
      <c r="B169" t="s">
        <v>657</v>
      </c>
      <c r="C169">
        <v>2</v>
      </c>
      <c r="D169">
        <v>189</v>
      </c>
      <c r="E169">
        <v>1017040</v>
      </c>
      <c r="F169" t="s">
        <v>570</v>
      </c>
      <c r="G169">
        <v>111</v>
      </c>
      <c r="H169">
        <v>1.76</v>
      </c>
      <c r="I169" t="s">
        <v>297</v>
      </c>
      <c r="J169" t="s">
        <v>299</v>
      </c>
      <c r="K169" t="s">
        <v>321</v>
      </c>
      <c r="L169" t="s">
        <v>406</v>
      </c>
      <c r="M169" t="s">
        <v>299</v>
      </c>
      <c r="N169" t="s">
        <v>321</v>
      </c>
      <c r="O169" s="292">
        <v>202000000000</v>
      </c>
      <c r="P169">
        <v>220980261</v>
      </c>
      <c r="Q169" s="290">
        <v>45020</v>
      </c>
      <c r="R169">
        <v>8</v>
      </c>
      <c r="S169">
        <v>2022</v>
      </c>
      <c r="T169" t="s">
        <v>485</v>
      </c>
      <c r="U169">
        <v>11</v>
      </c>
      <c r="V169" t="s">
        <v>321</v>
      </c>
      <c r="W169" t="s">
        <v>319</v>
      </c>
      <c r="X169">
        <v>0</v>
      </c>
      <c r="Y169">
        <v>2</v>
      </c>
      <c r="Z169" t="s">
        <v>451</v>
      </c>
      <c r="AA169" t="s">
        <v>409</v>
      </c>
      <c r="AB169" t="s">
        <v>452</v>
      </c>
      <c r="AC169" t="s">
        <v>433</v>
      </c>
      <c r="AD169" t="s">
        <v>412</v>
      </c>
      <c r="AE169" t="s">
        <v>321</v>
      </c>
      <c r="AF169" t="s">
        <v>434</v>
      </c>
      <c r="AG169" t="s">
        <v>414</v>
      </c>
      <c r="AH169" t="s">
        <v>483</v>
      </c>
      <c r="AI169" t="s">
        <v>832</v>
      </c>
      <c r="AJ169" t="s">
        <v>592</v>
      </c>
      <c r="AK169" t="s">
        <v>451</v>
      </c>
      <c r="AL169" t="s">
        <v>417</v>
      </c>
      <c r="AM169" t="s">
        <v>418</v>
      </c>
      <c r="AN169" t="s">
        <v>461</v>
      </c>
      <c r="AO169" t="s">
        <v>426</v>
      </c>
      <c r="AP169">
        <v>31</v>
      </c>
      <c r="AQ169" t="s">
        <v>427</v>
      </c>
      <c r="AR169" t="s">
        <v>421</v>
      </c>
      <c r="AS169" t="s">
        <v>428</v>
      </c>
      <c r="AT169" t="s">
        <v>321</v>
      </c>
      <c r="AU169" t="s">
        <v>321</v>
      </c>
      <c r="AV169" t="s">
        <v>321</v>
      </c>
      <c r="AW169" t="s">
        <v>441</v>
      </c>
      <c r="AX169" t="s">
        <v>449</v>
      </c>
      <c r="AY169">
        <v>30</v>
      </c>
      <c r="AZ169" t="s">
        <v>423</v>
      </c>
      <c r="BA169" t="s">
        <v>424</v>
      </c>
      <c r="BB169" t="s">
        <v>417</v>
      </c>
      <c r="BC169" t="s">
        <v>478</v>
      </c>
      <c r="BD169" t="s">
        <v>461</v>
      </c>
      <c r="BE169" t="s">
        <v>426</v>
      </c>
      <c r="BF169">
        <v>53</v>
      </c>
      <c r="BG169" t="s">
        <v>420</v>
      </c>
      <c r="BH169" t="s">
        <v>421</v>
      </c>
      <c r="BI169" t="s">
        <v>430</v>
      </c>
      <c r="BJ169" t="s">
        <v>321</v>
      </c>
      <c r="BK169" t="s">
        <v>321</v>
      </c>
      <c r="BL169" t="s">
        <v>321</v>
      </c>
      <c r="BM169" t="s">
        <v>441</v>
      </c>
      <c r="BN169" t="s">
        <v>449</v>
      </c>
      <c r="BO169">
        <v>30</v>
      </c>
      <c r="BP169" t="s">
        <v>423</v>
      </c>
      <c r="BQ169" t="s">
        <v>424</v>
      </c>
      <c r="BR169" t="s">
        <v>321</v>
      </c>
      <c r="BS169" t="s">
        <v>321</v>
      </c>
      <c r="BT169" t="s">
        <v>321</v>
      </c>
      <c r="BU169" t="s">
        <v>321</v>
      </c>
      <c r="BV169" t="s">
        <v>321</v>
      </c>
      <c r="BW169" t="s">
        <v>321</v>
      </c>
      <c r="BX169" t="s">
        <v>321</v>
      </c>
      <c r="BY169" t="s">
        <v>321</v>
      </c>
      <c r="BZ169" t="s">
        <v>321</v>
      </c>
      <c r="CA169" t="s">
        <v>321</v>
      </c>
      <c r="CB169" t="s">
        <v>321</v>
      </c>
      <c r="CC169" t="s">
        <v>321</v>
      </c>
      <c r="CD169" t="s">
        <v>321</v>
      </c>
      <c r="CE169" t="s">
        <v>321</v>
      </c>
      <c r="CF169" t="s">
        <v>321</v>
      </c>
      <c r="CG169" t="s">
        <v>321</v>
      </c>
      <c r="CH169" t="s">
        <v>321</v>
      </c>
      <c r="CI169" t="s">
        <v>321</v>
      </c>
      <c r="CJ169" t="s">
        <v>321</v>
      </c>
      <c r="CK169" t="s">
        <v>321</v>
      </c>
      <c r="CL169" t="s">
        <v>321</v>
      </c>
      <c r="CM169" t="s">
        <v>321</v>
      </c>
      <c r="CN169" t="s">
        <v>321</v>
      </c>
      <c r="CO169" t="s">
        <v>321</v>
      </c>
      <c r="CP169" t="s">
        <v>321</v>
      </c>
      <c r="CQ169" t="s">
        <v>321</v>
      </c>
      <c r="CR169" t="s">
        <v>321</v>
      </c>
      <c r="CS169" t="s">
        <v>321</v>
      </c>
      <c r="CT169" t="s">
        <v>321</v>
      </c>
      <c r="CU169" t="s">
        <v>321</v>
      </c>
      <c r="CV169" t="s">
        <v>321</v>
      </c>
      <c r="CW169" t="s">
        <v>321</v>
      </c>
      <c r="CX169">
        <v>277913.78499999997</v>
      </c>
      <c r="CY169">
        <v>4925122.2960000001</v>
      </c>
      <c r="CZ169">
        <v>44.445307</v>
      </c>
      <c r="DA169">
        <v>-95.790993999999998</v>
      </c>
      <c r="DB169" s="291">
        <v>44659.474999999999</v>
      </c>
      <c r="DC169" t="s">
        <v>231</v>
      </c>
      <c r="DD169" t="s">
        <v>429</v>
      </c>
      <c r="DE169" t="s">
        <v>455</v>
      </c>
      <c r="DF169" t="s">
        <v>456</v>
      </c>
      <c r="DG169" t="s">
        <v>831</v>
      </c>
      <c r="DH169">
        <v>0</v>
      </c>
      <c r="DI169" t="s">
        <v>333</v>
      </c>
      <c r="DJ169">
        <v>100</v>
      </c>
      <c r="DK169">
        <v>6</v>
      </c>
    </row>
    <row r="170" spans="1:115" x14ac:dyDescent="0.25">
      <c r="A170">
        <v>169</v>
      </c>
      <c r="B170" t="s">
        <v>657</v>
      </c>
      <c r="C170">
        <v>1</v>
      </c>
      <c r="D170">
        <v>190</v>
      </c>
      <c r="E170">
        <v>10998377</v>
      </c>
      <c r="F170" t="s">
        <v>602</v>
      </c>
      <c r="G170">
        <v>47</v>
      </c>
      <c r="H170">
        <v>0.08</v>
      </c>
      <c r="I170" t="s">
        <v>297</v>
      </c>
      <c r="J170" t="s">
        <v>299</v>
      </c>
      <c r="K170" t="s">
        <v>321</v>
      </c>
      <c r="L170" t="s">
        <v>406</v>
      </c>
      <c r="M170" t="s">
        <v>299</v>
      </c>
      <c r="N170" t="s">
        <v>321</v>
      </c>
      <c r="O170">
        <v>14301630</v>
      </c>
      <c r="P170">
        <v>143360192</v>
      </c>
      <c r="Q170" s="290">
        <v>45241</v>
      </c>
      <c r="R170">
        <v>30</v>
      </c>
      <c r="S170">
        <v>2014</v>
      </c>
      <c r="T170" t="s">
        <v>489</v>
      </c>
      <c r="U170">
        <v>15</v>
      </c>
      <c r="V170" t="s">
        <v>459</v>
      </c>
      <c r="W170" t="s">
        <v>320</v>
      </c>
      <c r="X170">
        <v>0</v>
      </c>
      <c r="Y170">
        <v>2</v>
      </c>
      <c r="Z170" t="s">
        <v>525</v>
      </c>
      <c r="AA170" t="s">
        <v>409</v>
      </c>
      <c r="AB170" t="s">
        <v>410</v>
      </c>
      <c r="AC170" t="s">
        <v>433</v>
      </c>
      <c r="AD170" t="s">
        <v>412</v>
      </c>
      <c r="AE170" t="s">
        <v>321</v>
      </c>
      <c r="AF170" t="s">
        <v>434</v>
      </c>
      <c r="AG170" t="s">
        <v>414</v>
      </c>
      <c r="AH170" t="s">
        <v>830</v>
      </c>
      <c r="AI170" t="s">
        <v>829</v>
      </c>
      <c r="AJ170" t="s">
        <v>828</v>
      </c>
      <c r="AK170" t="s">
        <v>526</v>
      </c>
      <c r="AL170" t="s">
        <v>417</v>
      </c>
      <c r="AM170" t="s">
        <v>817</v>
      </c>
      <c r="AN170" t="s">
        <v>461</v>
      </c>
      <c r="AO170" t="s">
        <v>827</v>
      </c>
      <c r="AP170">
        <v>68</v>
      </c>
      <c r="AQ170" t="s">
        <v>427</v>
      </c>
      <c r="AR170" t="s">
        <v>421</v>
      </c>
      <c r="AS170" t="s">
        <v>826</v>
      </c>
      <c r="AT170" t="s">
        <v>806</v>
      </c>
      <c r="AU170" t="s">
        <v>321</v>
      </c>
      <c r="AV170" t="s">
        <v>321</v>
      </c>
      <c r="AW170" t="s">
        <v>805</v>
      </c>
      <c r="AX170" t="s">
        <v>422</v>
      </c>
      <c r="AY170">
        <v>55</v>
      </c>
      <c r="AZ170" t="s">
        <v>423</v>
      </c>
      <c r="BA170" t="s">
        <v>424</v>
      </c>
      <c r="BB170" t="s">
        <v>417</v>
      </c>
      <c r="BC170" t="s">
        <v>418</v>
      </c>
      <c r="BD170" t="s">
        <v>448</v>
      </c>
      <c r="BE170" t="s">
        <v>426</v>
      </c>
      <c r="BF170">
        <v>30</v>
      </c>
      <c r="BG170" t="s">
        <v>427</v>
      </c>
      <c r="BH170" t="s">
        <v>421</v>
      </c>
      <c r="BI170" t="s">
        <v>428</v>
      </c>
      <c r="BJ170" t="s">
        <v>321</v>
      </c>
      <c r="BK170" t="s">
        <v>321</v>
      </c>
      <c r="BL170" t="s">
        <v>321</v>
      </c>
      <c r="BM170" t="s">
        <v>805</v>
      </c>
      <c r="BN170" t="s">
        <v>422</v>
      </c>
      <c r="BO170">
        <v>55</v>
      </c>
      <c r="BP170" t="s">
        <v>423</v>
      </c>
      <c r="BQ170" t="s">
        <v>424</v>
      </c>
      <c r="BR170" t="s">
        <v>321</v>
      </c>
      <c r="BS170" t="s">
        <v>321</v>
      </c>
      <c r="BT170" t="s">
        <v>321</v>
      </c>
      <c r="BU170" t="s">
        <v>321</v>
      </c>
      <c r="BV170" t="s">
        <v>321</v>
      </c>
      <c r="BW170" t="s">
        <v>321</v>
      </c>
      <c r="BX170" t="s">
        <v>321</v>
      </c>
      <c r="BY170" t="s">
        <v>321</v>
      </c>
      <c r="BZ170" t="s">
        <v>321</v>
      </c>
      <c r="CA170" t="s">
        <v>321</v>
      </c>
      <c r="CB170" t="s">
        <v>321</v>
      </c>
      <c r="CC170" t="s">
        <v>321</v>
      </c>
      <c r="CD170" t="s">
        <v>321</v>
      </c>
      <c r="CE170" t="s">
        <v>321</v>
      </c>
      <c r="CF170" t="s">
        <v>321</v>
      </c>
      <c r="CG170" t="s">
        <v>321</v>
      </c>
      <c r="CH170" t="s">
        <v>321</v>
      </c>
      <c r="CI170" t="s">
        <v>321</v>
      </c>
      <c r="CJ170" t="s">
        <v>321</v>
      </c>
      <c r="CK170" t="s">
        <v>321</v>
      </c>
      <c r="CL170" t="s">
        <v>321</v>
      </c>
      <c r="CM170" t="s">
        <v>321</v>
      </c>
      <c r="CN170" t="s">
        <v>321</v>
      </c>
      <c r="CO170" t="s">
        <v>321</v>
      </c>
      <c r="CP170" t="s">
        <v>321</v>
      </c>
      <c r="CQ170" t="s">
        <v>321</v>
      </c>
      <c r="CR170" t="s">
        <v>321</v>
      </c>
      <c r="CS170" t="s">
        <v>321</v>
      </c>
      <c r="CT170" t="s">
        <v>321</v>
      </c>
      <c r="CU170" t="s">
        <v>321</v>
      </c>
      <c r="CV170" t="s">
        <v>321</v>
      </c>
      <c r="CW170" t="s">
        <v>321</v>
      </c>
      <c r="CX170">
        <v>278256.4154</v>
      </c>
      <c r="CY170">
        <v>4925450.5060000001</v>
      </c>
      <c r="CZ170">
        <v>44.448363000000001</v>
      </c>
      <c r="DA170">
        <v>-95.786833000000001</v>
      </c>
      <c r="DB170" s="291">
        <v>41973.643750000003</v>
      </c>
      <c r="DC170" t="s">
        <v>231</v>
      </c>
      <c r="DD170" t="s">
        <v>429</v>
      </c>
      <c r="DE170" t="s">
        <v>430</v>
      </c>
      <c r="DF170" t="s">
        <v>430</v>
      </c>
      <c r="DG170" t="s">
        <v>825</v>
      </c>
      <c r="DH170">
        <v>0</v>
      </c>
      <c r="DI170" t="s">
        <v>659</v>
      </c>
      <c r="DJ170">
        <v>100</v>
      </c>
      <c r="DK170">
        <v>18</v>
      </c>
    </row>
    <row r="171" spans="1:115" x14ac:dyDescent="0.25">
      <c r="A171">
        <v>170</v>
      </c>
      <c r="B171" t="s">
        <v>657</v>
      </c>
      <c r="C171">
        <v>1</v>
      </c>
      <c r="D171">
        <v>191</v>
      </c>
      <c r="E171">
        <v>1008434</v>
      </c>
      <c r="F171" t="s">
        <v>602</v>
      </c>
      <c r="G171">
        <v>12</v>
      </c>
      <c r="H171">
        <v>0.34799999999999998</v>
      </c>
      <c r="I171" t="s">
        <v>297</v>
      </c>
      <c r="J171" t="s">
        <v>299</v>
      </c>
      <c r="K171" t="s">
        <v>321</v>
      </c>
      <c r="L171" t="s">
        <v>406</v>
      </c>
      <c r="M171" t="s">
        <v>299</v>
      </c>
      <c r="N171" t="s">
        <v>321</v>
      </c>
      <c r="O171" t="s">
        <v>824</v>
      </c>
      <c r="P171">
        <v>220540132</v>
      </c>
      <c r="Q171" s="290">
        <v>44959</v>
      </c>
      <c r="R171">
        <v>23</v>
      </c>
      <c r="S171">
        <v>2022</v>
      </c>
      <c r="T171" t="s">
        <v>494</v>
      </c>
      <c r="U171">
        <v>10</v>
      </c>
      <c r="V171" t="s">
        <v>422</v>
      </c>
      <c r="W171" t="s">
        <v>320</v>
      </c>
      <c r="X171">
        <v>0</v>
      </c>
      <c r="Y171">
        <v>2</v>
      </c>
      <c r="Z171" t="s">
        <v>451</v>
      </c>
      <c r="AA171" t="s">
        <v>409</v>
      </c>
      <c r="AB171" t="s">
        <v>460</v>
      </c>
      <c r="AC171" t="s">
        <v>433</v>
      </c>
      <c r="AD171" t="s">
        <v>412</v>
      </c>
      <c r="AE171" t="s">
        <v>321</v>
      </c>
      <c r="AF171" t="s">
        <v>413</v>
      </c>
      <c r="AG171" t="s">
        <v>414</v>
      </c>
      <c r="AH171" t="s">
        <v>603</v>
      </c>
      <c r="AI171" t="s">
        <v>823</v>
      </c>
      <c r="AJ171" t="s">
        <v>604</v>
      </c>
      <c r="AK171" t="s">
        <v>451</v>
      </c>
      <c r="AL171" t="s">
        <v>417</v>
      </c>
      <c r="AM171" t="s">
        <v>425</v>
      </c>
      <c r="AN171" t="s">
        <v>453</v>
      </c>
      <c r="AO171" t="s">
        <v>426</v>
      </c>
      <c r="AP171">
        <v>82</v>
      </c>
      <c r="AQ171" t="s">
        <v>420</v>
      </c>
      <c r="AR171" t="s">
        <v>421</v>
      </c>
      <c r="AS171" t="s">
        <v>496</v>
      </c>
      <c r="AT171" t="s">
        <v>428</v>
      </c>
      <c r="AU171" t="s">
        <v>321</v>
      </c>
      <c r="AV171" t="s">
        <v>321</v>
      </c>
      <c r="AW171" t="s">
        <v>605</v>
      </c>
      <c r="AX171" t="s">
        <v>512</v>
      </c>
      <c r="AY171">
        <v>30</v>
      </c>
      <c r="AZ171" t="s">
        <v>423</v>
      </c>
      <c r="BA171" t="s">
        <v>822</v>
      </c>
      <c r="BB171" t="s">
        <v>417</v>
      </c>
      <c r="BC171" t="s">
        <v>425</v>
      </c>
      <c r="BD171" t="s">
        <v>448</v>
      </c>
      <c r="BE171" t="s">
        <v>426</v>
      </c>
      <c r="BF171">
        <v>17</v>
      </c>
      <c r="BG171" t="s">
        <v>427</v>
      </c>
      <c r="BH171" t="s">
        <v>421</v>
      </c>
      <c r="BI171" t="s">
        <v>428</v>
      </c>
      <c r="BJ171" t="s">
        <v>321</v>
      </c>
      <c r="BK171" t="s">
        <v>321</v>
      </c>
      <c r="BL171" t="s">
        <v>321</v>
      </c>
      <c r="BM171" t="s">
        <v>544</v>
      </c>
      <c r="BN171" t="s">
        <v>442</v>
      </c>
      <c r="BO171">
        <v>30</v>
      </c>
      <c r="BP171" t="s">
        <v>423</v>
      </c>
      <c r="BQ171" t="s">
        <v>424</v>
      </c>
      <c r="BR171" t="s">
        <v>321</v>
      </c>
      <c r="BS171" t="s">
        <v>321</v>
      </c>
      <c r="BT171" t="s">
        <v>321</v>
      </c>
      <c r="BU171" t="s">
        <v>321</v>
      </c>
      <c r="BV171" t="s">
        <v>321</v>
      </c>
      <c r="BW171" t="s">
        <v>321</v>
      </c>
      <c r="BX171" t="s">
        <v>321</v>
      </c>
      <c r="BY171" t="s">
        <v>321</v>
      </c>
      <c r="BZ171" t="s">
        <v>321</v>
      </c>
      <c r="CA171" t="s">
        <v>321</v>
      </c>
      <c r="CB171" t="s">
        <v>321</v>
      </c>
      <c r="CC171" t="s">
        <v>321</v>
      </c>
      <c r="CD171" t="s">
        <v>321</v>
      </c>
      <c r="CE171" t="s">
        <v>321</v>
      </c>
      <c r="CF171" t="s">
        <v>321</v>
      </c>
      <c r="CG171" t="s">
        <v>321</v>
      </c>
      <c r="CH171" t="s">
        <v>321</v>
      </c>
      <c r="CI171" t="s">
        <v>321</v>
      </c>
      <c r="CJ171" t="s">
        <v>321</v>
      </c>
      <c r="CK171" t="s">
        <v>321</v>
      </c>
      <c r="CL171" t="s">
        <v>321</v>
      </c>
      <c r="CM171" t="s">
        <v>321</v>
      </c>
      <c r="CN171" t="s">
        <v>321</v>
      </c>
      <c r="CO171" t="s">
        <v>321</v>
      </c>
      <c r="CP171" t="s">
        <v>321</v>
      </c>
      <c r="CQ171" t="s">
        <v>321</v>
      </c>
      <c r="CR171" t="s">
        <v>321</v>
      </c>
      <c r="CS171" t="s">
        <v>321</v>
      </c>
      <c r="CT171" t="s">
        <v>321</v>
      </c>
      <c r="CU171" t="s">
        <v>321</v>
      </c>
      <c r="CV171" t="s">
        <v>321</v>
      </c>
      <c r="CW171" t="s">
        <v>321</v>
      </c>
      <c r="CX171">
        <v>278878.11739999999</v>
      </c>
      <c r="CY171">
        <v>4925668.6619999995</v>
      </c>
      <c r="CZ171">
        <v>44.450515000000003</v>
      </c>
      <c r="DA171">
        <v>-95.779122000000001</v>
      </c>
      <c r="DB171" s="291">
        <v>44615.449305555558</v>
      </c>
      <c r="DC171" t="s">
        <v>231</v>
      </c>
      <c r="DD171" t="s">
        <v>429</v>
      </c>
      <c r="DE171" t="s">
        <v>455</v>
      </c>
      <c r="DF171" t="s">
        <v>456</v>
      </c>
      <c r="DG171" t="s">
        <v>821</v>
      </c>
      <c r="DH171">
        <v>0</v>
      </c>
      <c r="DI171" t="s">
        <v>324</v>
      </c>
      <c r="DJ171">
        <v>100</v>
      </c>
      <c r="DK171">
        <v>14</v>
      </c>
    </row>
    <row r="172" spans="1:115" x14ac:dyDescent="0.25">
      <c r="A172">
        <v>171</v>
      </c>
      <c r="B172" t="s">
        <v>657</v>
      </c>
      <c r="C172">
        <v>1</v>
      </c>
      <c r="D172">
        <v>192</v>
      </c>
      <c r="E172">
        <v>985203</v>
      </c>
      <c r="F172" t="s">
        <v>602</v>
      </c>
      <c r="G172">
        <v>49</v>
      </c>
      <c r="H172">
        <v>7.8E-2</v>
      </c>
      <c r="I172" t="s">
        <v>297</v>
      </c>
      <c r="J172" t="s">
        <v>299</v>
      </c>
      <c r="K172" t="s">
        <v>321</v>
      </c>
      <c r="L172" t="s">
        <v>406</v>
      </c>
      <c r="M172" t="s">
        <v>299</v>
      </c>
      <c r="N172" t="s">
        <v>321</v>
      </c>
      <c r="O172" t="s">
        <v>640</v>
      </c>
      <c r="P172">
        <v>213650117</v>
      </c>
      <c r="Q172" s="290">
        <v>45272</v>
      </c>
      <c r="R172">
        <v>31</v>
      </c>
      <c r="S172">
        <v>2021</v>
      </c>
      <c r="T172" t="s">
        <v>485</v>
      </c>
      <c r="U172">
        <v>18</v>
      </c>
      <c r="V172" t="s">
        <v>422</v>
      </c>
      <c r="W172" t="s">
        <v>320</v>
      </c>
      <c r="X172">
        <v>0</v>
      </c>
      <c r="Y172">
        <v>2</v>
      </c>
      <c r="Z172" t="s">
        <v>451</v>
      </c>
      <c r="AA172" t="s">
        <v>409</v>
      </c>
      <c r="AB172" t="s">
        <v>452</v>
      </c>
      <c r="AC172" t="s">
        <v>411</v>
      </c>
      <c r="AD172" t="s">
        <v>412</v>
      </c>
      <c r="AE172" t="s">
        <v>321</v>
      </c>
      <c r="AF172" t="s">
        <v>413</v>
      </c>
      <c r="AG172" t="s">
        <v>414</v>
      </c>
      <c r="AH172" t="s">
        <v>585</v>
      </c>
      <c r="AI172" t="s">
        <v>477</v>
      </c>
      <c r="AJ172" t="s">
        <v>625</v>
      </c>
      <c r="AK172" t="s">
        <v>486</v>
      </c>
      <c r="AL172" t="s">
        <v>417</v>
      </c>
      <c r="AM172" t="s">
        <v>418</v>
      </c>
      <c r="AN172" t="s">
        <v>453</v>
      </c>
      <c r="AO172" t="s">
        <v>487</v>
      </c>
      <c r="AP172">
        <v>51</v>
      </c>
      <c r="AQ172" t="s">
        <v>420</v>
      </c>
      <c r="AR172" t="s">
        <v>421</v>
      </c>
      <c r="AS172" t="s">
        <v>454</v>
      </c>
      <c r="AT172" t="s">
        <v>321</v>
      </c>
      <c r="AU172" t="s">
        <v>321</v>
      </c>
      <c r="AV172" t="s">
        <v>321</v>
      </c>
      <c r="AW172" t="s">
        <v>441</v>
      </c>
      <c r="AX172" t="s">
        <v>449</v>
      </c>
      <c r="AY172">
        <v>30</v>
      </c>
      <c r="AZ172" t="s">
        <v>423</v>
      </c>
      <c r="BA172" t="s">
        <v>424</v>
      </c>
      <c r="BB172" t="s">
        <v>417</v>
      </c>
      <c r="BC172" t="s">
        <v>425</v>
      </c>
      <c r="BD172" t="s">
        <v>472</v>
      </c>
      <c r="BE172" t="s">
        <v>426</v>
      </c>
      <c r="BF172">
        <v>25</v>
      </c>
      <c r="BG172" t="s">
        <v>427</v>
      </c>
      <c r="BH172" t="s">
        <v>421</v>
      </c>
      <c r="BI172" t="s">
        <v>428</v>
      </c>
      <c r="BJ172" t="s">
        <v>321</v>
      </c>
      <c r="BK172" t="s">
        <v>321</v>
      </c>
      <c r="BL172" t="s">
        <v>321</v>
      </c>
      <c r="BM172" t="s">
        <v>441</v>
      </c>
      <c r="BN172" t="s">
        <v>449</v>
      </c>
      <c r="BO172">
        <v>30</v>
      </c>
      <c r="BP172" t="s">
        <v>423</v>
      </c>
      <c r="BQ172" t="s">
        <v>424</v>
      </c>
      <c r="BR172" t="s">
        <v>321</v>
      </c>
      <c r="BS172" t="s">
        <v>321</v>
      </c>
      <c r="BT172" t="s">
        <v>321</v>
      </c>
      <c r="BU172" t="s">
        <v>321</v>
      </c>
      <c r="BV172" t="s">
        <v>321</v>
      </c>
      <c r="BW172" t="s">
        <v>321</v>
      </c>
      <c r="BX172" t="s">
        <v>321</v>
      </c>
      <c r="BY172" t="s">
        <v>321</v>
      </c>
      <c r="BZ172" t="s">
        <v>321</v>
      </c>
      <c r="CA172" t="s">
        <v>321</v>
      </c>
      <c r="CB172" t="s">
        <v>321</v>
      </c>
      <c r="CC172" t="s">
        <v>321</v>
      </c>
      <c r="CD172" t="s">
        <v>321</v>
      </c>
      <c r="CE172" t="s">
        <v>321</v>
      </c>
      <c r="CF172" t="s">
        <v>321</v>
      </c>
      <c r="CG172" t="s">
        <v>321</v>
      </c>
      <c r="CH172" t="s">
        <v>321</v>
      </c>
      <c r="CI172" t="s">
        <v>321</v>
      </c>
      <c r="CJ172" t="s">
        <v>321</v>
      </c>
      <c r="CK172" t="s">
        <v>321</v>
      </c>
      <c r="CL172" t="s">
        <v>321</v>
      </c>
      <c r="CM172" t="s">
        <v>321</v>
      </c>
      <c r="CN172" t="s">
        <v>321</v>
      </c>
      <c r="CO172" t="s">
        <v>321</v>
      </c>
      <c r="CP172" t="s">
        <v>321</v>
      </c>
      <c r="CQ172" t="s">
        <v>321</v>
      </c>
      <c r="CR172" t="s">
        <v>321</v>
      </c>
      <c r="CS172" t="s">
        <v>321</v>
      </c>
      <c r="CT172" t="s">
        <v>321</v>
      </c>
      <c r="CU172" t="s">
        <v>321</v>
      </c>
      <c r="CV172" t="s">
        <v>321</v>
      </c>
      <c r="CW172" t="s">
        <v>321</v>
      </c>
      <c r="CX172">
        <v>278179.43650000001</v>
      </c>
      <c r="CY172">
        <v>4925374.28</v>
      </c>
      <c r="CZ172">
        <v>44.447654</v>
      </c>
      <c r="DA172">
        <v>-95.787767000000002</v>
      </c>
      <c r="DB172" s="291">
        <v>44561.777777777781</v>
      </c>
      <c r="DC172" t="s">
        <v>231</v>
      </c>
      <c r="DD172" t="s">
        <v>429</v>
      </c>
      <c r="DE172" t="s">
        <v>455</v>
      </c>
      <c r="DF172" t="s">
        <v>456</v>
      </c>
      <c r="DG172" t="s">
        <v>641</v>
      </c>
      <c r="DH172">
        <v>0</v>
      </c>
      <c r="DI172" t="s">
        <v>326</v>
      </c>
      <c r="DJ172">
        <v>100</v>
      </c>
      <c r="DK172">
        <v>10</v>
      </c>
    </row>
    <row r="173" spans="1:115" x14ac:dyDescent="0.25">
      <c r="A173">
        <v>172</v>
      </c>
      <c r="B173" t="s">
        <v>657</v>
      </c>
      <c r="C173">
        <v>1</v>
      </c>
      <c r="D173">
        <v>193</v>
      </c>
      <c r="E173">
        <v>11072187</v>
      </c>
      <c r="F173" t="s">
        <v>602</v>
      </c>
      <c r="G173">
        <v>49</v>
      </c>
      <c r="H173">
        <v>7.9000000000000001E-2</v>
      </c>
      <c r="I173" t="s">
        <v>297</v>
      </c>
      <c r="J173" t="s">
        <v>299</v>
      </c>
      <c r="K173" t="s">
        <v>321</v>
      </c>
      <c r="L173" t="s">
        <v>406</v>
      </c>
      <c r="M173" t="s">
        <v>299</v>
      </c>
      <c r="N173" t="s">
        <v>321</v>
      </c>
      <c r="O173" t="s">
        <v>820</v>
      </c>
      <c r="P173">
        <v>152940134</v>
      </c>
      <c r="Q173" s="290">
        <v>45209</v>
      </c>
      <c r="R173">
        <v>21</v>
      </c>
      <c r="S173">
        <v>2015</v>
      </c>
      <c r="T173" t="s">
        <v>494</v>
      </c>
      <c r="U173">
        <v>12</v>
      </c>
      <c r="V173" t="s">
        <v>321</v>
      </c>
      <c r="W173" t="s">
        <v>320</v>
      </c>
      <c r="X173">
        <v>0</v>
      </c>
      <c r="Y173">
        <v>2</v>
      </c>
      <c r="Z173" t="s">
        <v>797</v>
      </c>
      <c r="AA173" t="s">
        <v>409</v>
      </c>
      <c r="AB173" t="s">
        <v>452</v>
      </c>
      <c r="AC173" t="s">
        <v>433</v>
      </c>
      <c r="AD173" t="s">
        <v>412</v>
      </c>
      <c r="AE173" t="s">
        <v>321</v>
      </c>
      <c r="AF173" t="s">
        <v>434</v>
      </c>
      <c r="AG173" t="s">
        <v>414</v>
      </c>
      <c r="AH173" t="s">
        <v>819</v>
      </c>
      <c r="AI173" t="s">
        <v>818</v>
      </c>
      <c r="AJ173" t="s">
        <v>625</v>
      </c>
      <c r="AK173" t="s">
        <v>447</v>
      </c>
      <c r="AL173" t="s">
        <v>417</v>
      </c>
      <c r="AM173" t="s">
        <v>817</v>
      </c>
      <c r="AN173" t="s">
        <v>461</v>
      </c>
      <c r="AO173" t="s">
        <v>426</v>
      </c>
      <c r="AP173">
        <v>60</v>
      </c>
      <c r="AQ173" t="s">
        <v>427</v>
      </c>
      <c r="AR173" t="s">
        <v>421</v>
      </c>
      <c r="AS173" t="s">
        <v>428</v>
      </c>
      <c r="AT173" t="s">
        <v>321</v>
      </c>
      <c r="AU173" t="s">
        <v>321</v>
      </c>
      <c r="AV173" t="s">
        <v>321</v>
      </c>
      <c r="AW173" t="s">
        <v>816</v>
      </c>
      <c r="AX173" t="s">
        <v>449</v>
      </c>
      <c r="AY173">
        <v>30</v>
      </c>
      <c r="AZ173" t="s">
        <v>423</v>
      </c>
      <c r="BA173" t="s">
        <v>424</v>
      </c>
      <c r="BB173" t="s">
        <v>417</v>
      </c>
      <c r="BC173" t="s">
        <v>425</v>
      </c>
      <c r="BD173" t="s">
        <v>461</v>
      </c>
      <c r="BE173" t="s">
        <v>426</v>
      </c>
      <c r="BF173">
        <v>22</v>
      </c>
      <c r="BG173" t="s">
        <v>420</v>
      </c>
      <c r="BH173" t="s">
        <v>421</v>
      </c>
      <c r="BI173" t="s">
        <v>321</v>
      </c>
      <c r="BJ173" t="s">
        <v>321</v>
      </c>
      <c r="BK173" t="s">
        <v>321</v>
      </c>
      <c r="BL173" t="s">
        <v>321</v>
      </c>
      <c r="BM173" t="s">
        <v>816</v>
      </c>
      <c r="BN173" t="s">
        <v>449</v>
      </c>
      <c r="BO173">
        <v>30</v>
      </c>
      <c r="BP173" t="s">
        <v>423</v>
      </c>
      <c r="BQ173" t="s">
        <v>424</v>
      </c>
      <c r="BR173" t="s">
        <v>321</v>
      </c>
      <c r="BS173" t="s">
        <v>321</v>
      </c>
      <c r="BT173" t="s">
        <v>321</v>
      </c>
      <c r="BU173" t="s">
        <v>321</v>
      </c>
      <c r="BV173" t="s">
        <v>321</v>
      </c>
      <c r="BW173" t="s">
        <v>321</v>
      </c>
      <c r="BX173" t="s">
        <v>321</v>
      </c>
      <c r="BY173" t="s">
        <v>321</v>
      </c>
      <c r="BZ173" t="s">
        <v>321</v>
      </c>
      <c r="CA173" t="s">
        <v>321</v>
      </c>
      <c r="CB173" t="s">
        <v>321</v>
      </c>
      <c r="CC173" t="s">
        <v>321</v>
      </c>
      <c r="CD173" t="s">
        <v>321</v>
      </c>
      <c r="CE173" t="s">
        <v>321</v>
      </c>
      <c r="CF173" t="s">
        <v>321</v>
      </c>
      <c r="CG173" t="s">
        <v>321</v>
      </c>
      <c r="CH173" t="s">
        <v>321</v>
      </c>
      <c r="CI173" t="s">
        <v>321</v>
      </c>
      <c r="CJ173" t="s">
        <v>321</v>
      </c>
      <c r="CK173" t="s">
        <v>321</v>
      </c>
      <c r="CL173" t="s">
        <v>321</v>
      </c>
      <c r="CM173" t="s">
        <v>321</v>
      </c>
      <c r="CN173" t="s">
        <v>321</v>
      </c>
      <c r="CO173" t="s">
        <v>321</v>
      </c>
      <c r="CP173" t="s">
        <v>321</v>
      </c>
      <c r="CQ173" t="s">
        <v>321</v>
      </c>
      <c r="CR173" t="s">
        <v>321</v>
      </c>
      <c r="CS173" t="s">
        <v>321</v>
      </c>
      <c r="CT173" t="s">
        <v>321</v>
      </c>
      <c r="CU173" t="s">
        <v>321</v>
      </c>
      <c r="CV173" t="s">
        <v>321</v>
      </c>
      <c r="CW173" t="s">
        <v>321</v>
      </c>
      <c r="CX173">
        <v>278178.201</v>
      </c>
      <c r="CY173">
        <v>4925375.5159999998</v>
      </c>
      <c r="CZ173">
        <v>44.447665000000001</v>
      </c>
      <c r="DA173">
        <v>-95.787783000000005</v>
      </c>
      <c r="DB173" s="291">
        <v>42298.509027777778</v>
      </c>
      <c r="DC173" t="s">
        <v>231</v>
      </c>
      <c r="DD173" t="s">
        <v>429</v>
      </c>
      <c r="DE173" t="s">
        <v>430</v>
      </c>
      <c r="DF173" t="s">
        <v>430</v>
      </c>
      <c r="DG173" t="s">
        <v>815</v>
      </c>
      <c r="DH173">
        <v>0</v>
      </c>
      <c r="DI173" t="s">
        <v>326</v>
      </c>
      <c r="DJ173">
        <v>100</v>
      </c>
      <c r="DK173">
        <v>10</v>
      </c>
    </row>
    <row r="174" spans="1:115" x14ac:dyDescent="0.25">
      <c r="A174">
        <v>173</v>
      </c>
      <c r="B174" t="s">
        <v>657</v>
      </c>
      <c r="C174">
        <v>1</v>
      </c>
      <c r="D174">
        <v>194</v>
      </c>
      <c r="E174">
        <v>822239</v>
      </c>
      <c r="F174" t="s">
        <v>602</v>
      </c>
      <c r="G174">
        <v>49</v>
      </c>
      <c r="H174">
        <v>0.08</v>
      </c>
      <c r="I174" t="s">
        <v>297</v>
      </c>
      <c r="J174" t="s">
        <v>299</v>
      </c>
      <c r="K174" t="s">
        <v>321</v>
      </c>
      <c r="L174" t="s">
        <v>406</v>
      </c>
      <c r="M174" t="s">
        <v>299</v>
      </c>
      <c r="N174" t="s">
        <v>321</v>
      </c>
      <c r="O174" s="292">
        <v>202000000000</v>
      </c>
      <c r="P174">
        <v>202100122</v>
      </c>
      <c r="Q174" s="290">
        <v>45114</v>
      </c>
      <c r="R174">
        <v>28</v>
      </c>
      <c r="S174">
        <v>2020</v>
      </c>
      <c r="T174" t="s">
        <v>407</v>
      </c>
      <c r="U174">
        <v>19</v>
      </c>
      <c r="V174" t="s">
        <v>466</v>
      </c>
      <c r="W174" t="s">
        <v>320</v>
      </c>
      <c r="X174">
        <v>0</v>
      </c>
      <c r="Y174">
        <v>2</v>
      </c>
      <c r="Z174" t="s">
        <v>451</v>
      </c>
      <c r="AA174" t="s">
        <v>409</v>
      </c>
      <c r="AB174" t="s">
        <v>452</v>
      </c>
      <c r="AC174" t="s">
        <v>433</v>
      </c>
      <c r="AD174" t="s">
        <v>412</v>
      </c>
      <c r="AE174" t="s">
        <v>321</v>
      </c>
      <c r="AF174" t="s">
        <v>434</v>
      </c>
      <c r="AG174" t="s">
        <v>414</v>
      </c>
      <c r="AH174" t="s">
        <v>585</v>
      </c>
      <c r="AI174" t="s">
        <v>321</v>
      </c>
      <c r="AJ174" t="s">
        <v>625</v>
      </c>
      <c r="AK174" t="s">
        <v>486</v>
      </c>
      <c r="AL174" t="s">
        <v>417</v>
      </c>
      <c r="AM174" t="s">
        <v>478</v>
      </c>
      <c r="AN174" t="s">
        <v>448</v>
      </c>
      <c r="AO174" t="s">
        <v>487</v>
      </c>
      <c r="AP174">
        <v>62</v>
      </c>
      <c r="AQ174" t="s">
        <v>420</v>
      </c>
      <c r="AR174" t="s">
        <v>421</v>
      </c>
      <c r="AS174" t="s">
        <v>454</v>
      </c>
      <c r="AT174" t="s">
        <v>321</v>
      </c>
      <c r="AU174" t="s">
        <v>321</v>
      </c>
      <c r="AV174" t="s">
        <v>321</v>
      </c>
      <c r="AW174" t="s">
        <v>544</v>
      </c>
      <c r="AX174" t="s">
        <v>449</v>
      </c>
      <c r="AY174">
        <v>30</v>
      </c>
      <c r="AZ174" t="s">
        <v>423</v>
      </c>
      <c r="BA174" t="s">
        <v>424</v>
      </c>
      <c r="BB174" t="s">
        <v>417</v>
      </c>
      <c r="BC174" t="s">
        <v>478</v>
      </c>
      <c r="BD174" t="s">
        <v>461</v>
      </c>
      <c r="BE174" t="s">
        <v>426</v>
      </c>
      <c r="BF174">
        <v>40</v>
      </c>
      <c r="BG174" t="s">
        <v>420</v>
      </c>
      <c r="BH174" t="s">
        <v>421</v>
      </c>
      <c r="BI174" t="s">
        <v>428</v>
      </c>
      <c r="BJ174" t="s">
        <v>321</v>
      </c>
      <c r="BK174" t="s">
        <v>321</v>
      </c>
      <c r="BL174" t="s">
        <v>321</v>
      </c>
      <c r="BM174" t="s">
        <v>544</v>
      </c>
      <c r="BN174" t="s">
        <v>449</v>
      </c>
      <c r="BO174">
        <v>30</v>
      </c>
      <c r="BP174" t="s">
        <v>423</v>
      </c>
      <c r="BQ174" t="s">
        <v>424</v>
      </c>
      <c r="BR174" t="s">
        <v>321</v>
      </c>
      <c r="BS174" t="s">
        <v>321</v>
      </c>
      <c r="BT174" t="s">
        <v>321</v>
      </c>
      <c r="BU174" t="s">
        <v>321</v>
      </c>
      <c r="BV174" t="s">
        <v>321</v>
      </c>
      <c r="BW174" t="s">
        <v>321</v>
      </c>
      <c r="BX174" t="s">
        <v>321</v>
      </c>
      <c r="BY174" t="s">
        <v>321</v>
      </c>
      <c r="BZ174" t="s">
        <v>321</v>
      </c>
      <c r="CA174" t="s">
        <v>321</v>
      </c>
      <c r="CB174" t="s">
        <v>321</v>
      </c>
      <c r="CC174" t="s">
        <v>321</v>
      </c>
      <c r="CD174" t="s">
        <v>321</v>
      </c>
      <c r="CE174" t="s">
        <v>321</v>
      </c>
      <c r="CF174" t="s">
        <v>321</v>
      </c>
      <c r="CG174" t="s">
        <v>321</v>
      </c>
      <c r="CH174" t="s">
        <v>321</v>
      </c>
      <c r="CI174" t="s">
        <v>321</v>
      </c>
      <c r="CJ174" t="s">
        <v>321</v>
      </c>
      <c r="CK174" t="s">
        <v>321</v>
      </c>
      <c r="CL174" t="s">
        <v>321</v>
      </c>
      <c r="CM174" t="s">
        <v>321</v>
      </c>
      <c r="CN174" t="s">
        <v>321</v>
      </c>
      <c r="CO174" t="s">
        <v>321</v>
      </c>
      <c r="CP174" t="s">
        <v>321</v>
      </c>
      <c r="CQ174" t="s">
        <v>321</v>
      </c>
      <c r="CR174" t="s">
        <v>321</v>
      </c>
      <c r="CS174" t="s">
        <v>321</v>
      </c>
      <c r="CT174" t="s">
        <v>321</v>
      </c>
      <c r="CU174" t="s">
        <v>321</v>
      </c>
      <c r="CV174" t="s">
        <v>321</v>
      </c>
      <c r="CW174" t="s">
        <v>321</v>
      </c>
      <c r="CX174">
        <v>278177.31</v>
      </c>
      <c r="CY174">
        <v>4925376.4349999996</v>
      </c>
      <c r="CZ174">
        <v>44.447673000000002</v>
      </c>
      <c r="DA174">
        <v>-95.787794000000005</v>
      </c>
      <c r="DB174" s="291">
        <v>44040.794444444444</v>
      </c>
      <c r="DC174" t="s">
        <v>231</v>
      </c>
      <c r="DD174" t="s">
        <v>429</v>
      </c>
      <c r="DE174" t="s">
        <v>455</v>
      </c>
      <c r="DF174" t="s">
        <v>456</v>
      </c>
      <c r="DG174" t="s">
        <v>642</v>
      </c>
      <c r="DH174">
        <v>0</v>
      </c>
      <c r="DI174" t="s">
        <v>326</v>
      </c>
      <c r="DJ174">
        <v>100</v>
      </c>
      <c r="DK174">
        <v>10</v>
      </c>
    </row>
    <row r="175" spans="1:115" x14ac:dyDescent="0.25">
      <c r="A175">
        <v>174</v>
      </c>
      <c r="B175" t="s">
        <v>657</v>
      </c>
      <c r="C175">
        <v>1</v>
      </c>
      <c r="D175">
        <v>195</v>
      </c>
      <c r="E175">
        <v>1017718</v>
      </c>
      <c r="F175" t="s">
        <v>602</v>
      </c>
      <c r="G175">
        <v>49</v>
      </c>
      <c r="H175">
        <v>6.7000000000000004E-2</v>
      </c>
      <c r="I175" t="s">
        <v>297</v>
      </c>
      <c r="J175" t="s">
        <v>299</v>
      </c>
      <c r="K175" t="s">
        <v>321</v>
      </c>
      <c r="L175" t="s">
        <v>406</v>
      </c>
      <c r="M175" t="s">
        <v>299</v>
      </c>
      <c r="N175" t="s">
        <v>321</v>
      </c>
      <c r="O175" t="s">
        <v>814</v>
      </c>
      <c r="P175">
        <v>221050033</v>
      </c>
      <c r="Q175" s="290">
        <v>45020</v>
      </c>
      <c r="R175">
        <v>15</v>
      </c>
      <c r="S175">
        <v>2022</v>
      </c>
      <c r="T175" t="s">
        <v>485</v>
      </c>
      <c r="U175">
        <v>10</v>
      </c>
      <c r="V175" t="s">
        <v>422</v>
      </c>
      <c r="W175" t="s">
        <v>320</v>
      </c>
      <c r="X175">
        <v>0</v>
      </c>
      <c r="Y175">
        <v>2</v>
      </c>
      <c r="Z175" t="s">
        <v>408</v>
      </c>
      <c r="AA175" t="s">
        <v>409</v>
      </c>
      <c r="AB175" t="s">
        <v>460</v>
      </c>
      <c r="AC175" t="s">
        <v>433</v>
      </c>
      <c r="AD175" t="s">
        <v>412</v>
      </c>
      <c r="AE175" t="s">
        <v>321</v>
      </c>
      <c r="AF175" t="s">
        <v>434</v>
      </c>
      <c r="AG175" t="s">
        <v>414</v>
      </c>
      <c r="AH175" t="s">
        <v>585</v>
      </c>
      <c r="AI175" t="s">
        <v>477</v>
      </c>
      <c r="AJ175" t="s">
        <v>625</v>
      </c>
      <c r="AK175" t="s">
        <v>416</v>
      </c>
      <c r="AL175" t="s">
        <v>417</v>
      </c>
      <c r="AM175" t="s">
        <v>425</v>
      </c>
      <c r="AN175" t="s">
        <v>461</v>
      </c>
      <c r="AO175" t="s">
        <v>419</v>
      </c>
      <c r="AP175">
        <v>55</v>
      </c>
      <c r="AQ175" t="s">
        <v>427</v>
      </c>
      <c r="AR175" t="s">
        <v>421</v>
      </c>
      <c r="AS175" t="s">
        <v>428</v>
      </c>
      <c r="AT175" t="s">
        <v>321</v>
      </c>
      <c r="AU175" t="s">
        <v>321</v>
      </c>
      <c r="AV175" t="s">
        <v>321</v>
      </c>
      <c r="AW175" t="s">
        <v>441</v>
      </c>
      <c r="AX175" t="s">
        <v>449</v>
      </c>
      <c r="AY175">
        <v>30</v>
      </c>
      <c r="AZ175" t="s">
        <v>423</v>
      </c>
      <c r="BA175" t="s">
        <v>424</v>
      </c>
      <c r="BB175" t="s">
        <v>417</v>
      </c>
      <c r="BC175" t="s">
        <v>425</v>
      </c>
      <c r="BD175" t="s">
        <v>461</v>
      </c>
      <c r="BE175" t="s">
        <v>419</v>
      </c>
      <c r="BF175">
        <v>25</v>
      </c>
      <c r="BG175" t="s">
        <v>420</v>
      </c>
      <c r="BH175" t="s">
        <v>421</v>
      </c>
      <c r="BI175" t="s">
        <v>454</v>
      </c>
      <c r="BJ175" t="s">
        <v>321</v>
      </c>
      <c r="BK175" t="s">
        <v>321</v>
      </c>
      <c r="BL175" t="s">
        <v>321</v>
      </c>
      <c r="BM175" t="s">
        <v>441</v>
      </c>
      <c r="BN175" t="s">
        <v>449</v>
      </c>
      <c r="BO175">
        <v>30</v>
      </c>
      <c r="BP175" t="s">
        <v>423</v>
      </c>
      <c r="BQ175" t="s">
        <v>424</v>
      </c>
      <c r="BR175" t="s">
        <v>321</v>
      </c>
      <c r="BS175" t="s">
        <v>321</v>
      </c>
      <c r="BT175" t="s">
        <v>321</v>
      </c>
      <c r="BU175" t="s">
        <v>321</v>
      </c>
      <c r="BV175" t="s">
        <v>321</v>
      </c>
      <c r="BW175" t="s">
        <v>321</v>
      </c>
      <c r="BX175" t="s">
        <v>321</v>
      </c>
      <c r="BY175" t="s">
        <v>321</v>
      </c>
      <c r="BZ175" t="s">
        <v>321</v>
      </c>
      <c r="CA175" t="s">
        <v>321</v>
      </c>
      <c r="CB175" t="s">
        <v>321</v>
      </c>
      <c r="CC175" t="s">
        <v>321</v>
      </c>
      <c r="CD175" t="s">
        <v>321</v>
      </c>
      <c r="CE175" t="s">
        <v>321</v>
      </c>
      <c r="CF175" t="s">
        <v>321</v>
      </c>
      <c r="CG175" t="s">
        <v>321</v>
      </c>
      <c r="CH175" t="s">
        <v>321</v>
      </c>
      <c r="CI175" t="s">
        <v>321</v>
      </c>
      <c r="CJ175" t="s">
        <v>321</v>
      </c>
      <c r="CK175" t="s">
        <v>321</v>
      </c>
      <c r="CL175" t="s">
        <v>321</v>
      </c>
      <c r="CM175" t="s">
        <v>321</v>
      </c>
      <c r="CN175" t="s">
        <v>321</v>
      </c>
      <c r="CO175" t="s">
        <v>321</v>
      </c>
      <c r="CP175" t="s">
        <v>321</v>
      </c>
      <c r="CQ175" t="s">
        <v>321</v>
      </c>
      <c r="CR175" t="s">
        <v>321</v>
      </c>
      <c r="CS175" t="s">
        <v>321</v>
      </c>
      <c r="CT175" t="s">
        <v>321</v>
      </c>
      <c r="CU175" t="s">
        <v>321</v>
      </c>
      <c r="CV175" t="s">
        <v>321</v>
      </c>
      <c r="CW175" t="s">
        <v>321</v>
      </c>
      <c r="CX175">
        <v>278192.23550000001</v>
      </c>
      <c r="CY175">
        <v>4925361.4790000003</v>
      </c>
      <c r="CZ175">
        <v>44.447543000000003</v>
      </c>
      <c r="DA175">
        <v>-95.787600999999995</v>
      </c>
      <c r="DB175" s="291">
        <v>44666.420138888891</v>
      </c>
      <c r="DC175" t="s">
        <v>231</v>
      </c>
      <c r="DD175" t="s">
        <v>429</v>
      </c>
      <c r="DE175" t="s">
        <v>455</v>
      </c>
      <c r="DF175" t="s">
        <v>456</v>
      </c>
      <c r="DG175" t="s">
        <v>813</v>
      </c>
      <c r="DH175">
        <v>0</v>
      </c>
      <c r="DI175" t="s">
        <v>326</v>
      </c>
      <c r="DJ175">
        <v>100</v>
      </c>
      <c r="DK175">
        <v>10</v>
      </c>
    </row>
    <row r="176" spans="1:115" x14ac:dyDescent="0.25">
      <c r="A176">
        <v>175</v>
      </c>
      <c r="B176" t="s">
        <v>657</v>
      </c>
      <c r="C176">
        <v>1</v>
      </c>
      <c r="D176">
        <v>196</v>
      </c>
      <c r="E176">
        <v>844454</v>
      </c>
      <c r="F176" t="s">
        <v>602</v>
      </c>
      <c r="G176">
        <v>66</v>
      </c>
      <c r="H176">
        <v>0.72</v>
      </c>
      <c r="I176" t="s">
        <v>297</v>
      </c>
      <c r="J176" t="s">
        <v>299</v>
      </c>
      <c r="K176" t="s">
        <v>321</v>
      </c>
      <c r="L176" t="s">
        <v>406</v>
      </c>
      <c r="M176" t="s">
        <v>299</v>
      </c>
      <c r="N176" t="s">
        <v>321</v>
      </c>
      <c r="O176" s="292">
        <v>202000000000</v>
      </c>
      <c r="P176">
        <v>202710191</v>
      </c>
      <c r="Q176" s="290">
        <v>45178</v>
      </c>
      <c r="R176">
        <v>27</v>
      </c>
      <c r="S176">
        <v>2020</v>
      </c>
      <c r="T176" t="s">
        <v>489</v>
      </c>
      <c r="U176">
        <v>16</v>
      </c>
      <c r="V176" t="s">
        <v>450</v>
      </c>
      <c r="W176" t="s">
        <v>320</v>
      </c>
      <c r="X176">
        <v>0</v>
      </c>
      <c r="Y176">
        <v>2</v>
      </c>
      <c r="Z176" t="s">
        <v>476</v>
      </c>
      <c r="AA176" t="s">
        <v>409</v>
      </c>
      <c r="AB176" t="s">
        <v>452</v>
      </c>
      <c r="AC176" t="s">
        <v>433</v>
      </c>
      <c r="AD176" t="s">
        <v>412</v>
      </c>
      <c r="AE176" t="s">
        <v>321</v>
      </c>
      <c r="AF176" t="s">
        <v>434</v>
      </c>
      <c r="AG176" t="s">
        <v>414</v>
      </c>
      <c r="AH176" t="s">
        <v>643</v>
      </c>
      <c r="AI176" t="s">
        <v>321</v>
      </c>
      <c r="AJ176" t="s">
        <v>644</v>
      </c>
      <c r="AK176" t="s">
        <v>447</v>
      </c>
      <c r="AL176" t="s">
        <v>417</v>
      </c>
      <c r="AM176" t="s">
        <v>418</v>
      </c>
      <c r="AN176" t="s">
        <v>453</v>
      </c>
      <c r="AO176" t="s">
        <v>426</v>
      </c>
      <c r="AP176">
        <v>67</v>
      </c>
      <c r="AQ176" t="s">
        <v>427</v>
      </c>
      <c r="AR176" t="s">
        <v>421</v>
      </c>
      <c r="AS176" t="s">
        <v>428</v>
      </c>
      <c r="AT176" t="s">
        <v>321</v>
      </c>
      <c r="AU176" t="s">
        <v>321</v>
      </c>
      <c r="AV176" t="s">
        <v>321</v>
      </c>
      <c r="AW176" t="s">
        <v>441</v>
      </c>
      <c r="AX176" t="s">
        <v>449</v>
      </c>
      <c r="AY176">
        <v>30</v>
      </c>
      <c r="AZ176" t="s">
        <v>535</v>
      </c>
      <c r="BA176" t="s">
        <v>424</v>
      </c>
      <c r="BB176" t="s">
        <v>417</v>
      </c>
      <c r="BC176" t="s">
        <v>425</v>
      </c>
      <c r="BD176" t="s">
        <v>453</v>
      </c>
      <c r="BE176" t="s">
        <v>594</v>
      </c>
      <c r="BF176">
        <v>24</v>
      </c>
      <c r="BG176" t="s">
        <v>427</v>
      </c>
      <c r="BH176" t="s">
        <v>421</v>
      </c>
      <c r="BI176" t="s">
        <v>479</v>
      </c>
      <c r="BJ176" t="s">
        <v>321</v>
      </c>
      <c r="BK176" t="s">
        <v>321</v>
      </c>
      <c r="BL176" t="s">
        <v>321</v>
      </c>
      <c r="BM176" t="s">
        <v>441</v>
      </c>
      <c r="BN176" t="s">
        <v>449</v>
      </c>
      <c r="BO176">
        <v>30</v>
      </c>
      <c r="BP176" t="s">
        <v>535</v>
      </c>
      <c r="BQ176" t="s">
        <v>424</v>
      </c>
      <c r="BR176" t="s">
        <v>321</v>
      </c>
      <c r="BS176" t="s">
        <v>321</v>
      </c>
      <c r="BT176" t="s">
        <v>321</v>
      </c>
      <c r="BU176" t="s">
        <v>321</v>
      </c>
      <c r="BV176" t="s">
        <v>321</v>
      </c>
      <c r="BW176" t="s">
        <v>321</v>
      </c>
      <c r="BX176" t="s">
        <v>321</v>
      </c>
      <c r="BY176" t="s">
        <v>321</v>
      </c>
      <c r="BZ176" t="s">
        <v>321</v>
      </c>
      <c r="CA176" t="s">
        <v>321</v>
      </c>
      <c r="CB176" t="s">
        <v>321</v>
      </c>
      <c r="CC176" t="s">
        <v>321</v>
      </c>
      <c r="CD176" t="s">
        <v>321</v>
      </c>
      <c r="CE176" t="s">
        <v>321</v>
      </c>
      <c r="CF176" t="s">
        <v>321</v>
      </c>
      <c r="CG176" t="s">
        <v>321</v>
      </c>
      <c r="CH176" t="s">
        <v>321</v>
      </c>
      <c r="CI176" t="s">
        <v>321</v>
      </c>
      <c r="CJ176" t="s">
        <v>321</v>
      </c>
      <c r="CK176" t="s">
        <v>321</v>
      </c>
      <c r="CL176" t="s">
        <v>321</v>
      </c>
      <c r="CM176" t="s">
        <v>321</v>
      </c>
      <c r="CN176" t="s">
        <v>321</v>
      </c>
      <c r="CO176" t="s">
        <v>321</v>
      </c>
      <c r="CP176" t="s">
        <v>321</v>
      </c>
      <c r="CQ176" t="s">
        <v>321</v>
      </c>
      <c r="CR176" t="s">
        <v>321</v>
      </c>
      <c r="CS176" t="s">
        <v>321</v>
      </c>
      <c r="CT176" t="s">
        <v>321</v>
      </c>
      <c r="CU176" t="s">
        <v>321</v>
      </c>
      <c r="CV176" t="s">
        <v>321</v>
      </c>
      <c r="CW176" t="s">
        <v>321</v>
      </c>
      <c r="CX176">
        <v>277670.28619999997</v>
      </c>
      <c r="CY176">
        <v>4924886.5860000001</v>
      </c>
      <c r="CZ176">
        <v>44.443111999999999</v>
      </c>
      <c r="DA176">
        <v>-95.793948999999998</v>
      </c>
      <c r="DB176" s="291">
        <v>44101.673611111109</v>
      </c>
      <c r="DC176" t="s">
        <v>231</v>
      </c>
      <c r="DD176" t="s">
        <v>429</v>
      </c>
      <c r="DE176" t="s">
        <v>455</v>
      </c>
      <c r="DF176" t="s">
        <v>456</v>
      </c>
      <c r="DG176" t="s">
        <v>645</v>
      </c>
      <c r="DH176">
        <v>0</v>
      </c>
      <c r="DI176" t="s">
        <v>658</v>
      </c>
      <c r="DJ176">
        <v>100</v>
      </c>
      <c r="DK176">
        <v>4</v>
      </c>
    </row>
    <row r="177" spans="1:115" x14ac:dyDescent="0.25">
      <c r="A177">
        <v>176</v>
      </c>
      <c r="B177" t="s">
        <v>657</v>
      </c>
      <c r="C177">
        <v>1</v>
      </c>
      <c r="D177">
        <v>197</v>
      </c>
      <c r="E177">
        <v>840158</v>
      </c>
      <c r="F177" t="s">
        <v>602</v>
      </c>
      <c r="G177">
        <v>69</v>
      </c>
      <c r="H177">
        <v>3.7999999999999999E-2</v>
      </c>
      <c r="I177" t="s">
        <v>297</v>
      </c>
      <c r="J177" t="s">
        <v>299</v>
      </c>
      <c r="K177" t="s">
        <v>321</v>
      </c>
      <c r="L177" t="s">
        <v>406</v>
      </c>
      <c r="M177" t="s">
        <v>299</v>
      </c>
      <c r="N177" t="s">
        <v>321</v>
      </c>
      <c r="O177" t="s">
        <v>646</v>
      </c>
      <c r="P177">
        <v>202550015</v>
      </c>
      <c r="Q177" s="290">
        <v>45178</v>
      </c>
      <c r="R177">
        <v>11</v>
      </c>
      <c r="S177">
        <v>2020</v>
      </c>
      <c r="T177" t="s">
        <v>485</v>
      </c>
      <c r="U177">
        <v>7</v>
      </c>
      <c r="V177" t="s">
        <v>450</v>
      </c>
      <c r="W177" t="s">
        <v>318</v>
      </c>
      <c r="X177">
        <v>0</v>
      </c>
      <c r="Y177">
        <v>1</v>
      </c>
      <c r="Z177" t="s">
        <v>321</v>
      </c>
      <c r="AA177" t="s">
        <v>552</v>
      </c>
      <c r="AB177" t="s">
        <v>452</v>
      </c>
      <c r="AC177" t="s">
        <v>433</v>
      </c>
      <c r="AD177" t="s">
        <v>446</v>
      </c>
      <c r="AE177" t="s">
        <v>321</v>
      </c>
      <c r="AF177" t="s">
        <v>434</v>
      </c>
      <c r="AG177" t="s">
        <v>414</v>
      </c>
      <c r="AH177" t="s">
        <v>647</v>
      </c>
      <c r="AI177" t="s">
        <v>477</v>
      </c>
      <c r="AJ177" t="s">
        <v>648</v>
      </c>
      <c r="AK177" t="s">
        <v>553</v>
      </c>
      <c r="AL177" t="s">
        <v>417</v>
      </c>
      <c r="AM177" t="s">
        <v>418</v>
      </c>
      <c r="AN177" t="s">
        <v>453</v>
      </c>
      <c r="AO177" t="s">
        <v>419</v>
      </c>
      <c r="AP177">
        <v>27</v>
      </c>
      <c r="AQ177" t="s">
        <v>427</v>
      </c>
      <c r="AR177" t="s">
        <v>421</v>
      </c>
      <c r="AS177" t="s">
        <v>428</v>
      </c>
      <c r="AT177" t="s">
        <v>321</v>
      </c>
      <c r="AU177" t="s">
        <v>321</v>
      </c>
      <c r="AV177" t="s">
        <v>321</v>
      </c>
      <c r="AW177" t="s">
        <v>441</v>
      </c>
      <c r="AX177" t="s">
        <v>512</v>
      </c>
      <c r="AY177">
        <v>30</v>
      </c>
      <c r="AZ177" t="s">
        <v>423</v>
      </c>
      <c r="BA177" t="s">
        <v>424</v>
      </c>
      <c r="BB177" t="s">
        <v>554</v>
      </c>
      <c r="BC177" t="s">
        <v>321</v>
      </c>
      <c r="BD177" t="s">
        <v>321</v>
      </c>
      <c r="BE177" t="s">
        <v>321</v>
      </c>
      <c r="BF177">
        <v>17</v>
      </c>
      <c r="BG177" t="s">
        <v>420</v>
      </c>
      <c r="BH177" t="s">
        <v>421</v>
      </c>
      <c r="BI177" t="s">
        <v>440</v>
      </c>
      <c r="BJ177" t="s">
        <v>321</v>
      </c>
      <c r="BK177" t="s">
        <v>649</v>
      </c>
      <c r="BL177" t="s">
        <v>530</v>
      </c>
      <c r="BM177" t="s">
        <v>321</v>
      </c>
      <c r="BN177" t="s">
        <v>321</v>
      </c>
      <c r="BO177" t="s">
        <v>321</v>
      </c>
      <c r="BP177" t="s">
        <v>321</v>
      </c>
      <c r="BQ177" t="s">
        <v>321</v>
      </c>
      <c r="BR177" t="s">
        <v>321</v>
      </c>
      <c r="BS177" t="s">
        <v>321</v>
      </c>
      <c r="BT177" t="s">
        <v>321</v>
      </c>
      <c r="BU177" t="s">
        <v>321</v>
      </c>
      <c r="BV177" t="s">
        <v>321</v>
      </c>
      <c r="BW177" t="s">
        <v>321</v>
      </c>
      <c r="BX177" t="s">
        <v>321</v>
      </c>
      <c r="BY177" t="s">
        <v>321</v>
      </c>
      <c r="BZ177" t="s">
        <v>321</v>
      </c>
      <c r="CA177" t="s">
        <v>321</v>
      </c>
      <c r="CB177" t="s">
        <v>321</v>
      </c>
      <c r="CC177" t="s">
        <v>321</v>
      </c>
      <c r="CD177" t="s">
        <v>321</v>
      </c>
      <c r="CE177" t="s">
        <v>321</v>
      </c>
      <c r="CF177" t="s">
        <v>321</v>
      </c>
      <c r="CG177" t="s">
        <v>321</v>
      </c>
      <c r="CH177" t="s">
        <v>321</v>
      </c>
      <c r="CI177" t="s">
        <v>321</v>
      </c>
      <c r="CJ177" t="s">
        <v>321</v>
      </c>
      <c r="CK177" t="s">
        <v>321</v>
      </c>
      <c r="CL177" t="s">
        <v>321</v>
      </c>
      <c r="CM177" t="s">
        <v>321</v>
      </c>
      <c r="CN177" t="s">
        <v>321</v>
      </c>
      <c r="CO177" t="s">
        <v>321</v>
      </c>
      <c r="CP177" t="s">
        <v>321</v>
      </c>
      <c r="CQ177" t="s">
        <v>321</v>
      </c>
      <c r="CR177" t="s">
        <v>321</v>
      </c>
      <c r="CS177" t="s">
        <v>321</v>
      </c>
      <c r="CT177" t="s">
        <v>321</v>
      </c>
      <c r="CU177" t="s">
        <v>321</v>
      </c>
      <c r="CV177" t="s">
        <v>321</v>
      </c>
      <c r="CW177" t="s">
        <v>321</v>
      </c>
      <c r="CX177">
        <v>277783.75319999998</v>
      </c>
      <c r="CY177">
        <v>4924998.1090000002</v>
      </c>
      <c r="CZ177">
        <v>44.44415</v>
      </c>
      <c r="DA177">
        <v>-95.792573000000004</v>
      </c>
      <c r="DB177" s="291">
        <v>44085.307638888888</v>
      </c>
      <c r="DC177" t="s">
        <v>231</v>
      </c>
      <c r="DD177" t="s">
        <v>429</v>
      </c>
      <c r="DE177" t="s">
        <v>455</v>
      </c>
      <c r="DF177" t="s">
        <v>456</v>
      </c>
      <c r="DG177" t="s">
        <v>650</v>
      </c>
      <c r="DH177">
        <v>0</v>
      </c>
      <c r="DI177" t="s">
        <v>323</v>
      </c>
      <c r="DJ177">
        <v>100</v>
      </c>
      <c r="DK177">
        <v>5</v>
      </c>
    </row>
    <row r="178" spans="1:115" x14ac:dyDescent="0.25">
      <c r="A178">
        <v>177</v>
      </c>
      <c r="B178" t="s">
        <v>657</v>
      </c>
      <c r="C178">
        <v>1</v>
      </c>
      <c r="D178">
        <v>198</v>
      </c>
      <c r="E178">
        <v>1013083</v>
      </c>
      <c r="F178" t="s">
        <v>602</v>
      </c>
      <c r="G178">
        <v>96</v>
      </c>
      <c r="H178">
        <v>0.23</v>
      </c>
      <c r="I178" t="s">
        <v>297</v>
      </c>
      <c r="J178" t="s">
        <v>299</v>
      </c>
      <c r="K178" t="s">
        <v>321</v>
      </c>
      <c r="L178" t="s">
        <v>406</v>
      </c>
      <c r="M178" t="s">
        <v>299</v>
      </c>
      <c r="N178" t="s">
        <v>321</v>
      </c>
      <c r="O178" s="292">
        <v>202000000000</v>
      </c>
      <c r="P178">
        <v>220770015</v>
      </c>
      <c r="Q178" s="290">
        <v>44988</v>
      </c>
      <c r="R178">
        <v>18</v>
      </c>
      <c r="S178">
        <v>2022</v>
      </c>
      <c r="T178" t="s">
        <v>485</v>
      </c>
      <c r="U178">
        <v>7</v>
      </c>
      <c r="V178" t="s">
        <v>466</v>
      </c>
      <c r="W178" t="s">
        <v>320</v>
      </c>
      <c r="X178">
        <v>0</v>
      </c>
      <c r="Y178">
        <v>2</v>
      </c>
      <c r="Z178" t="s">
        <v>451</v>
      </c>
      <c r="AA178" t="s">
        <v>409</v>
      </c>
      <c r="AB178" t="s">
        <v>500</v>
      </c>
      <c r="AC178" t="s">
        <v>510</v>
      </c>
      <c r="AD178" t="s">
        <v>412</v>
      </c>
      <c r="AE178" t="s">
        <v>321</v>
      </c>
      <c r="AF178" t="s">
        <v>434</v>
      </c>
      <c r="AG178" t="s">
        <v>414</v>
      </c>
      <c r="AH178" t="s">
        <v>812</v>
      </c>
      <c r="AI178" t="s">
        <v>477</v>
      </c>
      <c r="AJ178" t="s">
        <v>807</v>
      </c>
      <c r="AK178" t="s">
        <v>451</v>
      </c>
      <c r="AL178" t="s">
        <v>417</v>
      </c>
      <c r="AM178" t="s">
        <v>425</v>
      </c>
      <c r="AN178" t="s">
        <v>448</v>
      </c>
      <c r="AO178" t="s">
        <v>419</v>
      </c>
      <c r="AP178">
        <v>67</v>
      </c>
      <c r="AQ178" t="s">
        <v>427</v>
      </c>
      <c r="AR178" t="s">
        <v>421</v>
      </c>
      <c r="AS178" t="s">
        <v>428</v>
      </c>
      <c r="AT178" t="s">
        <v>321</v>
      </c>
      <c r="AU178" t="s">
        <v>321</v>
      </c>
      <c r="AV178" t="s">
        <v>321</v>
      </c>
      <c r="AW178" t="s">
        <v>605</v>
      </c>
      <c r="AX178" t="s">
        <v>512</v>
      </c>
      <c r="AY178">
        <v>30</v>
      </c>
      <c r="AZ178" t="s">
        <v>423</v>
      </c>
      <c r="BA178" t="s">
        <v>424</v>
      </c>
      <c r="BB178" t="s">
        <v>504</v>
      </c>
      <c r="BC178" t="s">
        <v>321</v>
      </c>
      <c r="BD178" t="s">
        <v>448</v>
      </c>
      <c r="BE178" t="s">
        <v>321</v>
      </c>
      <c r="BF178" t="s">
        <v>321</v>
      </c>
      <c r="BG178" t="s">
        <v>321</v>
      </c>
      <c r="BH178" t="s">
        <v>321</v>
      </c>
      <c r="BI178" t="s">
        <v>321</v>
      </c>
      <c r="BJ178" t="s">
        <v>321</v>
      </c>
      <c r="BK178" t="s">
        <v>321</v>
      </c>
      <c r="BL178" t="s">
        <v>321</v>
      </c>
      <c r="BM178" t="s">
        <v>605</v>
      </c>
      <c r="BN178" t="s">
        <v>512</v>
      </c>
      <c r="BO178">
        <v>30</v>
      </c>
      <c r="BP178" t="s">
        <v>423</v>
      </c>
      <c r="BQ178" t="s">
        <v>424</v>
      </c>
      <c r="BR178" t="s">
        <v>321</v>
      </c>
      <c r="BS178" t="s">
        <v>321</v>
      </c>
      <c r="BT178" t="s">
        <v>321</v>
      </c>
      <c r="BU178" t="s">
        <v>321</v>
      </c>
      <c r="BV178" t="s">
        <v>321</v>
      </c>
      <c r="BW178" t="s">
        <v>321</v>
      </c>
      <c r="BX178" t="s">
        <v>321</v>
      </c>
      <c r="BY178" t="s">
        <v>321</v>
      </c>
      <c r="BZ178" t="s">
        <v>321</v>
      </c>
      <c r="CA178" t="s">
        <v>321</v>
      </c>
      <c r="CB178" t="s">
        <v>321</v>
      </c>
      <c r="CC178" t="s">
        <v>321</v>
      </c>
      <c r="CD178" t="s">
        <v>321</v>
      </c>
      <c r="CE178" t="s">
        <v>321</v>
      </c>
      <c r="CF178" t="s">
        <v>321</v>
      </c>
      <c r="CG178" t="s">
        <v>321</v>
      </c>
      <c r="CH178" t="s">
        <v>321</v>
      </c>
      <c r="CI178" t="s">
        <v>321</v>
      </c>
      <c r="CJ178" t="s">
        <v>321</v>
      </c>
      <c r="CK178" t="s">
        <v>321</v>
      </c>
      <c r="CL178" t="s">
        <v>321</v>
      </c>
      <c r="CM178" t="s">
        <v>321</v>
      </c>
      <c r="CN178" t="s">
        <v>321</v>
      </c>
      <c r="CO178" t="s">
        <v>321</v>
      </c>
      <c r="CP178" t="s">
        <v>321</v>
      </c>
      <c r="CQ178" t="s">
        <v>321</v>
      </c>
      <c r="CR178" t="s">
        <v>321</v>
      </c>
      <c r="CS178" t="s">
        <v>321</v>
      </c>
      <c r="CT178" t="s">
        <v>321</v>
      </c>
      <c r="CU178" t="s">
        <v>321</v>
      </c>
      <c r="CV178" t="s">
        <v>321</v>
      </c>
      <c r="CW178" t="s">
        <v>321</v>
      </c>
      <c r="CX178">
        <v>278036.70390000002</v>
      </c>
      <c r="CY178">
        <v>4925234.5489999996</v>
      </c>
      <c r="CZ178">
        <v>44.446353999999999</v>
      </c>
      <c r="DA178">
        <v>-95.789499000000006</v>
      </c>
      <c r="DB178" s="291">
        <v>44638.295138888891</v>
      </c>
      <c r="DC178" t="s">
        <v>231</v>
      </c>
      <c r="DD178" t="s">
        <v>429</v>
      </c>
      <c r="DE178" t="s">
        <v>455</v>
      </c>
      <c r="DF178" t="s">
        <v>456</v>
      </c>
      <c r="DG178" t="s">
        <v>811</v>
      </c>
      <c r="DH178">
        <v>0</v>
      </c>
      <c r="DI178" t="s">
        <v>329</v>
      </c>
      <c r="DJ178">
        <v>100</v>
      </c>
      <c r="DK178">
        <v>8</v>
      </c>
    </row>
    <row r="179" spans="1:115" x14ac:dyDescent="0.25">
      <c r="A179">
        <v>178</v>
      </c>
      <c r="B179" t="s">
        <v>657</v>
      </c>
      <c r="C179">
        <v>1</v>
      </c>
      <c r="D179">
        <v>199</v>
      </c>
      <c r="E179">
        <v>11068792</v>
      </c>
      <c r="F179" t="s">
        <v>602</v>
      </c>
      <c r="G179">
        <v>96</v>
      </c>
      <c r="H179">
        <v>0.23200000000000001</v>
      </c>
      <c r="I179" t="s">
        <v>297</v>
      </c>
      <c r="J179" t="s">
        <v>299</v>
      </c>
      <c r="K179" t="s">
        <v>321</v>
      </c>
      <c r="L179" t="s">
        <v>406</v>
      </c>
      <c r="M179" t="s">
        <v>299</v>
      </c>
      <c r="N179" t="s">
        <v>321</v>
      </c>
      <c r="O179" t="s">
        <v>810</v>
      </c>
      <c r="P179">
        <v>152680144</v>
      </c>
      <c r="Q179" s="290">
        <v>45178</v>
      </c>
      <c r="R179">
        <v>25</v>
      </c>
      <c r="S179">
        <v>2015</v>
      </c>
      <c r="T179" t="s">
        <v>485</v>
      </c>
      <c r="U179">
        <v>11</v>
      </c>
      <c r="V179" t="s">
        <v>321</v>
      </c>
      <c r="W179" t="s">
        <v>320</v>
      </c>
      <c r="X179">
        <v>0</v>
      </c>
      <c r="Y179">
        <v>2</v>
      </c>
      <c r="Z179" t="s">
        <v>797</v>
      </c>
      <c r="AA179" t="s">
        <v>409</v>
      </c>
      <c r="AB179" t="s">
        <v>460</v>
      </c>
      <c r="AC179" t="s">
        <v>433</v>
      </c>
      <c r="AD179" t="s">
        <v>412</v>
      </c>
      <c r="AE179" t="s">
        <v>321</v>
      </c>
      <c r="AF179" t="s">
        <v>434</v>
      </c>
      <c r="AG179" t="s">
        <v>414</v>
      </c>
      <c r="AH179" t="s">
        <v>809</v>
      </c>
      <c r="AI179" t="s">
        <v>808</v>
      </c>
      <c r="AJ179" t="s">
        <v>807</v>
      </c>
      <c r="AK179" t="s">
        <v>447</v>
      </c>
      <c r="AL179" t="s">
        <v>417</v>
      </c>
      <c r="AM179" t="s">
        <v>418</v>
      </c>
      <c r="AN179" t="s">
        <v>453</v>
      </c>
      <c r="AO179" t="s">
        <v>426</v>
      </c>
      <c r="AP179">
        <v>21</v>
      </c>
      <c r="AQ179" t="s">
        <v>420</v>
      </c>
      <c r="AR179" t="s">
        <v>421</v>
      </c>
      <c r="AS179" t="s">
        <v>806</v>
      </c>
      <c r="AT179" t="s">
        <v>321</v>
      </c>
      <c r="AU179" t="s">
        <v>321</v>
      </c>
      <c r="AV179" t="s">
        <v>321</v>
      </c>
      <c r="AW179" t="s">
        <v>805</v>
      </c>
      <c r="AX179" t="s">
        <v>422</v>
      </c>
      <c r="AY179">
        <v>30</v>
      </c>
      <c r="AZ179" t="s">
        <v>423</v>
      </c>
      <c r="BA179" t="s">
        <v>804</v>
      </c>
      <c r="BB179" t="s">
        <v>417</v>
      </c>
      <c r="BC179" t="s">
        <v>425</v>
      </c>
      <c r="BD179" t="s">
        <v>453</v>
      </c>
      <c r="BE179" t="s">
        <v>426</v>
      </c>
      <c r="BF179">
        <v>26</v>
      </c>
      <c r="BG179" t="s">
        <v>420</v>
      </c>
      <c r="BH179" t="s">
        <v>421</v>
      </c>
      <c r="BI179" t="s">
        <v>428</v>
      </c>
      <c r="BJ179" t="s">
        <v>321</v>
      </c>
      <c r="BK179" t="s">
        <v>321</v>
      </c>
      <c r="BL179" t="s">
        <v>321</v>
      </c>
      <c r="BM179" t="s">
        <v>805</v>
      </c>
      <c r="BN179" t="s">
        <v>422</v>
      </c>
      <c r="BO179">
        <v>30</v>
      </c>
      <c r="BP179" t="s">
        <v>423</v>
      </c>
      <c r="BQ179" t="s">
        <v>804</v>
      </c>
      <c r="BR179" t="s">
        <v>321</v>
      </c>
      <c r="BS179" t="s">
        <v>321</v>
      </c>
      <c r="BT179" t="s">
        <v>321</v>
      </c>
      <c r="BU179" t="s">
        <v>321</v>
      </c>
      <c r="BV179" t="s">
        <v>321</v>
      </c>
      <c r="BW179" t="s">
        <v>321</v>
      </c>
      <c r="BX179" t="s">
        <v>321</v>
      </c>
      <c r="BY179" t="s">
        <v>321</v>
      </c>
      <c r="BZ179" t="s">
        <v>321</v>
      </c>
      <c r="CA179" t="s">
        <v>321</v>
      </c>
      <c r="CB179" t="s">
        <v>321</v>
      </c>
      <c r="CC179" t="s">
        <v>321</v>
      </c>
      <c r="CD179" t="s">
        <v>321</v>
      </c>
      <c r="CE179" t="s">
        <v>321</v>
      </c>
      <c r="CF179" t="s">
        <v>321</v>
      </c>
      <c r="CG179" t="s">
        <v>321</v>
      </c>
      <c r="CH179" t="s">
        <v>321</v>
      </c>
      <c r="CI179" t="s">
        <v>321</v>
      </c>
      <c r="CJ179" t="s">
        <v>321</v>
      </c>
      <c r="CK179" t="s">
        <v>321</v>
      </c>
      <c r="CL179" t="s">
        <v>321</v>
      </c>
      <c r="CM179" t="s">
        <v>321</v>
      </c>
      <c r="CN179" t="s">
        <v>321</v>
      </c>
      <c r="CO179" t="s">
        <v>321</v>
      </c>
      <c r="CP179" t="s">
        <v>321</v>
      </c>
      <c r="CQ179" t="s">
        <v>321</v>
      </c>
      <c r="CR179" t="s">
        <v>321</v>
      </c>
      <c r="CS179" t="s">
        <v>321</v>
      </c>
      <c r="CT179" t="s">
        <v>321</v>
      </c>
      <c r="CU179" t="s">
        <v>321</v>
      </c>
      <c r="CV179" t="s">
        <v>321</v>
      </c>
      <c r="CW179" t="s">
        <v>321</v>
      </c>
      <c r="CX179">
        <v>278034.36979999999</v>
      </c>
      <c r="CY179">
        <v>4925237.0389999999</v>
      </c>
      <c r="CZ179">
        <v>44.446376000000001</v>
      </c>
      <c r="DA179">
        <v>-95.789529000000002</v>
      </c>
      <c r="DB179" s="291">
        <v>42272.481249999997</v>
      </c>
      <c r="DC179" t="s">
        <v>231</v>
      </c>
      <c r="DD179" t="s">
        <v>429</v>
      </c>
      <c r="DE179" t="s">
        <v>430</v>
      </c>
      <c r="DF179" t="s">
        <v>430</v>
      </c>
      <c r="DG179" t="s">
        <v>803</v>
      </c>
      <c r="DH179">
        <v>0</v>
      </c>
      <c r="DI179" t="s">
        <v>329</v>
      </c>
      <c r="DJ179">
        <v>100</v>
      </c>
      <c r="DK179">
        <v>8</v>
      </c>
    </row>
    <row r="180" spans="1:115" x14ac:dyDescent="0.25">
      <c r="A180">
        <v>179</v>
      </c>
      <c r="B180" t="s">
        <v>657</v>
      </c>
      <c r="C180">
        <v>1</v>
      </c>
      <c r="D180">
        <v>200</v>
      </c>
      <c r="E180">
        <v>359121</v>
      </c>
      <c r="F180" t="s">
        <v>602</v>
      </c>
      <c r="G180">
        <v>222</v>
      </c>
      <c r="H180">
        <v>7.0999999999999994E-2</v>
      </c>
      <c r="I180" t="s">
        <v>297</v>
      </c>
      <c r="J180" t="s">
        <v>299</v>
      </c>
      <c r="K180" t="s">
        <v>321</v>
      </c>
      <c r="L180" t="s">
        <v>406</v>
      </c>
      <c r="M180" t="s">
        <v>299</v>
      </c>
      <c r="N180" t="s">
        <v>321</v>
      </c>
      <c r="O180" t="s">
        <v>802</v>
      </c>
      <c r="P180">
        <v>161760167</v>
      </c>
      <c r="Q180" s="290">
        <v>45083</v>
      </c>
      <c r="R180">
        <v>24</v>
      </c>
      <c r="S180">
        <v>2016</v>
      </c>
      <c r="T180" t="s">
        <v>485</v>
      </c>
      <c r="U180">
        <v>23</v>
      </c>
      <c r="V180" t="s">
        <v>450</v>
      </c>
      <c r="W180" t="s">
        <v>320</v>
      </c>
      <c r="X180">
        <v>0</v>
      </c>
      <c r="Y180">
        <v>2</v>
      </c>
      <c r="Z180" t="s">
        <v>476</v>
      </c>
      <c r="AA180" t="s">
        <v>409</v>
      </c>
      <c r="AB180" t="s">
        <v>452</v>
      </c>
      <c r="AC180" t="s">
        <v>411</v>
      </c>
      <c r="AD180" t="s">
        <v>412</v>
      </c>
      <c r="AE180" t="s">
        <v>321</v>
      </c>
      <c r="AF180" t="s">
        <v>434</v>
      </c>
      <c r="AG180" t="s">
        <v>414</v>
      </c>
      <c r="AH180" t="s">
        <v>789</v>
      </c>
      <c r="AI180" t="s">
        <v>321</v>
      </c>
      <c r="AJ180" t="s">
        <v>788</v>
      </c>
      <c r="AK180" t="s">
        <v>447</v>
      </c>
      <c r="AL180" t="s">
        <v>417</v>
      </c>
      <c r="AM180" t="s">
        <v>425</v>
      </c>
      <c r="AN180" t="s">
        <v>453</v>
      </c>
      <c r="AO180" t="s">
        <v>426</v>
      </c>
      <c r="AP180">
        <v>21</v>
      </c>
      <c r="AQ180" t="s">
        <v>427</v>
      </c>
      <c r="AR180" t="s">
        <v>421</v>
      </c>
      <c r="AS180" t="s">
        <v>428</v>
      </c>
      <c r="AT180" t="s">
        <v>321</v>
      </c>
      <c r="AU180" t="s">
        <v>321</v>
      </c>
      <c r="AV180" t="s">
        <v>321</v>
      </c>
      <c r="AW180" t="s">
        <v>441</v>
      </c>
      <c r="AX180" t="s">
        <v>512</v>
      </c>
      <c r="AY180">
        <v>30</v>
      </c>
      <c r="AZ180" t="s">
        <v>423</v>
      </c>
      <c r="BA180" t="s">
        <v>424</v>
      </c>
      <c r="BB180" t="s">
        <v>417</v>
      </c>
      <c r="BC180" t="s">
        <v>425</v>
      </c>
      <c r="BD180" t="s">
        <v>453</v>
      </c>
      <c r="BE180" t="s">
        <v>426</v>
      </c>
      <c r="BF180">
        <v>47</v>
      </c>
      <c r="BG180" t="s">
        <v>420</v>
      </c>
      <c r="BH180" t="s">
        <v>421</v>
      </c>
      <c r="BI180" t="s">
        <v>428</v>
      </c>
      <c r="BJ180" t="s">
        <v>321</v>
      </c>
      <c r="BK180" t="s">
        <v>321</v>
      </c>
      <c r="BL180" t="s">
        <v>321</v>
      </c>
      <c r="BM180" t="s">
        <v>441</v>
      </c>
      <c r="BN180" t="s">
        <v>512</v>
      </c>
      <c r="BO180">
        <v>30</v>
      </c>
      <c r="BP180" t="s">
        <v>423</v>
      </c>
      <c r="BQ180" t="s">
        <v>424</v>
      </c>
      <c r="BR180" t="s">
        <v>321</v>
      </c>
      <c r="BS180" t="s">
        <v>321</v>
      </c>
      <c r="BT180" t="s">
        <v>321</v>
      </c>
      <c r="BU180" t="s">
        <v>321</v>
      </c>
      <c r="BV180" t="s">
        <v>321</v>
      </c>
      <c r="BW180" t="s">
        <v>321</v>
      </c>
      <c r="BX180" t="s">
        <v>321</v>
      </c>
      <c r="BY180" t="s">
        <v>321</v>
      </c>
      <c r="BZ180" t="s">
        <v>321</v>
      </c>
      <c r="CA180" t="s">
        <v>321</v>
      </c>
      <c r="CB180" t="s">
        <v>321</v>
      </c>
      <c r="CC180" t="s">
        <v>321</v>
      </c>
      <c r="CD180" t="s">
        <v>321</v>
      </c>
      <c r="CE180" t="s">
        <v>321</v>
      </c>
      <c r="CF180" t="s">
        <v>321</v>
      </c>
      <c r="CG180" t="s">
        <v>321</v>
      </c>
      <c r="CH180" t="s">
        <v>321</v>
      </c>
      <c r="CI180" t="s">
        <v>321</v>
      </c>
      <c r="CJ180" t="s">
        <v>321</v>
      </c>
      <c r="CK180" t="s">
        <v>321</v>
      </c>
      <c r="CL180" t="s">
        <v>321</v>
      </c>
      <c r="CM180" t="s">
        <v>321</v>
      </c>
      <c r="CN180" t="s">
        <v>321</v>
      </c>
      <c r="CO180" t="s">
        <v>321</v>
      </c>
      <c r="CP180" t="s">
        <v>321</v>
      </c>
      <c r="CQ180" t="s">
        <v>321</v>
      </c>
      <c r="CR180" t="s">
        <v>321</v>
      </c>
      <c r="CS180" t="s">
        <v>321</v>
      </c>
      <c r="CT180" t="s">
        <v>321</v>
      </c>
      <c r="CU180" t="s">
        <v>321</v>
      </c>
      <c r="CV180" t="s">
        <v>321</v>
      </c>
      <c r="CW180" t="s">
        <v>321</v>
      </c>
      <c r="CX180">
        <v>278343.8591</v>
      </c>
      <c r="CY180">
        <v>4925521.818</v>
      </c>
      <c r="CZ180">
        <v>44.449030999999998</v>
      </c>
      <c r="DA180">
        <v>-95.785765999999995</v>
      </c>
      <c r="DB180" s="291">
        <v>42545.96875</v>
      </c>
      <c r="DC180" t="s">
        <v>231</v>
      </c>
      <c r="DD180" t="s">
        <v>429</v>
      </c>
      <c r="DE180" t="s">
        <v>455</v>
      </c>
      <c r="DF180" t="s">
        <v>456</v>
      </c>
      <c r="DG180" t="s">
        <v>801</v>
      </c>
      <c r="DH180">
        <v>0</v>
      </c>
      <c r="DI180" t="s">
        <v>660</v>
      </c>
      <c r="DJ180">
        <v>100</v>
      </c>
      <c r="DK180">
        <v>17</v>
      </c>
    </row>
    <row r="181" spans="1:115" x14ac:dyDescent="0.25">
      <c r="A181">
        <v>180</v>
      </c>
      <c r="B181" t="s">
        <v>657</v>
      </c>
      <c r="C181">
        <v>1</v>
      </c>
      <c r="D181">
        <v>201</v>
      </c>
      <c r="E181">
        <v>583232</v>
      </c>
      <c r="F181" t="s">
        <v>602</v>
      </c>
      <c r="G181">
        <v>222</v>
      </c>
      <c r="H181">
        <v>7.3999999999999996E-2</v>
      </c>
      <c r="I181" t="s">
        <v>297</v>
      </c>
      <c r="J181" t="s">
        <v>299</v>
      </c>
      <c r="K181" t="s">
        <v>321</v>
      </c>
      <c r="L181" t="s">
        <v>406</v>
      </c>
      <c r="M181" t="s">
        <v>299</v>
      </c>
      <c r="N181" t="s">
        <v>321</v>
      </c>
      <c r="O181" t="s">
        <v>800</v>
      </c>
      <c r="P181">
        <v>180720083</v>
      </c>
      <c r="Q181" s="290">
        <v>44988</v>
      </c>
      <c r="R181">
        <v>13</v>
      </c>
      <c r="S181">
        <v>2018</v>
      </c>
      <c r="T181" t="s">
        <v>407</v>
      </c>
      <c r="U181">
        <v>13</v>
      </c>
      <c r="V181" t="s">
        <v>495</v>
      </c>
      <c r="W181" t="s">
        <v>320</v>
      </c>
      <c r="X181">
        <v>0</v>
      </c>
      <c r="Y181">
        <v>2</v>
      </c>
      <c r="Z181" t="s">
        <v>451</v>
      </c>
      <c r="AA181" t="s">
        <v>409</v>
      </c>
      <c r="AB181" t="s">
        <v>452</v>
      </c>
      <c r="AC181" t="s">
        <v>433</v>
      </c>
      <c r="AD181" t="s">
        <v>412</v>
      </c>
      <c r="AE181" t="s">
        <v>321</v>
      </c>
      <c r="AF181" t="s">
        <v>434</v>
      </c>
      <c r="AG181" t="s">
        <v>414</v>
      </c>
      <c r="AH181" t="s">
        <v>789</v>
      </c>
      <c r="AI181" t="s">
        <v>321</v>
      </c>
      <c r="AJ181" t="s">
        <v>788</v>
      </c>
      <c r="AK181" t="s">
        <v>451</v>
      </c>
      <c r="AL181" t="s">
        <v>417</v>
      </c>
      <c r="AM181" t="s">
        <v>418</v>
      </c>
      <c r="AN181" t="s">
        <v>461</v>
      </c>
      <c r="AO181" t="s">
        <v>426</v>
      </c>
      <c r="AP181">
        <v>28</v>
      </c>
      <c r="AQ181" t="s">
        <v>427</v>
      </c>
      <c r="AR181" t="s">
        <v>421</v>
      </c>
      <c r="AS181" t="s">
        <v>454</v>
      </c>
      <c r="AT181" t="s">
        <v>321</v>
      </c>
      <c r="AU181" t="s">
        <v>321</v>
      </c>
      <c r="AV181" t="s">
        <v>321</v>
      </c>
      <c r="AW181" t="s">
        <v>441</v>
      </c>
      <c r="AX181" t="s">
        <v>512</v>
      </c>
      <c r="AY181">
        <v>30</v>
      </c>
      <c r="AZ181" t="s">
        <v>423</v>
      </c>
      <c r="BA181" t="s">
        <v>424</v>
      </c>
      <c r="BB181" t="s">
        <v>417</v>
      </c>
      <c r="BC181" t="s">
        <v>425</v>
      </c>
      <c r="BD181" t="s">
        <v>461</v>
      </c>
      <c r="BE181" t="s">
        <v>426</v>
      </c>
      <c r="BF181">
        <v>19</v>
      </c>
      <c r="BG181" t="s">
        <v>420</v>
      </c>
      <c r="BH181" t="s">
        <v>421</v>
      </c>
      <c r="BI181" t="s">
        <v>428</v>
      </c>
      <c r="BJ181" t="s">
        <v>321</v>
      </c>
      <c r="BK181" t="s">
        <v>321</v>
      </c>
      <c r="BL181" t="s">
        <v>321</v>
      </c>
      <c r="BM181" t="s">
        <v>441</v>
      </c>
      <c r="BN181" t="s">
        <v>442</v>
      </c>
      <c r="BO181">
        <v>30</v>
      </c>
      <c r="BP181" t="s">
        <v>423</v>
      </c>
      <c r="BQ181" t="s">
        <v>424</v>
      </c>
      <c r="BR181" t="s">
        <v>321</v>
      </c>
      <c r="BS181" t="s">
        <v>321</v>
      </c>
      <c r="BT181" t="s">
        <v>321</v>
      </c>
      <c r="BU181" t="s">
        <v>321</v>
      </c>
      <c r="BV181" t="s">
        <v>321</v>
      </c>
      <c r="BW181" t="s">
        <v>321</v>
      </c>
      <c r="BX181" t="s">
        <v>321</v>
      </c>
      <c r="BY181" t="s">
        <v>321</v>
      </c>
      <c r="BZ181" t="s">
        <v>321</v>
      </c>
      <c r="CA181" t="s">
        <v>321</v>
      </c>
      <c r="CB181" t="s">
        <v>321</v>
      </c>
      <c r="CC181" t="s">
        <v>321</v>
      </c>
      <c r="CD181" t="s">
        <v>321</v>
      </c>
      <c r="CE181" t="s">
        <v>321</v>
      </c>
      <c r="CF181" t="s">
        <v>321</v>
      </c>
      <c r="CG181" t="s">
        <v>321</v>
      </c>
      <c r="CH181" t="s">
        <v>321</v>
      </c>
      <c r="CI181" t="s">
        <v>321</v>
      </c>
      <c r="CJ181" t="s">
        <v>321</v>
      </c>
      <c r="CK181" t="s">
        <v>321</v>
      </c>
      <c r="CL181" t="s">
        <v>321</v>
      </c>
      <c r="CM181" t="s">
        <v>321</v>
      </c>
      <c r="CN181" t="s">
        <v>321</v>
      </c>
      <c r="CO181" t="s">
        <v>321</v>
      </c>
      <c r="CP181" t="s">
        <v>321</v>
      </c>
      <c r="CQ181" t="s">
        <v>321</v>
      </c>
      <c r="CR181" t="s">
        <v>321</v>
      </c>
      <c r="CS181" t="s">
        <v>321</v>
      </c>
      <c r="CT181" t="s">
        <v>321</v>
      </c>
      <c r="CU181" t="s">
        <v>321</v>
      </c>
      <c r="CV181" t="s">
        <v>321</v>
      </c>
      <c r="CW181" t="s">
        <v>321</v>
      </c>
      <c r="CX181">
        <v>278340.77850000001</v>
      </c>
      <c r="CY181">
        <v>4925524.6720000003</v>
      </c>
      <c r="CZ181">
        <v>44.449055999999999</v>
      </c>
      <c r="DA181">
        <v>-95.785805999999994</v>
      </c>
      <c r="DB181" s="291">
        <v>43172.566666666666</v>
      </c>
      <c r="DC181" t="s">
        <v>231</v>
      </c>
      <c r="DD181" t="s">
        <v>429</v>
      </c>
      <c r="DE181" t="s">
        <v>455</v>
      </c>
      <c r="DF181" t="s">
        <v>456</v>
      </c>
      <c r="DG181" t="s">
        <v>799</v>
      </c>
      <c r="DH181">
        <v>0</v>
      </c>
      <c r="DI181" t="s">
        <v>660</v>
      </c>
      <c r="DJ181">
        <v>100</v>
      </c>
      <c r="DK181">
        <v>17</v>
      </c>
    </row>
    <row r="182" spans="1:115" x14ac:dyDescent="0.25">
      <c r="A182">
        <v>181</v>
      </c>
      <c r="B182" t="s">
        <v>657</v>
      </c>
      <c r="C182">
        <v>1</v>
      </c>
      <c r="D182">
        <v>202</v>
      </c>
      <c r="E182">
        <v>11081653</v>
      </c>
      <c r="F182" t="s">
        <v>602</v>
      </c>
      <c r="G182">
        <v>222</v>
      </c>
      <c r="H182">
        <v>7.5999999999999998E-2</v>
      </c>
      <c r="I182" t="s">
        <v>297</v>
      </c>
      <c r="J182" t="s">
        <v>299</v>
      </c>
      <c r="K182" t="s">
        <v>321</v>
      </c>
      <c r="L182" t="s">
        <v>406</v>
      </c>
      <c r="M182" t="s">
        <v>299</v>
      </c>
      <c r="N182" t="s">
        <v>321</v>
      </c>
      <c r="O182" t="s">
        <v>798</v>
      </c>
      <c r="P182">
        <v>153310062</v>
      </c>
      <c r="Q182" s="290">
        <v>45241</v>
      </c>
      <c r="R182">
        <v>27</v>
      </c>
      <c r="S182">
        <v>2015</v>
      </c>
      <c r="T182" t="s">
        <v>485</v>
      </c>
      <c r="U182">
        <v>13</v>
      </c>
      <c r="V182" t="s">
        <v>321</v>
      </c>
      <c r="W182" t="s">
        <v>320</v>
      </c>
      <c r="X182">
        <v>0</v>
      </c>
      <c r="Y182">
        <v>2</v>
      </c>
      <c r="Z182" t="s">
        <v>797</v>
      </c>
      <c r="AA182" t="s">
        <v>409</v>
      </c>
      <c r="AB182" t="s">
        <v>452</v>
      </c>
      <c r="AC182" t="s">
        <v>433</v>
      </c>
      <c r="AD182" t="s">
        <v>412</v>
      </c>
      <c r="AE182" t="s">
        <v>321</v>
      </c>
      <c r="AF182" t="s">
        <v>434</v>
      </c>
      <c r="AG182" t="s">
        <v>414</v>
      </c>
      <c r="AH182" t="s">
        <v>796</v>
      </c>
      <c r="AI182" t="s">
        <v>795</v>
      </c>
      <c r="AJ182" t="s">
        <v>788</v>
      </c>
      <c r="AK182" t="s">
        <v>447</v>
      </c>
      <c r="AL182" t="s">
        <v>417</v>
      </c>
      <c r="AM182" t="s">
        <v>425</v>
      </c>
      <c r="AN182" t="s">
        <v>461</v>
      </c>
      <c r="AO182" t="s">
        <v>426</v>
      </c>
      <c r="AP182">
        <v>25</v>
      </c>
      <c r="AQ182" t="s">
        <v>427</v>
      </c>
      <c r="AR182" t="s">
        <v>421</v>
      </c>
      <c r="AS182" t="s">
        <v>538</v>
      </c>
      <c r="AT182" t="s">
        <v>321</v>
      </c>
      <c r="AU182" t="s">
        <v>321</v>
      </c>
      <c r="AV182" t="s">
        <v>321</v>
      </c>
      <c r="AW182" t="s">
        <v>321</v>
      </c>
      <c r="AX182" t="s">
        <v>449</v>
      </c>
      <c r="AY182">
        <v>30</v>
      </c>
      <c r="AZ182" t="s">
        <v>423</v>
      </c>
      <c r="BA182" t="s">
        <v>424</v>
      </c>
      <c r="BB182" t="s">
        <v>417</v>
      </c>
      <c r="BC182" t="s">
        <v>425</v>
      </c>
      <c r="BD182" t="s">
        <v>461</v>
      </c>
      <c r="BE182" t="s">
        <v>794</v>
      </c>
      <c r="BF182">
        <v>22</v>
      </c>
      <c r="BG182" t="s">
        <v>427</v>
      </c>
      <c r="BH182" t="s">
        <v>421</v>
      </c>
      <c r="BI182" t="s">
        <v>428</v>
      </c>
      <c r="BJ182" t="s">
        <v>321</v>
      </c>
      <c r="BK182" t="s">
        <v>321</v>
      </c>
      <c r="BL182" t="s">
        <v>321</v>
      </c>
      <c r="BM182" t="s">
        <v>321</v>
      </c>
      <c r="BN182" t="s">
        <v>449</v>
      </c>
      <c r="BO182">
        <v>30</v>
      </c>
      <c r="BP182" t="s">
        <v>423</v>
      </c>
      <c r="BQ182" t="s">
        <v>424</v>
      </c>
      <c r="BR182" t="s">
        <v>321</v>
      </c>
      <c r="BS182" t="s">
        <v>321</v>
      </c>
      <c r="BT182" t="s">
        <v>321</v>
      </c>
      <c r="BU182" t="s">
        <v>321</v>
      </c>
      <c r="BV182" t="s">
        <v>321</v>
      </c>
      <c r="BW182" t="s">
        <v>321</v>
      </c>
      <c r="BX182" t="s">
        <v>321</v>
      </c>
      <c r="BY182" t="s">
        <v>321</v>
      </c>
      <c r="BZ182" t="s">
        <v>321</v>
      </c>
      <c r="CA182" t="s">
        <v>321</v>
      </c>
      <c r="CB182" t="s">
        <v>321</v>
      </c>
      <c r="CC182" t="s">
        <v>321</v>
      </c>
      <c r="CD182" t="s">
        <v>321</v>
      </c>
      <c r="CE182" t="s">
        <v>321</v>
      </c>
      <c r="CF182" t="s">
        <v>321</v>
      </c>
      <c r="CG182" t="s">
        <v>321</v>
      </c>
      <c r="CH182" t="s">
        <v>321</v>
      </c>
      <c r="CI182" t="s">
        <v>321</v>
      </c>
      <c r="CJ182" t="s">
        <v>321</v>
      </c>
      <c r="CK182" t="s">
        <v>321</v>
      </c>
      <c r="CL182" t="s">
        <v>321</v>
      </c>
      <c r="CM182" t="s">
        <v>321</v>
      </c>
      <c r="CN182" t="s">
        <v>321</v>
      </c>
      <c r="CO182" t="s">
        <v>321</v>
      </c>
      <c r="CP182" t="s">
        <v>321</v>
      </c>
      <c r="CQ182" t="s">
        <v>321</v>
      </c>
      <c r="CR182" t="s">
        <v>321</v>
      </c>
      <c r="CS182" t="s">
        <v>321</v>
      </c>
      <c r="CT182" t="s">
        <v>321</v>
      </c>
      <c r="CU182" t="s">
        <v>321</v>
      </c>
      <c r="CV182" t="s">
        <v>321</v>
      </c>
      <c r="CW182" t="s">
        <v>321</v>
      </c>
      <c r="CX182">
        <v>278338.2501</v>
      </c>
      <c r="CY182">
        <v>4925527.0209999997</v>
      </c>
      <c r="CZ182">
        <v>44.449075999999998</v>
      </c>
      <c r="DA182">
        <v>-95.785838999999996</v>
      </c>
      <c r="DB182" s="291">
        <v>42335.550694444442</v>
      </c>
      <c r="DC182" t="s">
        <v>231</v>
      </c>
      <c r="DD182" t="s">
        <v>429</v>
      </c>
      <c r="DE182" t="s">
        <v>430</v>
      </c>
      <c r="DF182" t="s">
        <v>430</v>
      </c>
      <c r="DG182" t="s">
        <v>793</v>
      </c>
      <c r="DH182">
        <v>0</v>
      </c>
      <c r="DI182" t="s">
        <v>660</v>
      </c>
      <c r="DJ182">
        <v>100</v>
      </c>
      <c r="DK182">
        <v>17</v>
      </c>
    </row>
    <row r="183" spans="1:115" x14ac:dyDescent="0.25">
      <c r="A183">
        <v>182</v>
      </c>
      <c r="B183" t="s">
        <v>657</v>
      </c>
      <c r="C183">
        <v>1</v>
      </c>
      <c r="D183">
        <v>203</v>
      </c>
      <c r="E183">
        <v>362456</v>
      </c>
      <c r="F183" t="s">
        <v>602</v>
      </c>
      <c r="G183">
        <v>222</v>
      </c>
      <c r="H183">
        <v>7.5999999999999998E-2</v>
      </c>
      <c r="I183" t="s">
        <v>297</v>
      </c>
      <c r="J183" t="s">
        <v>299</v>
      </c>
      <c r="K183" t="s">
        <v>321</v>
      </c>
      <c r="L183" t="s">
        <v>406</v>
      </c>
      <c r="M183" t="s">
        <v>299</v>
      </c>
      <c r="N183" t="s">
        <v>321</v>
      </c>
      <c r="O183">
        <v>16012267</v>
      </c>
      <c r="P183">
        <v>161900103</v>
      </c>
      <c r="Q183" s="290">
        <v>45114</v>
      </c>
      <c r="R183">
        <v>8</v>
      </c>
      <c r="S183">
        <v>2016</v>
      </c>
      <c r="T183" t="s">
        <v>485</v>
      </c>
      <c r="U183">
        <v>15</v>
      </c>
      <c r="V183" t="s">
        <v>495</v>
      </c>
      <c r="W183" t="s">
        <v>320</v>
      </c>
      <c r="X183">
        <v>0</v>
      </c>
      <c r="Y183">
        <v>2</v>
      </c>
      <c r="Z183" t="s">
        <v>463</v>
      </c>
      <c r="AA183" t="s">
        <v>409</v>
      </c>
      <c r="AB183" t="s">
        <v>452</v>
      </c>
      <c r="AC183" t="s">
        <v>433</v>
      </c>
      <c r="AD183" t="s">
        <v>412</v>
      </c>
      <c r="AE183" t="s">
        <v>321</v>
      </c>
      <c r="AF183" t="s">
        <v>434</v>
      </c>
      <c r="AG183" t="s">
        <v>414</v>
      </c>
      <c r="AH183" t="s">
        <v>789</v>
      </c>
      <c r="AI183" t="s">
        <v>321</v>
      </c>
      <c r="AJ183" t="s">
        <v>788</v>
      </c>
      <c r="AK183" t="s">
        <v>463</v>
      </c>
      <c r="AL183" t="s">
        <v>417</v>
      </c>
      <c r="AM183" t="s">
        <v>425</v>
      </c>
      <c r="AN183" t="s">
        <v>472</v>
      </c>
      <c r="AO183" t="s">
        <v>487</v>
      </c>
      <c r="AP183">
        <v>18</v>
      </c>
      <c r="AQ183" t="s">
        <v>427</v>
      </c>
      <c r="AR183" t="s">
        <v>421</v>
      </c>
      <c r="AS183" t="s">
        <v>454</v>
      </c>
      <c r="AT183" t="s">
        <v>440</v>
      </c>
      <c r="AU183" t="s">
        <v>321</v>
      </c>
      <c r="AV183" t="s">
        <v>321</v>
      </c>
      <c r="AW183" t="s">
        <v>544</v>
      </c>
      <c r="AX183" t="s">
        <v>512</v>
      </c>
      <c r="AY183">
        <v>30</v>
      </c>
      <c r="AZ183" t="s">
        <v>423</v>
      </c>
      <c r="BA183" t="s">
        <v>623</v>
      </c>
      <c r="BB183" t="s">
        <v>417</v>
      </c>
      <c r="BC183" t="s">
        <v>425</v>
      </c>
      <c r="BD183" t="s">
        <v>472</v>
      </c>
      <c r="BE183" t="s">
        <v>426</v>
      </c>
      <c r="BF183">
        <v>81</v>
      </c>
      <c r="BG183" t="s">
        <v>427</v>
      </c>
      <c r="BH183" t="s">
        <v>421</v>
      </c>
      <c r="BI183" t="s">
        <v>428</v>
      </c>
      <c r="BJ183" t="s">
        <v>321</v>
      </c>
      <c r="BK183" t="s">
        <v>321</v>
      </c>
      <c r="BL183" t="s">
        <v>321</v>
      </c>
      <c r="BM183" t="s">
        <v>544</v>
      </c>
      <c r="BN183" t="s">
        <v>442</v>
      </c>
      <c r="BO183">
        <v>30</v>
      </c>
      <c r="BP183" t="s">
        <v>423</v>
      </c>
      <c r="BQ183" t="s">
        <v>606</v>
      </c>
      <c r="BR183" t="s">
        <v>321</v>
      </c>
      <c r="BS183" t="s">
        <v>321</v>
      </c>
      <c r="BT183" t="s">
        <v>321</v>
      </c>
      <c r="BU183" t="s">
        <v>321</v>
      </c>
      <c r="BV183" t="s">
        <v>321</v>
      </c>
      <c r="BW183" t="s">
        <v>321</v>
      </c>
      <c r="BX183" t="s">
        <v>321</v>
      </c>
      <c r="BY183" t="s">
        <v>321</v>
      </c>
      <c r="BZ183" t="s">
        <v>321</v>
      </c>
      <c r="CA183" t="s">
        <v>321</v>
      </c>
      <c r="CB183" t="s">
        <v>321</v>
      </c>
      <c r="CC183" t="s">
        <v>321</v>
      </c>
      <c r="CD183" t="s">
        <v>321</v>
      </c>
      <c r="CE183" t="s">
        <v>321</v>
      </c>
      <c r="CF183" t="s">
        <v>321</v>
      </c>
      <c r="CG183" t="s">
        <v>321</v>
      </c>
      <c r="CH183" t="s">
        <v>321</v>
      </c>
      <c r="CI183" t="s">
        <v>321</v>
      </c>
      <c r="CJ183" t="s">
        <v>321</v>
      </c>
      <c r="CK183" t="s">
        <v>321</v>
      </c>
      <c r="CL183" t="s">
        <v>321</v>
      </c>
      <c r="CM183" t="s">
        <v>321</v>
      </c>
      <c r="CN183" t="s">
        <v>321</v>
      </c>
      <c r="CO183" t="s">
        <v>321</v>
      </c>
      <c r="CP183" t="s">
        <v>321</v>
      </c>
      <c r="CQ183" t="s">
        <v>321</v>
      </c>
      <c r="CR183" t="s">
        <v>321</v>
      </c>
      <c r="CS183" t="s">
        <v>321</v>
      </c>
      <c r="CT183" t="s">
        <v>321</v>
      </c>
      <c r="CU183" t="s">
        <v>321</v>
      </c>
      <c r="CV183" t="s">
        <v>321</v>
      </c>
      <c r="CW183" t="s">
        <v>321</v>
      </c>
      <c r="CX183">
        <v>278337.9314</v>
      </c>
      <c r="CY183">
        <v>4925527.3720000004</v>
      </c>
      <c r="CZ183">
        <v>44.449078999999998</v>
      </c>
      <c r="DA183">
        <v>-95.785843</v>
      </c>
      <c r="DB183" s="291">
        <v>42559.649305555555</v>
      </c>
      <c r="DC183" t="s">
        <v>231</v>
      </c>
      <c r="DD183" t="s">
        <v>429</v>
      </c>
      <c r="DE183" t="s">
        <v>455</v>
      </c>
      <c r="DF183" t="s">
        <v>456</v>
      </c>
      <c r="DG183" t="s">
        <v>792</v>
      </c>
      <c r="DH183">
        <v>0</v>
      </c>
      <c r="DI183" t="s">
        <v>660</v>
      </c>
      <c r="DJ183">
        <v>100</v>
      </c>
      <c r="DK183">
        <v>17</v>
      </c>
    </row>
    <row r="184" spans="1:115" x14ac:dyDescent="0.25">
      <c r="A184">
        <v>183</v>
      </c>
      <c r="B184" t="s">
        <v>657</v>
      </c>
      <c r="C184">
        <v>1</v>
      </c>
      <c r="D184">
        <v>204</v>
      </c>
      <c r="E184">
        <v>506204</v>
      </c>
      <c r="F184" t="s">
        <v>602</v>
      </c>
      <c r="G184">
        <v>222</v>
      </c>
      <c r="H184">
        <v>7.5999999999999998E-2</v>
      </c>
      <c r="I184" t="s">
        <v>297</v>
      </c>
      <c r="J184" t="s">
        <v>299</v>
      </c>
      <c r="K184" t="s">
        <v>321</v>
      </c>
      <c r="L184" t="s">
        <v>406</v>
      </c>
      <c r="M184" t="s">
        <v>299</v>
      </c>
      <c r="N184" t="s">
        <v>321</v>
      </c>
      <c r="O184" s="292">
        <v>202000000000</v>
      </c>
      <c r="P184">
        <v>172770127</v>
      </c>
      <c r="Q184" s="290">
        <v>45209</v>
      </c>
      <c r="R184">
        <v>4</v>
      </c>
      <c r="S184">
        <v>2017</v>
      </c>
      <c r="T184" t="s">
        <v>494</v>
      </c>
      <c r="U184">
        <v>17</v>
      </c>
      <c r="V184" t="s">
        <v>459</v>
      </c>
      <c r="W184" t="s">
        <v>320</v>
      </c>
      <c r="X184">
        <v>0</v>
      </c>
      <c r="Y184">
        <v>2</v>
      </c>
      <c r="Z184" t="s">
        <v>451</v>
      </c>
      <c r="AA184" t="s">
        <v>409</v>
      </c>
      <c r="AB184" t="s">
        <v>452</v>
      </c>
      <c r="AC184" t="s">
        <v>433</v>
      </c>
      <c r="AD184" t="s">
        <v>412</v>
      </c>
      <c r="AE184" t="s">
        <v>321</v>
      </c>
      <c r="AF184" t="s">
        <v>434</v>
      </c>
      <c r="AG184" t="s">
        <v>414</v>
      </c>
      <c r="AH184" t="s">
        <v>789</v>
      </c>
      <c r="AI184" t="s">
        <v>321</v>
      </c>
      <c r="AJ184" t="s">
        <v>788</v>
      </c>
      <c r="AK184" t="s">
        <v>486</v>
      </c>
      <c r="AL184" t="s">
        <v>417</v>
      </c>
      <c r="AM184" t="s">
        <v>425</v>
      </c>
      <c r="AN184" t="s">
        <v>448</v>
      </c>
      <c r="AO184" t="s">
        <v>487</v>
      </c>
      <c r="AP184">
        <v>20</v>
      </c>
      <c r="AQ184" t="s">
        <v>427</v>
      </c>
      <c r="AR184" t="s">
        <v>421</v>
      </c>
      <c r="AS184" t="s">
        <v>454</v>
      </c>
      <c r="AT184" t="s">
        <v>321</v>
      </c>
      <c r="AU184" t="s">
        <v>321</v>
      </c>
      <c r="AV184" t="s">
        <v>321</v>
      </c>
      <c r="AW184" t="s">
        <v>441</v>
      </c>
      <c r="AX184" t="s">
        <v>512</v>
      </c>
      <c r="AY184">
        <v>30</v>
      </c>
      <c r="AZ184" t="s">
        <v>423</v>
      </c>
      <c r="BA184" t="s">
        <v>424</v>
      </c>
      <c r="BB184" t="s">
        <v>417</v>
      </c>
      <c r="BC184" t="s">
        <v>478</v>
      </c>
      <c r="BD184" t="s">
        <v>461</v>
      </c>
      <c r="BE184" t="s">
        <v>426</v>
      </c>
      <c r="BF184">
        <v>21</v>
      </c>
      <c r="BG184" t="s">
        <v>420</v>
      </c>
      <c r="BH184" t="s">
        <v>421</v>
      </c>
      <c r="BI184" t="s">
        <v>428</v>
      </c>
      <c r="BJ184" t="s">
        <v>321</v>
      </c>
      <c r="BK184" t="s">
        <v>321</v>
      </c>
      <c r="BL184" t="s">
        <v>321</v>
      </c>
      <c r="BM184" t="s">
        <v>544</v>
      </c>
      <c r="BN184" t="s">
        <v>442</v>
      </c>
      <c r="BO184">
        <v>30</v>
      </c>
      <c r="BP184" t="s">
        <v>423</v>
      </c>
      <c r="BQ184" t="s">
        <v>606</v>
      </c>
      <c r="BR184" t="s">
        <v>321</v>
      </c>
      <c r="BS184" t="s">
        <v>321</v>
      </c>
      <c r="BT184" t="s">
        <v>321</v>
      </c>
      <c r="BU184" t="s">
        <v>321</v>
      </c>
      <c r="BV184" t="s">
        <v>321</v>
      </c>
      <c r="BW184" t="s">
        <v>321</v>
      </c>
      <c r="BX184" t="s">
        <v>321</v>
      </c>
      <c r="BY184" t="s">
        <v>321</v>
      </c>
      <c r="BZ184" t="s">
        <v>321</v>
      </c>
      <c r="CA184" t="s">
        <v>321</v>
      </c>
      <c r="CB184" t="s">
        <v>321</v>
      </c>
      <c r="CC184" t="s">
        <v>321</v>
      </c>
      <c r="CD184" t="s">
        <v>321</v>
      </c>
      <c r="CE184" t="s">
        <v>321</v>
      </c>
      <c r="CF184" t="s">
        <v>321</v>
      </c>
      <c r="CG184" t="s">
        <v>321</v>
      </c>
      <c r="CH184" t="s">
        <v>321</v>
      </c>
      <c r="CI184" t="s">
        <v>321</v>
      </c>
      <c r="CJ184" t="s">
        <v>321</v>
      </c>
      <c r="CK184" t="s">
        <v>321</v>
      </c>
      <c r="CL184" t="s">
        <v>321</v>
      </c>
      <c r="CM184" t="s">
        <v>321</v>
      </c>
      <c r="CN184" t="s">
        <v>321</v>
      </c>
      <c r="CO184" t="s">
        <v>321</v>
      </c>
      <c r="CP184" t="s">
        <v>321</v>
      </c>
      <c r="CQ184" t="s">
        <v>321</v>
      </c>
      <c r="CR184" t="s">
        <v>321</v>
      </c>
      <c r="CS184" t="s">
        <v>321</v>
      </c>
      <c r="CT184" t="s">
        <v>321</v>
      </c>
      <c r="CU184" t="s">
        <v>321</v>
      </c>
      <c r="CV184" t="s">
        <v>321</v>
      </c>
      <c r="CW184" t="s">
        <v>321</v>
      </c>
      <c r="CX184">
        <v>278337.73790000001</v>
      </c>
      <c r="CY184">
        <v>4925527.585</v>
      </c>
      <c r="CZ184">
        <v>44.449081</v>
      </c>
      <c r="DA184">
        <v>-95.785844999999995</v>
      </c>
      <c r="DB184" s="291">
        <v>43012.725694444445</v>
      </c>
      <c r="DC184" t="s">
        <v>231</v>
      </c>
      <c r="DD184" t="s">
        <v>429</v>
      </c>
      <c r="DE184" t="s">
        <v>455</v>
      </c>
      <c r="DF184" t="s">
        <v>456</v>
      </c>
      <c r="DG184" t="s">
        <v>791</v>
      </c>
      <c r="DH184">
        <v>0</v>
      </c>
      <c r="DI184" t="s">
        <v>660</v>
      </c>
      <c r="DJ184">
        <v>100</v>
      </c>
      <c r="DK184">
        <v>17</v>
      </c>
    </row>
    <row r="185" spans="1:115" x14ac:dyDescent="0.25">
      <c r="A185">
        <v>184</v>
      </c>
      <c r="B185" t="s">
        <v>657</v>
      </c>
      <c r="C185">
        <v>1</v>
      </c>
      <c r="D185">
        <v>205</v>
      </c>
      <c r="E185">
        <v>366005</v>
      </c>
      <c r="F185" t="s">
        <v>602</v>
      </c>
      <c r="G185">
        <v>222</v>
      </c>
      <c r="H185">
        <v>7.8E-2</v>
      </c>
      <c r="I185" t="s">
        <v>297</v>
      </c>
      <c r="J185" t="s">
        <v>299</v>
      </c>
      <c r="K185" t="s">
        <v>321</v>
      </c>
      <c r="L185" t="s">
        <v>406</v>
      </c>
      <c r="M185" t="s">
        <v>299</v>
      </c>
      <c r="N185" t="s">
        <v>321</v>
      </c>
      <c r="O185" t="s">
        <v>790</v>
      </c>
      <c r="P185">
        <v>162050141</v>
      </c>
      <c r="Q185" s="290">
        <v>45114</v>
      </c>
      <c r="R185">
        <v>23</v>
      </c>
      <c r="S185">
        <v>2016</v>
      </c>
      <c r="T185" t="s">
        <v>506</v>
      </c>
      <c r="U185">
        <v>17</v>
      </c>
      <c r="V185" t="s">
        <v>459</v>
      </c>
      <c r="W185" t="s">
        <v>320</v>
      </c>
      <c r="X185">
        <v>0</v>
      </c>
      <c r="Y185">
        <v>2</v>
      </c>
      <c r="Z185" t="s">
        <v>463</v>
      </c>
      <c r="AA185" t="s">
        <v>409</v>
      </c>
      <c r="AB185" t="s">
        <v>460</v>
      </c>
      <c r="AC185" t="s">
        <v>433</v>
      </c>
      <c r="AD185" t="s">
        <v>412</v>
      </c>
      <c r="AE185" t="s">
        <v>321</v>
      </c>
      <c r="AF185" t="s">
        <v>434</v>
      </c>
      <c r="AG185" t="s">
        <v>414</v>
      </c>
      <c r="AH185" t="s">
        <v>789</v>
      </c>
      <c r="AI185" t="s">
        <v>477</v>
      </c>
      <c r="AJ185" t="s">
        <v>788</v>
      </c>
      <c r="AK185" t="s">
        <v>463</v>
      </c>
      <c r="AL185" t="s">
        <v>417</v>
      </c>
      <c r="AM185" t="s">
        <v>425</v>
      </c>
      <c r="AN185" t="s">
        <v>461</v>
      </c>
      <c r="AO185" t="s">
        <v>426</v>
      </c>
      <c r="AP185">
        <v>21</v>
      </c>
      <c r="AQ185" t="s">
        <v>420</v>
      </c>
      <c r="AR185" t="s">
        <v>421</v>
      </c>
      <c r="AS185" t="s">
        <v>454</v>
      </c>
      <c r="AT185" t="s">
        <v>321</v>
      </c>
      <c r="AU185" t="s">
        <v>321</v>
      </c>
      <c r="AV185" t="s">
        <v>321</v>
      </c>
      <c r="AW185" t="s">
        <v>441</v>
      </c>
      <c r="AX185" t="s">
        <v>512</v>
      </c>
      <c r="AY185">
        <v>30</v>
      </c>
      <c r="AZ185" t="s">
        <v>423</v>
      </c>
      <c r="BA185" t="s">
        <v>424</v>
      </c>
      <c r="BB185" t="s">
        <v>417</v>
      </c>
      <c r="BC185" t="s">
        <v>418</v>
      </c>
      <c r="BD185" t="s">
        <v>461</v>
      </c>
      <c r="BE185" t="s">
        <v>426</v>
      </c>
      <c r="BF185">
        <v>80</v>
      </c>
      <c r="BG185" t="s">
        <v>420</v>
      </c>
      <c r="BH185" t="s">
        <v>421</v>
      </c>
      <c r="BI185" t="s">
        <v>428</v>
      </c>
      <c r="BJ185" t="s">
        <v>321</v>
      </c>
      <c r="BK185" t="s">
        <v>321</v>
      </c>
      <c r="BL185" t="s">
        <v>321</v>
      </c>
      <c r="BM185" t="s">
        <v>544</v>
      </c>
      <c r="BN185" t="s">
        <v>442</v>
      </c>
      <c r="BO185">
        <v>30</v>
      </c>
      <c r="BP185" t="s">
        <v>423</v>
      </c>
      <c r="BQ185" t="s">
        <v>424</v>
      </c>
      <c r="BR185" t="s">
        <v>321</v>
      </c>
      <c r="BS185" t="s">
        <v>321</v>
      </c>
      <c r="BT185" t="s">
        <v>321</v>
      </c>
      <c r="BU185" t="s">
        <v>321</v>
      </c>
      <c r="BV185" t="s">
        <v>321</v>
      </c>
      <c r="BW185" t="s">
        <v>321</v>
      </c>
      <c r="BX185" t="s">
        <v>321</v>
      </c>
      <c r="BY185" t="s">
        <v>321</v>
      </c>
      <c r="BZ185" t="s">
        <v>321</v>
      </c>
      <c r="CA185" t="s">
        <v>321</v>
      </c>
      <c r="CB185" t="s">
        <v>321</v>
      </c>
      <c r="CC185" t="s">
        <v>321</v>
      </c>
      <c r="CD185" t="s">
        <v>321</v>
      </c>
      <c r="CE185" t="s">
        <v>321</v>
      </c>
      <c r="CF185" t="s">
        <v>321</v>
      </c>
      <c r="CG185" t="s">
        <v>321</v>
      </c>
      <c r="CH185" t="s">
        <v>321</v>
      </c>
      <c r="CI185" t="s">
        <v>321</v>
      </c>
      <c r="CJ185" t="s">
        <v>321</v>
      </c>
      <c r="CK185" t="s">
        <v>321</v>
      </c>
      <c r="CL185" t="s">
        <v>321</v>
      </c>
      <c r="CM185" t="s">
        <v>321</v>
      </c>
      <c r="CN185" t="s">
        <v>321</v>
      </c>
      <c r="CO185" t="s">
        <v>321</v>
      </c>
      <c r="CP185" t="s">
        <v>321</v>
      </c>
      <c r="CQ185" t="s">
        <v>321</v>
      </c>
      <c r="CR185" t="s">
        <v>321</v>
      </c>
      <c r="CS185" t="s">
        <v>321</v>
      </c>
      <c r="CT185" t="s">
        <v>321</v>
      </c>
      <c r="CU185" t="s">
        <v>321</v>
      </c>
      <c r="CV185" t="s">
        <v>321</v>
      </c>
      <c r="CW185" t="s">
        <v>321</v>
      </c>
      <c r="CX185">
        <v>278335.63650000002</v>
      </c>
      <c r="CY185">
        <v>4925529.8949999996</v>
      </c>
      <c r="CZ185">
        <v>44.449100999999999</v>
      </c>
      <c r="DA185">
        <v>-95.785872999999995</v>
      </c>
      <c r="DB185" s="291">
        <v>42574.743750000001</v>
      </c>
      <c r="DC185" t="s">
        <v>231</v>
      </c>
      <c r="DD185" t="s">
        <v>429</v>
      </c>
      <c r="DE185" t="s">
        <v>455</v>
      </c>
      <c r="DF185" t="s">
        <v>456</v>
      </c>
      <c r="DG185" t="s">
        <v>787</v>
      </c>
      <c r="DH185">
        <v>0</v>
      </c>
      <c r="DI185" t="s">
        <v>660</v>
      </c>
      <c r="DJ185">
        <v>100</v>
      </c>
      <c r="DK185">
        <v>17</v>
      </c>
    </row>
    <row r="186" spans="1:115" x14ac:dyDescent="0.25">
      <c r="A186">
        <v>185</v>
      </c>
      <c r="B186" t="s">
        <v>657</v>
      </c>
      <c r="C186">
        <v>1</v>
      </c>
      <c r="D186">
        <v>206</v>
      </c>
      <c r="E186">
        <v>1035482</v>
      </c>
      <c r="F186" t="s">
        <v>602</v>
      </c>
      <c r="G186">
        <v>269</v>
      </c>
      <c r="H186">
        <v>1E-3</v>
      </c>
      <c r="I186" t="s">
        <v>297</v>
      </c>
      <c r="J186" t="s">
        <v>299</v>
      </c>
      <c r="K186" t="s">
        <v>321</v>
      </c>
      <c r="L186" t="s">
        <v>321</v>
      </c>
      <c r="M186" t="s">
        <v>299</v>
      </c>
      <c r="N186" t="s">
        <v>321</v>
      </c>
      <c r="O186" s="292">
        <v>202000000000</v>
      </c>
      <c r="P186">
        <v>222030090</v>
      </c>
      <c r="Q186" s="290">
        <v>45114</v>
      </c>
      <c r="R186">
        <v>22</v>
      </c>
      <c r="S186">
        <v>2022</v>
      </c>
      <c r="T186" t="s">
        <v>485</v>
      </c>
      <c r="U186">
        <v>18</v>
      </c>
      <c r="V186" t="s">
        <v>422</v>
      </c>
      <c r="W186" t="s">
        <v>320</v>
      </c>
      <c r="X186">
        <v>0</v>
      </c>
      <c r="Y186">
        <v>2</v>
      </c>
      <c r="Z186" t="s">
        <v>451</v>
      </c>
      <c r="AA186" t="s">
        <v>409</v>
      </c>
      <c r="AB186" t="s">
        <v>500</v>
      </c>
      <c r="AC186" t="s">
        <v>433</v>
      </c>
      <c r="AD186" t="s">
        <v>412</v>
      </c>
      <c r="AE186" t="s">
        <v>321</v>
      </c>
      <c r="AF186" t="s">
        <v>434</v>
      </c>
      <c r="AG186" t="s">
        <v>414</v>
      </c>
      <c r="AH186" t="s">
        <v>783</v>
      </c>
      <c r="AI186" t="s">
        <v>469</v>
      </c>
      <c r="AJ186" t="s">
        <v>782</v>
      </c>
      <c r="AK186" t="s">
        <v>463</v>
      </c>
      <c r="AL186" t="s">
        <v>417</v>
      </c>
      <c r="AM186" t="s">
        <v>425</v>
      </c>
      <c r="AN186" t="s">
        <v>448</v>
      </c>
      <c r="AO186" t="s">
        <v>487</v>
      </c>
      <c r="AP186">
        <v>41</v>
      </c>
      <c r="AQ186" t="s">
        <v>420</v>
      </c>
      <c r="AR186" t="s">
        <v>421</v>
      </c>
      <c r="AS186" t="s">
        <v>428</v>
      </c>
      <c r="AT186" t="s">
        <v>321</v>
      </c>
      <c r="AU186" t="s">
        <v>321</v>
      </c>
      <c r="AV186" t="s">
        <v>321</v>
      </c>
      <c r="AW186" t="s">
        <v>441</v>
      </c>
      <c r="AX186" t="s">
        <v>422</v>
      </c>
      <c r="AY186">
        <v>30</v>
      </c>
      <c r="AZ186" t="s">
        <v>423</v>
      </c>
      <c r="BA186" t="s">
        <v>424</v>
      </c>
      <c r="BB186" t="s">
        <v>417</v>
      </c>
      <c r="BC186" t="s">
        <v>425</v>
      </c>
      <c r="BD186" t="s">
        <v>472</v>
      </c>
      <c r="BE186" t="s">
        <v>487</v>
      </c>
      <c r="BF186">
        <v>28</v>
      </c>
      <c r="BG186" t="s">
        <v>427</v>
      </c>
      <c r="BH186" t="s">
        <v>421</v>
      </c>
      <c r="BI186" t="s">
        <v>454</v>
      </c>
      <c r="BJ186" t="s">
        <v>321</v>
      </c>
      <c r="BK186" t="s">
        <v>321</v>
      </c>
      <c r="BL186" t="s">
        <v>321</v>
      </c>
      <c r="BM186" t="s">
        <v>441</v>
      </c>
      <c r="BN186" t="s">
        <v>512</v>
      </c>
      <c r="BO186">
        <v>30</v>
      </c>
      <c r="BP186" t="s">
        <v>423</v>
      </c>
      <c r="BQ186" t="s">
        <v>424</v>
      </c>
      <c r="BR186" t="s">
        <v>321</v>
      </c>
      <c r="BS186" t="s">
        <v>321</v>
      </c>
      <c r="BT186" t="s">
        <v>321</v>
      </c>
      <c r="BU186" t="s">
        <v>321</v>
      </c>
      <c r="BV186" t="s">
        <v>321</v>
      </c>
      <c r="BW186" t="s">
        <v>321</v>
      </c>
      <c r="BX186" t="s">
        <v>321</v>
      </c>
      <c r="BY186" t="s">
        <v>321</v>
      </c>
      <c r="BZ186" t="s">
        <v>321</v>
      </c>
      <c r="CA186" t="s">
        <v>321</v>
      </c>
      <c r="CB186" t="s">
        <v>321</v>
      </c>
      <c r="CC186" t="s">
        <v>321</v>
      </c>
      <c r="CD186" t="s">
        <v>321</v>
      </c>
      <c r="CE186" t="s">
        <v>321</v>
      </c>
      <c r="CF186" t="s">
        <v>321</v>
      </c>
      <c r="CG186" t="s">
        <v>321</v>
      </c>
      <c r="CH186" t="s">
        <v>321</v>
      </c>
      <c r="CI186" t="s">
        <v>321</v>
      </c>
      <c r="CJ186" t="s">
        <v>321</v>
      </c>
      <c r="CK186" t="s">
        <v>321</v>
      </c>
      <c r="CL186" t="s">
        <v>321</v>
      </c>
      <c r="CM186" t="s">
        <v>321</v>
      </c>
      <c r="CN186" t="s">
        <v>321</v>
      </c>
      <c r="CO186" t="s">
        <v>321</v>
      </c>
      <c r="CP186" t="s">
        <v>321</v>
      </c>
      <c r="CQ186" t="s">
        <v>321</v>
      </c>
      <c r="CR186" t="s">
        <v>321</v>
      </c>
      <c r="CS186" t="s">
        <v>321</v>
      </c>
      <c r="CT186" t="s">
        <v>321</v>
      </c>
      <c r="CU186" t="s">
        <v>321</v>
      </c>
      <c r="CV186" t="s">
        <v>321</v>
      </c>
      <c r="CW186" t="s">
        <v>321</v>
      </c>
      <c r="CX186">
        <v>277074.85749999998</v>
      </c>
      <c r="CY186">
        <v>4924904.9340000004</v>
      </c>
      <c r="CZ186">
        <v>44.443086000000001</v>
      </c>
      <c r="DA186">
        <v>-95.801422000000002</v>
      </c>
      <c r="DB186" s="291">
        <v>44764.760416666664</v>
      </c>
      <c r="DC186" t="s">
        <v>231</v>
      </c>
      <c r="DD186" t="s">
        <v>429</v>
      </c>
      <c r="DE186" t="s">
        <v>455</v>
      </c>
      <c r="DF186" t="s">
        <v>456</v>
      </c>
      <c r="DG186" t="s">
        <v>786</v>
      </c>
      <c r="DH186">
        <v>0</v>
      </c>
      <c r="DI186" t="s">
        <v>325</v>
      </c>
      <c r="DJ186">
        <v>100</v>
      </c>
      <c r="DK186">
        <v>2</v>
      </c>
    </row>
    <row r="187" spans="1:115" x14ac:dyDescent="0.25">
      <c r="A187">
        <v>186</v>
      </c>
      <c r="B187" t="s">
        <v>657</v>
      </c>
      <c r="C187">
        <v>1</v>
      </c>
      <c r="D187">
        <v>207</v>
      </c>
      <c r="E187">
        <v>661952</v>
      </c>
      <c r="F187" t="s">
        <v>602</v>
      </c>
      <c r="G187">
        <v>269</v>
      </c>
      <c r="H187">
        <v>3.0000000000000001E-3</v>
      </c>
      <c r="I187" t="s">
        <v>297</v>
      </c>
      <c r="J187" t="s">
        <v>299</v>
      </c>
      <c r="K187" t="s">
        <v>321</v>
      </c>
      <c r="L187" t="s">
        <v>406</v>
      </c>
      <c r="M187" t="s">
        <v>299</v>
      </c>
      <c r="N187" t="s">
        <v>321</v>
      </c>
      <c r="O187">
        <v>18020495</v>
      </c>
      <c r="P187">
        <v>183200378</v>
      </c>
      <c r="Q187" s="290">
        <v>45241</v>
      </c>
      <c r="R187">
        <v>16</v>
      </c>
      <c r="S187">
        <v>2018</v>
      </c>
      <c r="T187" t="s">
        <v>485</v>
      </c>
      <c r="U187">
        <v>16</v>
      </c>
      <c r="V187" t="s">
        <v>422</v>
      </c>
      <c r="W187" t="s">
        <v>320</v>
      </c>
      <c r="X187">
        <v>0</v>
      </c>
      <c r="Y187">
        <v>2</v>
      </c>
      <c r="Z187" t="s">
        <v>785</v>
      </c>
      <c r="AA187" t="s">
        <v>409</v>
      </c>
      <c r="AB187" t="s">
        <v>500</v>
      </c>
      <c r="AC187" t="s">
        <v>433</v>
      </c>
      <c r="AD187" t="s">
        <v>467</v>
      </c>
      <c r="AE187" t="s">
        <v>321</v>
      </c>
      <c r="AF187" t="s">
        <v>413</v>
      </c>
      <c r="AG187" t="s">
        <v>414</v>
      </c>
      <c r="AH187" t="s">
        <v>783</v>
      </c>
      <c r="AI187" t="s">
        <v>321</v>
      </c>
      <c r="AJ187" t="s">
        <v>782</v>
      </c>
      <c r="AK187" t="s">
        <v>463</v>
      </c>
      <c r="AL187" t="s">
        <v>417</v>
      </c>
      <c r="AM187" t="s">
        <v>418</v>
      </c>
      <c r="AN187" t="s">
        <v>472</v>
      </c>
      <c r="AO187" t="s">
        <v>426</v>
      </c>
      <c r="AP187">
        <v>17</v>
      </c>
      <c r="AQ187" t="s">
        <v>420</v>
      </c>
      <c r="AR187" t="s">
        <v>421</v>
      </c>
      <c r="AS187" t="s">
        <v>440</v>
      </c>
      <c r="AT187" t="s">
        <v>440</v>
      </c>
      <c r="AU187" t="s">
        <v>321</v>
      </c>
      <c r="AV187" t="s">
        <v>321</v>
      </c>
      <c r="AW187" t="s">
        <v>441</v>
      </c>
      <c r="AX187" t="s">
        <v>512</v>
      </c>
      <c r="AY187">
        <v>30</v>
      </c>
      <c r="AZ187" t="s">
        <v>423</v>
      </c>
      <c r="BA187" t="s">
        <v>424</v>
      </c>
      <c r="BB187" t="s">
        <v>417</v>
      </c>
      <c r="BC187" t="s">
        <v>478</v>
      </c>
      <c r="BD187" t="s">
        <v>472</v>
      </c>
      <c r="BE187" t="s">
        <v>480</v>
      </c>
      <c r="BF187">
        <v>22</v>
      </c>
      <c r="BG187" t="s">
        <v>427</v>
      </c>
      <c r="BH187" t="s">
        <v>421</v>
      </c>
      <c r="BI187" t="s">
        <v>428</v>
      </c>
      <c r="BJ187" t="s">
        <v>321</v>
      </c>
      <c r="BK187" t="s">
        <v>321</v>
      </c>
      <c r="BL187" t="s">
        <v>321</v>
      </c>
      <c r="BM187" t="s">
        <v>441</v>
      </c>
      <c r="BN187" t="s">
        <v>512</v>
      </c>
      <c r="BO187">
        <v>30</v>
      </c>
      <c r="BP187" t="s">
        <v>423</v>
      </c>
      <c r="BQ187" t="s">
        <v>424</v>
      </c>
      <c r="BR187" t="s">
        <v>321</v>
      </c>
      <c r="BS187" t="s">
        <v>321</v>
      </c>
      <c r="BT187" t="s">
        <v>321</v>
      </c>
      <c r="BU187" t="s">
        <v>321</v>
      </c>
      <c r="BV187" t="s">
        <v>321</v>
      </c>
      <c r="BW187" t="s">
        <v>321</v>
      </c>
      <c r="BX187" t="s">
        <v>321</v>
      </c>
      <c r="BY187" t="s">
        <v>321</v>
      </c>
      <c r="BZ187" t="s">
        <v>321</v>
      </c>
      <c r="CA187" t="s">
        <v>321</v>
      </c>
      <c r="CB187" t="s">
        <v>321</v>
      </c>
      <c r="CC187" t="s">
        <v>321</v>
      </c>
      <c r="CD187" t="s">
        <v>321</v>
      </c>
      <c r="CE187" t="s">
        <v>321</v>
      </c>
      <c r="CF187" t="s">
        <v>321</v>
      </c>
      <c r="CG187" t="s">
        <v>321</v>
      </c>
      <c r="CH187" t="s">
        <v>321</v>
      </c>
      <c r="CI187" t="s">
        <v>321</v>
      </c>
      <c r="CJ187" t="s">
        <v>321</v>
      </c>
      <c r="CK187" t="s">
        <v>321</v>
      </c>
      <c r="CL187" t="s">
        <v>321</v>
      </c>
      <c r="CM187" t="s">
        <v>321</v>
      </c>
      <c r="CN187" t="s">
        <v>321</v>
      </c>
      <c r="CO187" t="s">
        <v>321</v>
      </c>
      <c r="CP187" t="s">
        <v>321</v>
      </c>
      <c r="CQ187" t="s">
        <v>321</v>
      </c>
      <c r="CR187" t="s">
        <v>321</v>
      </c>
      <c r="CS187" t="s">
        <v>321</v>
      </c>
      <c r="CT187" t="s">
        <v>321</v>
      </c>
      <c r="CU187" t="s">
        <v>321</v>
      </c>
      <c r="CV187" t="s">
        <v>321</v>
      </c>
      <c r="CW187" t="s">
        <v>321</v>
      </c>
      <c r="CX187">
        <v>277074.66570000001</v>
      </c>
      <c r="CY187">
        <v>4924908.0860000001</v>
      </c>
      <c r="CZ187">
        <v>44.443123</v>
      </c>
      <c r="DA187">
        <v>-95.801434</v>
      </c>
      <c r="DB187" s="291">
        <v>43420.670138888891</v>
      </c>
      <c r="DC187" t="s">
        <v>231</v>
      </c>
      <c r="DD187" t="s">
        <v>429</v>
      </c>
      <c r="DE187" t="s">
        <v>455</v>
      </c>
      <c r="DF187" t="s">
        <v>456</v>
      </c>
      <c r="DG187" t="s">
        <v>784</v>
      </c>
      <c r="DH187">
        <v>0</v>
      </c>
      <c r="DI187" t="s">
        <v>325</v>
      </c>
      <c r="DJ187">
        <v>100</v>
      </c>
      <c r="DK187">
        <v>2</v>
      </c>
    </row>
    <row r="188" spans="1:115" x14ac:dyDescent="0.25">
      <c r="A188">
        <v>187</v>
      </c>
      <c r="B188" t="s">
        <v>657</v>
      </c>
      <c r="C188">
        <v>1</v>
      </c>
      <c r="D188">
        <v>208</v>
      </c>
      <c r="E188">
        <v>499439</v>
      </c>
      <c r="F188" t="s">
        <v>602</v>
      </c>
      <c r="G188">
        <v>269</v>
      </c>
      <c r="H188">
        <v>4.0000000000000001E-3</v>
      </c>
      <c r="I188" t="s">
        <v>297</v>
      </c>
      <c r="J188" t="s">
        <v>299</v>
      </c>
      <c r="K188" t="s">
        <v>321</v>
      </c>
      <c r="L188" t="s">
        <v>406</v>
      </c>
      <c r="M188" t="s">
        <v>299</v>
      </c>
      <c r="N188" t="s">
        <v>321</v>
      </c>
      <c r="O188">
        <v>17015954</v>
      </c>
      <c r="P188">
        <v>172500006</v>
      </c>
      <c r="Q188" s="290">
        <v>45178</v>
      </c>
      <c r="R188">
        <v>7</v>
      </c>
      <c r="S188">
        <v>2017</v>
      </c>
      <c r="T188" t="s">
        <v>458</v>
      </c>
      <c r="U188">
        <v>0</v>
      </c>
      <c r="V188" t="s">
        <v>450</v>
      </c>
      <c r="W188" t="s">
        <v>320</v>
      </c>
      <c r="X188">
        <v>0</v>
      </c>
      <c r="Y188">
        <v>1</v>
      </c>
      <c r="Z188" t="s">
        <v>321</v>
      </c>
      <c r="AA188" t="s">
        <v>432</v>
      </c>
      <c r="AB188" t="s">
        <v>500</v>
      </c>
      <c r="AC188" t="s">
        <v>411</v>
      </c>
      <c r="AD188" t="s">
        <v>412</v>
      </c>
      <c r="AE188" t="s">
        <v>321</v>
      </c>
      <c r="AF188" t="s">
        <v>434</v>
      </c>
      <c r="AG188" t="s">
        <v>414</v>
      </c>
      <c r="AH188" t="s">
        <v>783</v>
      </c>
      <c r="AI188" t="s">
        <v>321</v>
      </c>
      <c r="AJ188" t="s">
        <v>782</v>
      </c>
      <c r="AK188" t="s">
        <v>436</v>
      </c>
      <c r="AL188" t="s">
        <v>417</v>
      </c>
      <c r="AM188" t="s">
        <v>478</v>
      </c>
      <c r="AN188" t="s">
        <v>453</v>
      </c>
      <c r="AO188" t="s">
        <v>419</v>
      </c>
      <c r="AP188">
        <v>66</v>
      </c>
      <c r="AQ188" t="s">
        <v>420</v>
      </c>
      <c r="AR188" t="s">
        <v>421</v>
      </c>
      <c r="AS188" t="s">
        <v>479</v>
      </c>
      <c r="AT188" t="s">
        <v>321</v>
      </c>
      <c r="AU188" t="s">
        <v>321</v>
      </c>
      <c r="AV188" t="s">
        <v>321</v>
      </c>
      <c r="AW188" t="s">
        <v>441</v>
      </c>
      <c r="AX188" t="s">
        <v>422</v>
      </c>
      <c r="AY188">
        <v>30</v>
      </c>
      <c r="AZ188" t="s">
        <v>423</v>
      </c>
      <c r="BA188" t="s">
        <v>424</v>
      </c>
      <c r="BB188" t="s">
        <v>321</v>
      </c>
      <c r="BC188" t="s">
        <v>321</v>
      </c>
      <c r="BD188" t="s">
        <v>321</v>
      </c>
      <c r="BE188" t="s">
        <v>321</v>
      </c>
      <c r="BF188" t="s">
        <v>321</v>
      </c>
      <c r="BG188" t="s">
        <v>321</v>
      </c>
      <c r="BH188" t="s">
        <v>321</v>
      </c>
      <c r="BI188" t="s">
        <v>321</v>
      </c>
      <c r="BJ188" t="s">
        <v>321</v>
      </c>
      <c r="BK188" t="s">
        <v>321</v>
      </c>
      <c r="BL188" t="s">
        <v>321</v>
      </c>
      <c r="BM188" t="s">
        <v>321</v>
      </c>
      <c r="BN188" t="s">
        <v>321</v>
      </c>
      <c r="BO188" t="s">
        <v>321</v>
      </c>
      <c r="BP188" t="s">
        <v>321</v>
      </c>
      <c r="BQ188" t="s">
        <v>321</v>
      </c>
      <c r="BR188" t="s">
        <v>321</v>
      </c>
      <c r="BS188" t="s">
        <v>321</v>
      </c>
      <c r="BT188" t="s">
        <v>321</v>
      </c>
      <c r="BU188" t="s">
        <v>321</v>
      </c>
      <c r="BV188" t="s">
        <v>321</v>
      </c>
      <c r="BW188" t="s">
        <v>321</v>
      </c>
      <c r="BX188" t="s">
        <v>321</v>
      </c>
      <c r="BY188" t="s">
        <v>321</v>
      </c>
      <c r="BZ188" t="s">
        <v>321</v>
      </c>
      <c r="CA188" t="s">
        <v>321</v>
      </c>
      <c r="CB188" t="s">
        <v>321</v>
      </c>
      <c r="CC188" t="s">
        <v>321</v>
      </c>
      <c r="CD188" t="s">
        <v>321</v>
      </c>
      <c r="CE188" t="s">
        <v>321</v>
      </c>
      <c r="CF188" t="s">
        <v>321</v>
      </c>
      <c r="CG188" t="s">
        <v>321</v>
      </c>
      <c r="CH188" t="s">
        <v>321</v>
      </c>
      <c r="CI188" t="s">
        <v>321</v>
      </c>
      <c r="CJ188" t="s">
        <v>321</v>
      </c>
      <c r="CK188" t="s">
        <v>321</v>
      </c>
      <c r="CL188" t="s">
        <v>321</v>
      </c>
      <c r="CM188" t="s">
        <v>321</v>
      </c>
      <c r="CN188" t="s">
        <v>321</v>
      </c>
      <c r="CO188" t="s">
        <v>321</v>
      </c>
      <c r="CP188" t="s">
        <v>321</v>
      </c>
      <c r="CQ188" t="s">
        <v>321</v>
      </c>
      <c r="CR188" t="s">
        <v>321</v>
      </c>
      <c r="CS188" t="s">
        <v>321</v>
      </c>
      <c r="CT188" t="s">
        <v>321</v>
      </c>
      <c r="CU188" t="s">
        <v>321</v>
      </c>
      <c r="CV188" t="s">
        <v>321</v>
      </c>
      <c r="CW188" t="s">
        <v>321</v>
      </c>
      <c r="CX188">
        <v>277074.728</v>
      </c>
      <c r="CY188">
        <v>4924910.534</v>
      </c>
      <c r="CZ188">
        <v>44.443145000000001</v>
      </c>
      <c r="DA188">
        <v>-95.801434999999998</v>
      </c>
      <c r="DB188" s="291">
        <v>42985.006944444445</v>
      </c>
      <c r="DC188" t="s">
        <v>231</v>
      </c>
      <c r="DD188" t="s">
        <v>429</v>
      </c>
      <c r="DE188" t="s">
        <v>455</v>
      </c>
      <c r="DF188" t="s">
        <v>456</v>
      </c>
      <c r="DG188" t="s">
        <v>781</v>
      </c>
      <c r="DH188">
        <v>0</v>
      </c>
      <c r="DI188" t="s">
        <v>325</v>
      </c>
      <c r="DJ188">
        <v>100</v>
      </c>
      <c r="DK188">
        <v>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680A-269D-430F-9D36-CF50CCE07169}">
  <dimension ref="A1:DF9"/>
  <sheetViews>
    <sheetView workbookViewId="0">
      <selection activeCell="G1" sqref="G1"/>
    </sheetView>
  </sheetViews>
  <sheetFormatPr defaultRowHeight="15" x14ac:dyDescent="0.25"/>
  <cols>
    <col min="17" max="17" width="12.28515625" bestFit="1" customWidth="1"/>
    <col min="21" max="21" width="21.140625" bestFit="1" customWidth="1"/>
  </cols>
  <sheetData>
    <row r="1" spans="1:110" x14ac:dyDescent="0.25">
      <c r="A1" t="s">
        <v>651</v>
      </c>
      <c r="B1" t="s">
        <v>652</v>
      </c>
      <c r="C1" t="s">
        <v>128</v>
      </c>
      <c r="D1" t="s">
        <v>129</v>
      </c>
      <c r="E1" t="s">
        <v>130</v>
      </c>
      <c r="F1" t="s">
        <v>131</v>
      </c>
      <c r="G1" t="s">
        <v>132</v>
      </c>
      <c r="H1" t="s">
        <v>133</v>
      </c>
      <c r="I1" t="s">
        <v>134</v>
      </c>
      <c r="J1" t="s">
        <v>135</v>
      </c>
      <c r="K1" t="s">
        <v>136</v>
      </c>
      <c r="L1" t="s">
        <v>137</v>
      </c>
      <c r="M1" t="s">
        <v>138</v>
      </c>
      <c r="N1" t="s">
        <v>139</v>
      </c>
      <c r="O1" t="s">
        <v>140</v>
      </c>
      <c r="P1" t="s">
        <v>141</v>
      </c>
      <c r="Q1" t="s">
        <v>142</v>
      </c>
      <c r="R1" t="s">
        <v>143</v>
      </c>
      <c r="S1" t="s">
        <v>144</v>
      </c>
      <c r="T1" t="s">
        <v>145</v>
      </c>
      <c r="U1" t="s">
        <v>146</v>
      </c>
      <c r="V1" t="s">
        <v>147</v>
      </c>
      <c r="W1" t="s">
        <v>148</v>
      </c>
      <c r="X1" t="s">
        <v>149</v>
      </c>
      <c r="Y1" t="s">
        <v>150</v>
      </c>
      <c r="Z1" t="s">
        <v>151</v>
      </c>
      <c r="AA1" t="s">
        <v>152</v>
      </c>
      <c r="AB1" t="s">
        <v>153</v>
      </c>
      <c r="AC1" t="s">
        <v>154</v>
      </c>
      <c r="AD1" t="s">
        <v>155</v>
      </c>
      <c r="AE1" t="s">
        <v>156</v>
      </c>
      <c r="AF1" t="s">
        <v>157</v>
      </c>
      <c r="AG1" t="s">
        <v>158</v>
      </c>
      <c r="AH1" t="s">
        <v>159</v>
      </c>
      <c r="AI1" t="s">
        <v>160</v>
      </c>
      <c r="AJ1" t="s">
        <v>161</v>
      </c>
      <c r="AK1" t="s">
        <v>162</v>
      </c>
      <c r="AL1" t="s">
        <v>163</v>
      </c>
      <c r="AM1" t="s">
        <v>164</v>
      </c>
      <c r="AN1" t="s">
        <v>165</v>
      </c>
      <c r="AO1" t="s">
        <v>166</v>
      </c>
      <c r="AP1" t="s">
        <v>167</v>
      </c>
      <c r="AQ1" t="s">
        <v>168</v>
      </c>
      <c r="AR1" t="s">
        <v>169</v>
      </c>
      <c r="AS1" t="s">
        <v>170</v>
      </c>
      <c r="AT1" t="s">
        <v>171</v>
      </c>
      <c r="AU1" t="s">
        <v>172</v>
      </c>
      <c r="AV1" t="s">
        <v>173</v>
      </c>
      <c r="AW1" t="s">
        <v>174</v>
      </c>
      <c r="AX1" t="s">
        <v>175</v>
      </c>
      <c r="AY1" t="s">
        <v>176</v>
      </c>
      <c r="AZ1" t="s">
        <v>177</v>
      </c>
      <c r="BA1" t="s">
        <v>178</v>
      </c>
      <c r="BB1" t="s">
        <v>179</v>
      </c>
      <c r="BC1" t="s">
        <v>180</v>
      </c>
      <c r="BD1" t="s">
        <v>181</v>
      </c>
      <c r="BE1" t="s">
        <v>182</v>
      </c>
      <c r="BF1" t="s">
        <v>183</v>
      </c>
      <c r="BG1" t="s">
        <v>184</v>
      </c>
      <c r="BH1" t="s">
        <v>185</v>
      </c>
      <c r="BI1" t="s">
        <v>186</v>
      </c>
      <c r="BJ1" t="s">
        <v>187</v>
      </c>
      <c r="BK1" t="s">
        <v>188</v>
      </c>
      <c r="BL1" t="s">
        <v>189</v>
      </c>
      <c r="BM1" t="s">
        <v>190</v>
      </c>
      <c r="BN1" t="s">
        <v>191</v>
      </c>
      <c r="BO1" t="s">
        <v>192</v>
      </c>
      <c r="BP1" t="s">
        <v>193</v>
      </c>
      <c r="BQ1" t="s">
        <v>194</v>
      </c>
      <c r="BR1" t="s">
        <v>195</v>
      </c>
      <c r="BS1" t="s">
        <v>196</v>
      </c>
      <c r="BT1" t="s">
        <v>197</v>
      </c>
      <c r="BU1" t="s">
        <v>198</v>
      </c>
      <c r="BV1" t="s">
        <v>199</v>
      </c>
      <c r="BW1" t="s">
        <v>200</v>
      </c>
      <c r="BX1" t="s">
        <v>201</v>
      </c>
      <c r="BY1" t="s">
        <v>202</v>
      </c>
      <c r="BZ1" t="s">
        <v>203</v>
      </c>
      <c r="CA1" t="s">
        <v>204</v>
      </c>
      <c r="CB1" t="s">
        <v>205</v>
      </c>
      <c r="CC1" t="s">
        <v>206</v>
      </c>
      <c r="CD1" t="s">
        <v>207</v>
      </c>
      <c r="CE1" t="s">
        <v>208</v>
      </c>
      <c r="CF1" t="s">
        <v>209</v>
      </c>
      <c r="CG1" t="s">
        <v>210</v>
      </c>
      <c r="CH1" t="s">
        <v>211</v>
      </c>
      <c r="CI1" t="s">
        <v>212</v>
      </c>
      <c r="CJ1" t="s">
        <v>213</v>
      </c>
      <c r="CK1" t="s">
        <v>214</v>
      </c>
      <c r="CL1" t="s">
        <v>215</v>
      </c>
      <c r="CM1" t="s">
        <v>216</v>
      </c>
      <c r="CN1" t="s">
        <v>217</v>
      </c>
      <c r="CO1" t="s">
        <v>218</v>
      </c>
      <c r="CP1" t="s">
        <v>219</v>
      </c>
      <c r="CQ1" t="s">
        <v>220</v>
      </c>
      <c r="CR1" t="s">
        <v>221</v>
      </c>
      <c r="CS1" t="s">
        <v>222</v>
      </c>
      <c r="CT1" t="s">
        <v>223</v>
      </c>
      <c r="CU1" t="s">
        <v>224</v>
      </c>
      <c r="CV1" t="s">
        <v>225</v>
      </c>
      <c r="CW1" t="s">
        <v>226</v>
      </c>
      <c r="CX1" t="s">
        <v>227</v>
      </c>
      <c r="CY1" t="s">
        <v>228</v>
      </c>
      <c r="CZ1" t="s">
        <v>401</v>
      </c>
      <c r="DA1" t="s">
        <v>229</v>
      </c>
      <c r="DB1" t="s">
        <v>402</v>
      </c>
      <c r="DC1" t="s">
        <v>403</v>
      </c>
      <c r="DD1" t="s">
        <v>404</v>
      </c>
      <c r="DE1" t="s">
        <v>230</v>
      </c>
      <c r="DF1" t="s">
        <v>1150</v>
      </c>
    </row>
    <row r="2" spans="1:110" x14ac:dyDescent="0.25">
      <c r="A2">
        <v>5</v>
      </c>
      <c r="B2" t="s">
        <v>657</v>
      </c>
      <c r="C2">
        <v>935092</v>
      </c>
      <c r="D2" t="s">
        <v>464</v>
      </c>
      <c r="E2">
        <v>19</v>
      </c>
      <c r="F2">
        <v>34.435000000000002</v>
      </c>
      <c r="G2" t="s">
        <v>297</v>
      </c>
      <c r="H2" t="s">
        <v>299</v>
      </c>
      <c r="I2" t="s">
        <v>321</v>
      </c>
      <c r="J2" t="s">
        <v>406</v>
      </c>
      <c r="K2" t="s">
        <v>299</v>
      </c>
      <c r="L2" t="s">
        <v>321</v>
      </c>
      <c r="M2" t="s">
        <v>534</v>
      </c>
      <c r="N2">
        <v>212300134</v>
      </c>
      <c r="O2">
        <v>45146</v>
      </c>
      <c r="P2">
        <v>18</v>
      </c>
      <c r="Q2">
        <v>2021</v>
      </c>
      <c r="R2" t="s">
        <v>494</v>
      </c>
      <c r="S2">
        <v>22</v>
      </c>
      <c r="T2" t="s">
        <v>422</v>
      </c>
      <c r="U2" t="s">
        <v>320</v>
      </c>
      <c r="V2">
        <v>0</v>
      </c>
      <c r="W2">
        <v>2</v>
      </c>
      <c r="X2" t="s">
        <v>525</v>
      </c>
      <c r="Y2" t="s">
        <v>409</v>
      </c>
      <c r="Z2" t="s">
        <v>410</v>
      </c>
      <c r="AA2" t="s">
        <v>411</v>
      </c>
      <c r="AB2" t="s">
        <v>412</v>
      </c>
      <c r="AC2" t="s">
        <v>321</v>
      </c>
      <c r="AD2" t="s">
        <v>434</v>
      </c>
      <c r="AE2" t="s">
        <v>414</v>
      </c>
      <c r="AF2" t="s">
        <v>477</v>
      </c>
      <c r="AG2" t="s">
        <v>321</v>
      </c>
      <c r="AH2" t="s">
        <v>471</v>
      </c>
      <c r="AI2" t="s">
        <v>526</v>
      </c>
      <c r="AJ2" t="s">
        <v>417</v>
      </c>
      <c r="AK2" t="s">
        <v>425</v>
      </c>
      <c r="AL2" t="s">
        <v>472</v>
      </c>
      <c r="AM2" t="s">
        <v>426</v>
      </c>
      <c r="AN2">
        <v>43</v>
      </c>
      <c r="AO2" t="s">
        <v>420</v>
      </c>
      <c r="AP2" t="s">
        <v>421</v>
      </c>
      <c r="AQ2" t="s">
        <v>428</v>
      </c>
      <c r="AR2" t="s">
        <v>321</v>
      </c>
      <c r="AS2" t="s">
        <v>321</v>
      </c>
      <c r="AT2" t="s">
        <v>321</v>
      </c>
      <c r="AU2" t="s">
        <v>441</v>
      </c>
      <c r="AV2" t="s">
        <v>449</v>
      </c>
      <c r="AW2" t="s">
        <v>321</v>
      </c>
      <c r="AX2" t="s">
        <v>535</v>
      </c>
      <c r="AY2" t="s">
        <v>424</v>
      </c>
      <c r="AZ2" t="s">
        <v>417</v>
      </c>
      <c r="BA2" t="s">
        <v>425</v>
      </c>
      <c r="BB2" t="s">
        <v>453</v>
      </c>
      <c r="BC2" t="s">
        <v>487</v>
      </c>
      <c r="BD2">
        <v>22</v>
      </c>
      <c r="BE2" t="s">
        <v>420</v>
      </c>
      <c r="BF2" t="s">
        <v>421</v>
      </c>
      <c r="BG2" t="s">
        <v>462</v>
      </c>
      <c r="BH2" t="s">
        <v>321</v>
      </c>
      <c r="BI2" t="s">
        <v>321</v>
      </c>
      <c r="BJ2" t="s">
        <v>321</v>
      </c>
      <c r="BK2" t="s">
        <v>441</v>
      </c>
      <c r="BL2" t="s">
        <v>449</v>
      </c>
      <c r="BM2">
        <v>30</v>
      </c>
      <c r="BN2" t="s">
        <v>536</v>
      </c>
      <c r="BO2" t="s">
        <v>424</v>
      </c>
      <c r="BP2" t="s">
        <v>321</v>
      </c>
      <c r="BQ2" t="s">
        <v>321</v>
      </c>
      <c r="BR2" t="s">
        <v>321</v>
      </c>
      <c r="BS2" t="s">
        <v>321</v>
      </c>
      <c r="BT2" t="s">
        <v>321</v>
      </c>
      <c r="BU2" t="s">
        <v>321</v>
      </c>
      <c r="BV2" t="s">
        <v>321</v>
      </c>
      <c r="BW2" t="s">
        <v>321</v>
      </c>
      <c r="BX2" t="s">
        <v>321</v>
      </c>
      <c r="BY2" t="s">
        <v>321</v>
      </c>
      <c r="BZ2" t="s">
        <v>321</v>
      </c>
      <c r="CA2" t="s">
        <v>321</v>
      </c>
      <c r="CB2" t="s">
        <v>321</v>
      </c>
      <c r="CC2" t="s">
        <v>321</v>
      </c>
      <c r="CD2" t="s">
        <v>321</v>
      </c>
      <c r="CE2" t="s">
        <v>321</v>
      </c>
      <c r="CF2" t="s">
        <v>321</v>
      </c>
      <c r="CG2" t="s">
        <v>321</v>
      </c>
      <c r="CH2" t="s">
        <v>321</v>
      </c>
      <c r="CI2" t="s">
        <v>321</v>
      </c>
      <c r="CJ2" t="s">
        <v>321</v>
      </c>
      <c r="CK2" t="s">
        <v>321</v>
      </c>
      <c r="CL2" t="s">
        <v>321</v>
      </c>
      <c r="CM2" t="s">
        <v>321</v>
      </c>
      <c r="CN2" t="s">
        <v>321</v>
      </c>
      <c r="CO2" t="s">
        <v>321</v>
      </c>
      <c r="CP2" t="s">
        <v>321</v>
      </c>
      <c r="CQ2" t="s">
        <v>321</v>
      </c>
      <c r="CR2" t="s">
        <v>321</v>
      </c>
      <c r="CS2" t="s">
        <v>321</v>
      </c>
      <c r="CT2" t="s">
        <v>321</v>
      </c>
      <c r="CU2" t="s">
        <v>321</v>
      </c>
      <c r="CV2">
        <v>277699.25839999999</v>
      </c>
      <c r="CW2">
        <v>4924918.4239999996</v>
      </c>
      <c r="CX2">
        <v>44.443407999999998</v>
      </c>
      <c r="CY2">
        <v>-95.793599</v>
      </c>
      <c r="CZ2">
        <v>44426.927083333336</v>
      </c>
      <c r="DA2" t="s">
        <v>231</v>
      </c>
      <c r="DB2" t="s">
        <v>429</v>
      </c>
      <c r="DC2" t="s">
        <v>455</v>
      </c>
      <c r="DD2" t="s">
        <v>456</v>
      </c>
      <c r="DE2" t="s">
        <v>537</v>
      </c>
      <c r="DF2" t="s">
        <v>1149</v>
      </c>
    </row>
    <row r="3" spans="1:110" x14ac:dyDescent="0.25">
      <c r="A3">
        <v>7</v>
      </c>
      <c r="B3" t="s">
        <v>657</v>
      </c>
      <c r="C3">
        <v>757501</v>
      </c>
      <c r="D3" t="s">
        <v>464</v>
      </c>
      <c r="E3">
        <v>19</v>
      </c>
      <c r="F3">
        <v>34.874000000000002</v>
      </c>
      <c r="G3" t="s">
        <v>297</v>
      </c>
      <c r="H3" t="s">
        <v>299</v>
      </c>
      <c r="I3" t="s">
        <v>321</v>
      </c>
      <c r="J3" t="s">
        <v>406</v>
      </c>
      <c r="K3" t="s">
        <v>299</v>
      </c>
      <c r="L3" t="s">
        <v>321</v>
      </c>
      <c r="M3">
        <v>19017841</v>
      </c>
      <c r="N3">
        <v>192990137</v>
      </c>
      <c r="O3">
        <v>45209</v>
      </c>
      <c r="P3">
        <v>26</v>
      </c>
      <c r="Q3">
        <v>2019</v>
      </c>
      <c r="R3" t="s">
        <v>506</v>
      </c>
      <c r="S3">
        <v>13</v>
      </c>
      <c r="T3" t="s">
        <v>450</v>
      </c>
      <c r="U3" t="s">
        <v>320</v>
      </c>
      <c r="V3">
        <v>0</v>
      </c>
      <c r="W3">
        <v>2</v>
      </c>
      <c r="X3" t="s">
        <v>476</v>
      </c>
      <c r="Y3" t="s">
        <v>409</v>
      </c>
      <c r="Z3" t="s">
        <v>539</v>
      </c>
      <c r="AA3" t="s">
        <v>433</v>
      </c>
      <c r="AB3" t="s">
        <v>412</v>
      </c>
      <c r="AC3" t="s">
        <v>321</v>
      </c>
      <c r="AD3" t="s">
        <v>434</v>
      </c>
      <c r="AE3" t="s">
        <v>414</v>
      </c>
      <c r="AF3" t="s">
        <v>477</v>
      </c>
      <c r="AG3" t="s">
        <v>321</v>
      </c>
      <c r="AH3" t="s">
        <v>471</v>
      </c>
      <c r="AI3" t="s">
        <v>447</v>
      </c>
      <c r="AJ3" t="s">
        <v>417</v>
      </c>
      <c r="AK3" t="s">
        <v>478</v>
      </c>
      <c r="AL3" t="s">
        <v>453</v>
      </c>
      <c r="AM3" t="s">
        <v>540</v>
      </c>
      <c r="AN3">
        <v>52</v>
      </c>
      <c r="AO3" t="s">
        <v>420</v>
      </c>
      <c r="AP3" t="s">
        <v>421</v>
      </c>
      <c r="AQ3" t="s">
        <v>428</v>
      </c>
      <c r="AR3" t="s">
        <v>321</v>
      </c>
      <c r="AS3" t="s">
        <v>321</v>
      </c>
      <c r="AT3" t="s">
        <v>321</v>
      </c>
      <c r="AU3" t="s">
        <v>441</v>
      </c>
      <c r="AV3" t="s">
        <v>442</v>
      </c>
      <c r="AW3">
        <v>30</v>
      </c>
      <c r="AX3" t="s">
        <v>423</v>
      </c>
      <c r="AY3" t="s">
        <v>424</v>
      </c>
      <c r="AZ3" t="s">
        <v>417</v>
      </c>
      <c r="BA3" t="s">
        <v>425</v>
      </c>
      <c r="BB3" t="s">
        <v>453</v>
      </c>
      <c r="BC3" t="s">
        <v>426</v>
      </c>
      <c r="BD3">
        <v>20</v>
      </c>
      <c r="BE3" t="s">
        <v>427</v>
      </c>
      <c r="BF3" t="s">
        <v>421</v>
      </c>
      <c r="BG3" t="s">
        <v>524</v>
      </c>
      <c r="BH3" t="s">
        <v>321</v>
      </c>
      <c r="BI3" t="s">
        <v>321</v>
      </c>
      <c r="BJ3" t="s">
        <v>321</v>
      </c>
      <c r="BK3" t="s">
        <v>441</v>
      </c>
      <c r="BL3" t="s">
        <v>442</v>
      </c>
      <c r="BM3">
        <v>30</v>
      </c>
      <c r="BN3" t="s">
        <v>423</v>
      </c>
      <c r="BO3" t="s">
        <v>424</v>
      </c>
      <c r="BP3" t="s">
        <v>321</v>
      </c>
      <c r="BQ3" t="s">
        <v>321</v>
      </c>
      <c r="BR3" t="s">
        <v>321</v>
      </c>
      <c r="BS3" t="s">
        <v>321</v>
      </c>
      <c r="BT3" t="s">
        <v>321</v>
      </c>
      <c r="BU3" t="s">
        <v>321</v>
      </c>
      <c r="BV3" t="s">
        <v>321</v>
      </c>
      <c r="BW3" t="s">
        <v>321</v>
      </c>
      <c r="BX3" t="s">
        <v>321</v>
      </c>
      <c r="BY3" t="s">
        <v>321</v>
      </c>
      <c r="BZ3" t="s">
        <v>321</v>
      </c>
      <c r="CA3" t="s">
        <v>321</v>
      </c>
      <c r="CB3" t="s">
        <v>321</v>
      </c>
      <c r="CC3" t="s">
        <v>321</v>
      </c>
      <c r="CD3" t="s">
        <v>321</v>
      </c>
      <c r="CE3" t="s">
        <v>321</v>
      </c>
      <c r="CF3" t="s">
        <v>321</v>
      </c>
      <c r="CG3" t="s">
        <v>321</v>
      </c>
      <c r="CH3" t="s">
        <v>321</v>
      </c>
      <c r="CI3" t="s">
        <v>321</v>
      </c>
      <c r="CJ3" t="s">
        <v>321</v>
      </c>
      <c r="CK3" t="s">
        <v>321</v>
      </c>
      <c r="CL3" t="s">
        <v>321</v>
      </c>
      <c r="CM3" t="s">
        <v>321</v>
      </c>
      <c r="CN3" t="s">
        <v>321</v>
      </c>
      <c r="CO3" t="s">
        <v>321</v>
      </c>
      <c r="CP3" t="s">
        <v>321</v>
      </c>
      <c r="CQ3" t="s">
        <v>321</v>
      </c>
      <c r="CR3" t="s">
        <v>321</v>
      </c>
      <c r="CS3" t="s">
        <v>321</v>
      </c>
      <c r="CT3" t="s">
        <v>321</v>
      </c>
      <c r="CU3" t="s">
        <v>321</v>
      </c>
      <c r="CV3">
        <v>278209.49650000001</v>
      </c>
      <c r="CW3">
        <v>4925405.9579999996</v>
      </c>
      <c r="CX3">
        <v>44.447947999999997</v>
      </c>
      <c r="CY3">
        <v>-95.787402999999998</v>
      </c>
      <c r="CZ3">
        <v>43764.569444444445</v>
      </c>
      <c r="DA3" t="s">
        <v>231</v>
      </c>
      <c r="DB3" t="s">
        <v>429</v>
      </c>
      <c r="DC3" t="s">
        <v>455</v>
      </c>
      <c r="DD3" t="s">
        <v>456</v>
      </c>
      <c r="DE3" t="s">
        <v>541</v>
      </c>
      <c r="DF3" t="s">
        <v>1148</v>
      </c>
    </row>
    <row r="4" spans="1:110" x14ac:dyDescent="0.25">
      <c r="A4">
        <v>8</v>
      </c>
      <c r="B4" t="s">
        <v>657</v>
      </c>
      <c r="C4">
        <v>760491</v>
      </c>
      <c r="D4" t="s">
        <v>464</v>
      </c>
      <c r="E4">
        <v>19</v>
      </c>
      <c r="F4">
        <v>35.454999999999998</v>
      </c>
      <c r="G4" t="s">
        <v>297</v>
      </c>
      <c r="H4" t="s">
        <v>299</v>
      </c>
      <c r="I4" t="s">
        <v>321</v>
      </c>
      <c r="J4" t="s">
        <v>406</v>
      </c>
      <c r="K4" t="s">
        <v>299</v>
      </c>
      <c r="L4" t="s">
        <v>321</v>
      </c>
      <c r="M4">
        <v>202000000000</v>
      </c>
      <c r="N4">
        <v>193100472</v>
      </c>
      <c r="O4">
        <v>45241</v>
      </c>
      <c r="P4">
        <v>6</v>
      </c>
      <c r="Q4">
        <v>2019</v>
      </c>
      <c r="R4" t="s">
        <v>494</v>
      </c>
      <c r="S4">
        <v>15</v>
      </c>
      <c r="T4" t="s">
        <v>459</v>
      </c>
      <c r="U4" t="s">
        <v>320</v>
      </c>
      <c r="V4">
        <v>0</v>
      </c>
      <c r="W4">
        <v>2</v>
      </c>
      <c r="X4" t="s">
        <v>451</v>
      </c>
      <c r="Y4" t="s">
        <v>409</v>
      </c>
      <c r="Z4" t="s">
        <v>539</v>
      </c>
      <c r="AA4" t="s">
        <v>433</v>
      </c>
      <c r="AB4" t="s">
        <v>412</v>
      </c>
      <c r="AC4" t="s">
        <v>446</v>
      </c>
      <c r="AD4" t="s">
        <v>434</v>
      </c>
      <c r="AE4" t="s">
        <v>414</v>
      </c>
      <c r="AF4" t="s">
        <v>477</v>
      </c>
      <c r="AG4" t="s">
        <v>321</v>
      </c>
      <c r="AH4" t="s">
        <v>471</v>
      </c>
      <c r="AI4" t="s">
        <v>451</v>
      </c>
      <c r="AJ4" t="s">
        <v>417</v>
      </c>
      <c r="AK4" t="s">
        <v>425</v>
      </c>
      <c r="AL4" t="s">
        <v>461</v>
      </c>
      <c r="AM4" t="s">
        <v>426</v>
      </c>
      <c r="AN4">
        <v>20</v>
      </c>
      <c r="AO4" t="s">
        <v>427</v>
      </c>
      <c r="AP4" t="s">
        <v>421</v>
      </c>
      <c r="AQ4" t="s">
        <v>428</v>
      </c>
      <c r="AR4" t="s">
        <v>321</v>
      </c>
      <c r="AS4" t="s">
        <v>321</v>
      </c>
      <c r="AT4" t="s">
        <v>321</v>
      </c>
      <c r="AU4" t="s">
        <v>441</v>
      </c>
      <c r="AV4" t="s">
        <v>442</v>
      </c>
      <c r="AW4">
        <v>30</v>
      </c>
      <c r="AX4" t="s">
        <v>423</v>
      </c>
      <c r="AY4" t="s">
        <v>424</v>
      </c>
      <c r="AZ4" t="s">
        <v>417</v>
      </c>
      <c r="BA4" t="s">
        <v>418</v>
      </c>
      <c r="BB4" t="s">
        <v>472</v>
      </c>
      <c r="BC4" t="s">
        <v>487</v>
      </c>
      <c r="BD4">
        <v>82</v>
      </c>
      <c r="BE4" t="s">
        <v>420</v>
      </c>
      <c r="BF4" t="s">
        <v>421</v>
      </c>
      <c r="BG4" t="s">
        <v>454</v>
      </c>
      <c r="BH4" t="s">
        <v>321</v>
      </c>
      <c r="BI4" t="s">
        <v>321</v>
      </c>
      <c r="BJ4" t="s">
        <v>321</v>
      </c>
      <c r="BK4" t="s">
        <v>463</v>
      </c>
      <c r="BL4" t="s">
        <v>442</v>
      </c>
      <c r="BM4">
        <v>30</v>
      </c>
      <c r="BN4" t="s">
        <v>423</v>
      </c>
      <c r="BO4" t="s">
        <v>424</v>
      </c>
      <c r="BP4" t="s">
        <v>321</v>
      </c>
      <c r="BQ4" t="s">
        <v>321</v>
      </c>
      <c r="BR4" t="s">
        <v>321</v>
      </c>
      <c r="BS4" t="s">
        <v>321</v>
      </c>
      <c r="BT4" t="s">
        <v>321</v>
      </c>
      <c r="BU4" t="s">
        <v>321</v>
      </c>
      <c r="BV4" t="s">
        <v>321</v>
      </c>
      <c r="BW4" t="s">
        <v>321</v>
      </c>
      <c r="BX4" t="s">
        <v>321</v>
      </c>
      <c r="BY4" t="s">
        <v>321</v>
      </c>
      <c r="BZ4" t="s">
        <v>321</v>
      </c>
      <c r="CA4" t="s">
        <v>321</v>
      </c>
      <c r="CB4" t="s">
        <v>321</v>
      </c>
      <c r="CC4" t="s">
        <v>321</v>
      </c>
      <c r="CD4" t="s">
        <v>321</v>
      </c>
      <c r="CE4" t="s">
        <v>321</v>
      </c>
      <c r="CF4" t="s">
        <v>321</v>
      </c>
      <c r="CG4" t="s">
        <v>321</v>
      </c>
      <c r="CH4" t="s">
        <v>321</v>
      </c>
      <c r="CI4" t="s">
        <v>321</v>
      </c>
      <c r="CJ4" t="s">
        <v>321</v>
      </c>
      <c r="CK4" t="s">
        <v>321</v>
      </c>
      <c r="CL4" t="s">
        <v>321</v>
      </c>
      <c r="CM4" t="s">
        <v>321</v>
      </c>
      <c r="CN4" t="s">
        <v>321</v>
      </c>
      <c r="CO4" t="s">
        <v>321</v>
      </c>
      <c r="CP4" t="s">
        <v>321</v>
      </c>
      <c r="CQ4" t="s">
        <v>321</v>
      </c>
      <c r="CR4" t="s">
        <v>321</v>
      </c>
      <c r="CS4" t="s">
        <v>321</v>
      </c>
      <c r="CT4" t="s">
        <v>321</v>
      </c>
      <c r="CU4" t="s">
        <v>321</v>
      </c>
      <c r="CV4">
        <v>279040.85460000002</v>
      </c>
      <c r="CW4">
        <v>4925650.7060000002</v>
      </c>
      <c r="CX4">
        <v>44.450403000000001</v>
      </c>
      <c r="CY4">
        <v>-95.777071000000007</v>
      </c>
      <c r="CZ4">
        <v>43775.659722222219</v>
      </c>
      <c r="DA4" t="s">
        <v>231</v>
      </c>
      <c r="DB4" t="s">
        <v>429</v>
      </c>
      <c r="DC4" t="s">
        <v>455</v>
      </c>
      <c r="DD4" t="s">
        <v>456</v>
      </c>
      <c r="DE4" t="s">
        <v>542</v>
      </c>
      <c r="DF4" t="s">
        <v>1144</v>
      </c>
    </row>
    <row r="5" spans="1:110" x14ac:dyDescent="0.25">
      <c r="A5">
        <v>10</v>
      </c>
      <c r="B5" t="s">
        <v>657</v>
      </c>
      <c r="C5">
        <v>684041</v>
      </c>
      <c r="D5" t="s">
        <v>570</v>
      </c>
      <c r="E5">
        <v>107</v>
      </c>
      <c r="F5">
        <v>0.73099999999999998</v>
      </c>
      <c r="G5" t="s">
        <v>297</v>
      </c>
      <c r="H5" t="s">
        <v>299</v>
      </c>
      <c r="I5" t="s">
        <v>321</v>
      </c>
      <c r="J5" t="s">
        <v>406</v>
      </c>
      <c r="K5" t="s">
        <v>299</v>
      </c>
      <c r="L5" t="s">
        <v>321</v>
      </c>
      <c r="M5">
        <v>202000000000</v>
      </c>
      <c r="N5">
        <v>190370058</v>
      </c>
      <c r="O5">
        <v>44959</v>
      </c>
      <c r="P5">
        <v>6</v>
      </c>
      <c r="Q5">
        <v>2019</v>
      </c>
      <c r="R5" t="s">
        <v>494</v>
      </c>
      <c r="S5">
        <v>9</v>
      </c>
      <c r="T5" t="s">
        <v>422</v>
      </c>
      <c r="U5" t="s">
        <v>320</v>
      </c>
      <c r="V5">
        <v>0</v>
      </c>
      <c r="W5">
        <v>2</v>
      </c>
      <c r="X5" t="s">
        <v>476</v>
      </c>
      <c r="Y5" t="s">
        <v>409</v>
      </c>
      <c r="Z5" t="s">
        <v>410</v>
      </c>
      <c r="AA5" t="s">
        <v>433</v>
      </c>
      <c r="AB5" t="s">
        <v>467</v>
      </c>
      <c r="AC5" t="s">
        <v>321</v>
      </c>
      <c r="AD5" t="s">
        <v>467</v>
      </c>
      <c r="AE5" t="s">
        <v>414</v>
      </c>
      <c r="AF5" t="s">
        <v>571</v>
      </c>
      <c r="AG5" t="s">
        <v>321</v>
      </c>
      <c r="AH5" t="s">
        <v>572</v>
      </c>
      <c r="AI5" t="s">
        <v>447</v>
      </c>
      <c r="AJ5" t="s">
        <v>417</v>
      </c>
      <c r="AK5" t="s">
        <v>478</v>
      </c>
      <c r="AL5" t="s">
        <v>472</v>
      </c>
      <c r="AM5" t="s">
        <v>480</v>
      </c>
      <c r="AN5">
        <v>48</v>
      </c>
      <c r="AO5" t="s">
        <v>420</v>
      </c>
      <c r="AP5" t="s">
        <v>421</v>
      </c>
      <c r="AQ5" t="s">
        <v>428</v>
      </c>
      <c r="AR5" t="s">
        <v>321</v>
      </c>
      <c r="AS5" t="s">
        <v>321</v>
      </c>
      <c r="AT5" t="s">
        <v>321</v>
      </c>
      <c r="AU5" t="s">
        <v>441</v>
      </c>
      <c r="AV5" t="s">
        <v>442</v>
      </c>
      <c r="AW5">
        <v>30</v>
      </c>
      <c r="AX5" t="s">
        <v>423</v>
      </c>
      <c r="AY5" t="s">
        <v>424</v>
      </c>
      <c r="AZ5" t="s">
        <v>417</v>
      </c>
      <c r="BA5" t="s">
        <v>425</v>
      </c>
      <c r="BB5" t="s">
        <v>472</v>
      </c>
      <c r="BC5" t="s">
        <v>426</v>
      </c>
      <c r="BD5">
        <v>18</v>
      </c>
      <c r="BE5" t="s">
        <v>427</v>
      </c>
      <c r="BF5" t="s">
        <v>421</v>
      </c>
      <c r="BG5" t="s">
        <v>428</v>
      </c>
      <c r="BH5" t="s">
        <v>321</v>
      </c>
      <c r="BI5" t="s">
        <v>321</v>
      </c>
      <c r="BJ5" t="s">
        <v>321</v>
      </c>
      <c r="BK5" t="s">
        <v>441</v>
      </c>
      <c r="BL5" t="s">
        <v>442</v>
      </c>
      <c r="BM5">
        <v>30</v>
      </c>
      <c r="BN5" t="s">
        <v>423</v>
      </c>
      <c r="BO5" t="s">
        <v>424</v>
      </c>
      <c r="BP5" t="s">
        <v>321</v>
      </c>
      <c r="BQ5" t="s">
        <v>321</v>
      </c>
      <c r="BR5" t="s">
        <v>321</v>
      </c>
      <c r="BS5" t="s">
        <v>321</v>
      </c>
      <c r="BT5" t="s">
        <v>321</v>
      </c>
      <c r="BU5" t="s">
        <v>321</v>
      </c>
      <c r="BV5" t="s">
        <v>321</v>
      </c>
      <c r="BW5" t="s">
        <v>321</v>
      </c>
      <c r="BX5" t="s">
        <v>321</v>
      </c>
      <c r="BY5" t="s">
        <v>321</v>
      </c>
      <c r="BZ5" t="s">
        <v>321</v>
      </c>
      <c r="CA5" t="s">
        <v>321</v>
      </c>
      <c r="CB5" t="s">
        <v>321</v>
      </c>
      <c r="CC5" t="s">
        <v>321</v>
      </c>
      <c r="CD5" t="s">
        <v>321</v>
      </c>
      <c r="CE5" t="s">
        <v>321</v>
      </c>
      <c r="CF5" t="s">
        <v>321</v>
      </c>
      <c r="CG5" t="s">
        <v>321</v>
      </c>
      <c r="CH5" t="s">
        <v>321</v>
      </c>
      <c r="CI5" t="s">
        <v>321</v>
      </c>
      <c r="CJ5" t="s">
        <v>321</v>
      </c>
      <c r="CK5" t="s">
        <v>321</v>
      </c>
      <c r="CL5" t="s">
        <v>321</v>
      </c>
      <c r="CM5" t="s">
        <v>321</v>
      </c>
      <c r="CN5" t="s">
        <v>321</v>
      </c>
      <c r="CO5" t="s">
        <v>321</v>
      </c>
      <c r="CP5" t="s">
        <v>321</v>
      </c>
      <c r="CQ5" t="s">
        <v>321</v>
      </c>
      <c r="CR5" t="s">
        <v>321</v>
      </c>
      <c r="CS5" t="s">
        <v>321</v>
      </c>
      <c r="CT5" t="s">
        <v>321</v>
      </c>
      <c r="CU5" t="s">
        <v>321</v>
      </c>
      <c r="CV5">
        <v>279106.1973</v>
      </c>
      <c r="CW5">
        <v>4925604.0379999997</v>
      </c>
      <c r="CX5">
        <v>44.450004</v>
      </c>
      <c r="CY5">
        <v>-95.776230999999996</v>
      </c>
      <c r="CZ5">
        <v>43502.404166666667</v>
      </c>
      <c r="DA5" t="s">
        <v>231</v>
      </c>
      <c r="DB5" t="s">
        <v>429</v>
      </c>
      <c r="DC5" t="s">
        <v>455</v>
      </c>
      <c r="DD5" t="s">
        <v>456</v>
      </c>
      <c r="DE5" t="s">
        <v>573</v>
      </c>
      <c r="DF5" t="s">
        <v>1147</v>
      </c>
    </row>
    <row r="6" spans="1:110" x14ac:dyDescent="0.25">
      <c r="A6">
        <v>12</v>
      </c>
      <c r="B6" t="s">
        <v>657</v>
      </c>
      <c r="C6">
        <v>840209</v>
      </c>
      <c r="D6" t="s">
        <v>464</v>
      </c>
      <c r="E6">
        <v>19</v>
      </c>
      <c r="F6">
        <v>35.094000000000001</v>
      </c>
      <c r="G6" t="s">
        <v>297</v>
      </c>
      <c r="H6" t="s">
        <v>299</v>
      </c>
      <c r="I6" t="s">
        <v>321</v>
      </c>
      <c r="J6" t="s">
        <v>406</v>
      </c>
      <c r="K6" t="s">
        <v>299</v>
      </c>
      <c r="L6" t="s">
        <v>321</v>
      </c>
      <c r="M6">
        <v>202000000000</v>
      </c>
      <c r="N6">
        <v>202550048</v>
      </c>
      <c r="O6">
        <v>45178</v>
      </c>
      <c r="P6">
        <v>11</v>
      </c>
      <c r="Q6">
        <v>2020</v>
      </c>
      <c r="R6" t="s">
        <v>485</v>
      </c>
      <c r="S6">
        <v>5</v>
      </c>
      <c r="T6" t="s">
        <v>459</v>
      </c>
      <c r="U6" t="s">
        <v>320</v>
      </c>
      <c r="V6">
        <v>0</v>
      </c>
      <c r="W6">
        <v>1</v>
      </c>
      <c r="X6" t="s">
        <v>321</v>
      </c>
      <c r="Y6" t="s">
        <v>596</v>
      </c>
      <c r="Z6" t="s">
        <v>410</v>
      </c>
      <c r="AA6" t="s">
        <v>411</v>
      </c>
      <c r="AB6" t="s">
        <v>412</v>
      </c>
      <c r="AC6" t="s">
        <v>321</v>
      </c>
      <c r="AD6" t="s">
        <v>430</v>
      </c>
      <c r="AE6" t="s">
        <v>414</v>
      </c>
      <c r="AF6" t="s">
        <v>477</v>
      </c>
      <c r="AG6" t="s">
        <v>321</v>
      </c>
      <c r="AH6" t="s">
        <v>471</v>
      </c>
      <c r="AI6" t="s">
        <v>436</v>
      </c>
      <c r="AJ6" t="s">
        <v>504</v>
      </c>
      <c r="AK6" t="s">
        <v>425</v>
      </c>
      <c r="AL6" t="s">
        <v>461</v>
      </c>
      <c r="AM6" t="s">
        <v>426</v>
      </c>
      <c r="AN6" t="s">
        <v>321</v>
      </c>
      <c r="AO6" t="s">
        <v>321</v>
      </c>
      <c r="AP6" t="s">
        <v>321</v>
      </c>
      <c r="AQ6" t="s">
        <v>321</v>
      </c>
      <c r="AR6" t="s">
        <v>321</v>
      </c>
      <c r="AS6" t="s">
        <v>321</v>
      </c>
      <c r="AT6" t="s">
        <v>321</v>
      </c>
      <c r="AU6" t="s">
        <v>544</v>
      </c>
      <c r="AV6" t="s">
        <v>442</v>
      </c>
      <c r="AW6">
        <v>30</v>
      </c>
      <c r="AX6" t="s">
        <v>536</v>
      </c>
      <c r="AY6" t="s">
        <v>424</v>
      </c>
      <c r="AZ6" t="s">
        <v>321</v>
      </c>
      <c r="BA6" t="s">
        <v>321</v>
      </c>
      <c r="BB6" t="s">
        <v>321</v>
      </c>
      <c r="BC6" t="s">
        <v>321</v>
      </c>
      <c r="BD6" t="s">
        <v>321</v>
      </c>
      <c r="BE6" t="s">
        <v>321</v>
      </c>
      <c r="BF6" t="s">
        <v>321</v>
      </c>
      <c r="BG6" t="s">
        <v>321</v>
      </c>
      <c r="BH6" t="s">
        <v>321</v>
      </c>
      <c r="BI6" t="s">
        <v>321</v>
      </c>
      <c r="BJ6" t="s">
        <v>321</v>
      </c>
      <c r="BK6" t="s">
        <v>321</v>
      </c>
      <c r="BL6" t="s">
        <v>321</v>
      </c>
      <c r="BM6" t="s">
        <v>321</v>
      </c>
      <c r="BN6" t="s">
        <v>321</v>
      </c>
      <c r="BO6" t="s">
        <v>321</v>
      </c>
      <c r="BP6" t="s">
        <v>321</v>
      </c>
      <c r="BQ6" t="s">
        <v>321</v>
      </c>
      <c r="BR6" t="s">
        <v>321</v>
      </c>
      <c r="BS6" t="s">
        <v>321</v>
      </c>
      <c r="BT6" t="s">
        <v>321</v>
      </c>
      <c r="BU6" t="s">
        <v>321</v>
      </c>
      <c r="BV6" t="s">
        <v>321</v>
      </c>
      <c r="BW6" t="s">
        <v>321</v>
      </c>
      <c r="BX6" t="s">
        <v>321</v>
      </c>
      <c r="BY6" t="s">
        <v>321</v>
      </c>
      <c r="BZ6" t="s">
        <v>321</v>
      </c>
      <c r="CA6" t="s">
        <v>321</v>
      </c>
      <c r="CB6" t="s">
        <v>321</v>
      </c>
      <c r="CC6" t="s">
        <v>321</v>
      </c>
      <c r="CD6" t="s">
        <v>321</v>
      </c>
      <c r="CE6" t="s">
        <v>321</v>
      </c>
      <c r="CF6" t="s">
        <v>321</v>
      </c>
      <c r="CG6" t="s">
        <v>321</v>
      </c>
      <c r="CH6" t="s">
        <v>321</v>
      </c>
      <c r="CI6" t="s">
        <v>321</v>
      </c>
      <c r="CJ6" t="s">
        <v>321</v>
      </c>
      <c r="CK6" t="s">
        <v>321</v>
      </c>
      <c r="CL6" t="s">
        <v>321</v>
      </c>
      <c r="CM6" t="s">
        <v>321</v>
      </c>
      <c r="CN6" t="s">
        <v>321</v>
      </c>
      <c r="CO6" t="s">
        <v>321</v>
      </c>
      <c r="CP6" t="s">
        <v>321</v>
      </c>
      <c r="CQ6" t="s">
        <v>321</v>
      </c>
      <c r="CR6" t="s">
        <v>321</v>
      </c>
      <c r="CS6" t="s">
        <v>321</v>
      </c>
      <c r="CT6" t="s">
        <v>321</v>
      </c>
      <c r="CU6" t="s">
        <v>321</v>
      </c>
      <c r="CV6">
        <v>278464.95250000001</v>
      </c>
      <c r="CW6">
        <v>4925651.84</v>
      </c>
      <c r="CX6">
        <v>44.450237000000001</v>
      </c>
      <c r="CY6">
        <v>-95.784300999999999</v>
      </c>
      <c r="CZ6">
        <v>44085.23541666667</v>
      </c>
      <c r="DA6" t="s">
        <v>231</v>
      </c>
      <c r="DB6" t="s">
        <v>429</v>
      </c>
      <c r="DC6" t="s">
        <v>455</v>
      </c>
      <c r="DD6" t="s">
        <v>456</v>
      </c>
      <c r="DE6" t="s">
        <v>597</v>
      </c>
      <c r="DF6" t="s">
        <v>1146</v>
      </c>
    </row>
    <row r="7" spans="1:110" x14ac:dyDescent="0.25">
      <c r="A7">
        <v>15</v>
      </c>
      <c r="B7" t="s">
        <v>657</v>
      </c>
      <c r="C7">
        <v>780722</v>
      </c>
      <c r="D7" t="s">
        <v>464</v>
      </c>
      <c r="E7">
        <v>19</v>
      </c>
      <c r="F7">
        <v>35.247999999999998</v>
      </c>
      <c r="G7" t="s">
        <v>297</v>
      </c>
      <c r="H7" t="s">
        <v>299</v>
      </c>
      <c r="I7" t="s">
        <v>321</v>
      </c>
      <c r="J7" t="s">
        <v>406</v>
      </c>
      <c r="K7" t="s">
        <v>299</v>
      </c>
      <c r="L7" t="s">
        <v>321</v>
      </c>
      <c r="M7" t="s">
        <v>608</v>
      </c>
      <c r="N7">
        <v>200180118</v>
      </c>
      <c r="O7">
        <v>44927</v>
      </c>
      <c r="P7">
        <v>18</v>
      </c>
      <c r="Q7">
        <v>2020</v>
      </c>
      <c r="R7" t="s">
        <v>506</v>
      </c>
      <c r="S7">
        <v>14</v>
      </c>
      <c r="T7" t="s">
        <v>459</v>
      </c>
      <c r="U7" t="s">
        <v>320</v>
      </c>
      <c r="V7">
        <v>0</v>
      </c>
      <c r="W7">
        <v>1</v>
      </c>
      <c r="X7" t="s">
        <v>321</v>
      </c>
      <c r="Y7" t="s">
        <v>492</v>
      </c>
      <c r="Z7" t="s">
        <v>410</v>
      </c>
      <c r="AA7" t="s">
        <v>433</v>
      </c>
      <c r="AB7" t="s">
        <v>468</v>
      </c>
      <c r="AC7" t="s">
        <v>321</v>
      </c>
      <c r="AD7" t="s">
        <v>413</v>
      </c>
      <c r="AE7" t="s">
        <v>414</v>
      </c>
      <c r="AF7" t="s">
        <v>477</v>
      </c>
      <c r="AG7" t="s">
        <v>321</v>
      </c>
      <c r="AH7" t="s">
        <v>471</v>
      </c>
      <c r="AI7" t="s">
        <v>436</v>
      </c>
      <c r="AJ7" t="s">
        <v>417</v>
      </c>
      <c r="AK7" t="s">
        <v>418</v>
      </c>
      <c r="AL7" t="s">
        <v>461</v>
      </c>
      <c r="AM7" t="s">
        <v>600</v>
      </c>
      <c r="AN7">
        <v>60</v>
      </c>
      <c r="AO7" t="s">
        <v>420</v>
      </c>
      <c r="AP7" t="s">
        <v>421</v>
      </c>
      <c r="AQ7" t="s">
        <v>532</v>
      </c>
      <c r="AR7" t="s">
        <v>321</v>
      </c>
      <c r="AS7" t="s">
        <v>321</v>
      </c>
      <c r="AT7" t="s">
        <v>321</v>
      </c>
      <c r="AU7" t="s">
        <v>544</v>
      </c>
      <c r="AV7" t="s">
        <v>422</v>
      </c>
      <c r="AW7">
        <v>30</v>
      </c>
      <c r="AX7" t="s">
        <v>423</v>
      </c>
      <c r="AY7" t="s">
        <v>424</v>
      </c>
      <c r="AZ7" t="s">
        <v>321</v>
      </c>
      <c r="BA7" t="s">
        <v>321</v>
      </c>
      <c r="BB7" t="s">
        <v>321</v>
      </c>
      <c r="BC7" t="s">
        <v>321</v>
      </c>
      <c r="BD7" t="s">
        <v>321</v>
      </c>
      <c r="BE7" t="s">
        <v>321</v>
      </c>
      <c r="BF7" t="s">
        <v>321</v>
      </c>
      <c r="BG7" t="s">
        <v>321</v>
      </c>
      <c r="BH7" t="s">
        <v>321</v>
      </c>
      <c r="BI7" t="s">
        <v>321</v>
      </c>
      <c r="BJ7" t="s">
        <v>321</v>
      </c>
      <c r="BK7" t="s">
        <v>321</v>
      </c>
      <c r="BL7" t="s">
        <v>321</v>
      </c>
      <c r="BM7" t="s">
        <v>321</v>
      </c>
      <c r="BN7" t="s">
        <v>321</v>
      </c>
      <c r="BO7" t="s">
        <v>321</v>
      </c>
      <c r="BP7" t="s">
        <v>321</v>
      </c>
      <c r="BQ7" t="s">
        <v>321</v>
      </c>
      <c r="BR7" t="s">
        <v>321</v>
      </c>
      <c r="BS7" t="s">
        <v>321</v>
      </c>
      <c r="BT7" t="s">
        <v>321</v>
      </c>
      <c r="BU7" t="s">
        <v>321</v>
      </c>
      <c r="BV7" t="s">
        <v>321</v>
      </c>
      <c r="BW7" t="s">
        <v>321</v>
      </c>
      <c r="BX7" t="s">
        <v>321</v>
      </c>
      <c r="BY7" t="s">
        <v>321</v>
      </c>
      <c r="BZ7" t="s">
        <v>321</v>
      </c>
      <c r="CA7" t="s">
        <v>321</v>
      </c>
      <c r="CB7" t="s">
        <v>321</v>
      </c>
      <c r="CC7" t="s">
        <v>321</v>
      </c>
      <c r="CD7" t="s">
        <v>321</v>
      </c>
      <c r="CE7" t="s">
        <v>321</v>
      </c>
      <c r="CF7" t="s">
        <v>321</v>
      </c>
      <c r="CG7" t="s">
        <v>321</v>
      </c>
      <c r="CH7" t="s">
        <v>321</v>
      </c>
      <c r="CI7" t="s">
        <v>321</v>
      </c>
      <c r="CJ7" t="s">
        <v>321</v>
      </c>
      <c r="CK7" t="s">
        <v>321</v>
      </c>
      <c r="CL7" t="s">
        <v>321</v>
      </c>
      <c r="CM7" t="s">
        <v>321</v>
      </c>
      <c r="CN7" t="s">
        <v>321</v>
      </c>
      <c r="CO7" t="s">
        <v>321</v>
      </c>
      <c r="CP7" t="s">
        <v>321</v>
      </c>
      <c r="CQ7" t="s">
        <v>321</v>
      </c>
      <c r="CR7" t="s">
        <v>321</v>
      </c>
      <c r="CS7" t="s">
        <v>321</v>
      </c>
      <c r="CT7" t="s">
        <v>321</v>
      </c>
      <c r="CU7" t="s">
        <v>321</v>
      </c>
      <c r="CV7">
        <v>278707.66119999997</v>
      </c>
      <c r="CW7">
        <v>4925657.7649999997</v>
      </c>
      <c r="CX7">
        <v>44.450364999999998</v>
      </c>
      <c r="CY7">
        <v>-95.781256999999997</v>
      </c>
      <c r="CZ7">
        <v>43848.604166666664</v>
      </c>
      <c r="DA7" t="s">
        <v>231</v>
      </c>
      <c r="DB7" t="s">
        <v>429</v>
      </c>
      <c r="DC7" t="s">
        <v>455</v>
      </c>
      <c r="DD7" t="s">
        <v>456</v>
      </c>
      <c r="DE7" t="s">
        <v>609</v>
      </c>
      <c r="DF7" t="s">
        <v>1145</v>
      </c>
    </row>
    <row r="8" spans="1:110" x14ac:dyDescent="0.25">
      <c r="A8">
        <v>16</v>
      </c>
      <c r="B8" t="s">
        <v>657</v>
      </c>
      <c r="C8">
        <v>909613</v>
      </c>
      <c r="D8" t="s">
        <v>464</v>
      </c>
      <c r="E8">
        <v>19</v>
      </c>
      <c r="F8">
        <v>35.247999999999998</v>
      </c>
      <c r="G8" t="s">
        <v>297</v>
      </c>
      <c r="H8" t="s">
        <v>299</v>
      </c>
      <c r="I8" t="s">
        <v>321</v>
      </c>
      <c r="J8" t="s">
        <v>406</v>
      </c>
      <c r="K8" t="s">
        <v>299</v>
      </c>
      <c r="L8" t="s">
        <v>321</v>
      </c>
      <c r="M8">
        <v>202000000000</v>
      </c>
      <c r="N8">
        <v>211530183</v>
      </c>
      <c r="O8">
        <v>45083</v>
      </c>
      <c r="P8">
        <v>2</v>
      </c>
      <c r="Q8">
        <v>2021</v>
      </c>
      <c r="R8" t="s">
        <v>494</v>
      </c>
      <c r="S8">
        <v>18</v>
      </c>
      <c r="T8" t="s">
        <v>466</v>
      </c>
      <c r="U8" t="s">
        <v>320</v>
      </c>
      <c r="V8">
        <v>0</v>
      </c>
      <c r="W8">
        <v>3</v>
      </c>
      <c r="X8" t="s">
        <v>476</v>
      </c>
      <c r="Y8" t="s">
        <v>409</v>
      </c>
      <c r="Z8" t="s">
        <v>410</v>
      </c>
      <c r="AA8" t="s">
        <v>433</v>
      </c>
      <c r="AB8" t="s">
        <v>412</v>
      </c>
      <c r="AC8" t="s">
        <v>321</v>
      </c>
      <c r="AD8" t="s">
        <v>434</v>
      </c>
      <c r="AE8" t="s">
        <v>414</v>
      </c>
      <c r="AF8" t="s">
        <v>477</v>
      </c>
      <c r="AG8" t="s">
        <v>321</v>
      </c>
      <c r="AH8" t="s">
        <v>471</v>
      </c>
      <c r="AI8" t="s">
        <v>447</v>
      </c>
      <c r="AJ8" t="s">
        <v>417</v>
      </c>
      <c r="AK8" t="s">
        <v>478</v>
      </c>
      <c r="AL8" t="s">
        <v>448</v>
      </c>
      <c r="AM8" t="s">
        <v>426</v>
      </c>
      <c r="AN8">
        <v>22</v>
      </c>
      <c r="AO8" t="s">
        <v>420</v>
      </c>
      <c r="AP8" t="s">
        <v>421</v>
      </c>
      <c r="AQ8" t="s">
        <v>428</v>
      </c>
      <c r="AR8" t="s">
        <v>321</v>
      </c>
      <c r="AS8" t="s">
        <v>321</v>
      </c>
      <c r="AT8" t="s">
        <v>321</v>
      </c>
      <c r="AU8" t="s">
        <v>544</v>
      </c>
      <c r="AV8" t="s">
        <v>442</v>
      </c>
      <c r="AW8">
        <v>30</v>
      </c>
      <c r="AX8" t="s">
        <v>423</v>
      </c>
      <c r="AY8" t="s">
        <v>424</v>
      </c>
      <c r="AZ8" t="s">
        <v>417</v>
      </c>
      <c r="BA8" t="s">
        <v>425</v>
      </c>
      <c r="BB8" t="s">
        <v>448</v>
      </c>
      <c r="BC8" t="s">
        <v>426</v>
      </c>
      <c r="BD8">
        <v>23</v>
      </c>
      <c r="BE8" t="s">
        <v>427</v>
      </c>
      <c r="BF8" t="s">
        <v>421</v>
      </c>
      <c r="BG8" t="s">
        <v>428</v>
      </c>
      <c r="BH8" t="s">
        <v>321</v>
      </c>
      <c r="BI8" t="s">
        <v>321</v>
      </c>
      <c r="BJ8" t="s">
        <v>321</v>
      </c>
      <c r="BK8" t="s">
        <v>544</v>
      </c>
      <c r="BL8" t="s">
        <v>442</v>
      </c>
      <c r="BM8">
        <v>30</v>
      </c>
      <c r="BN8" t="s">
        <v>423</v>
      </c>
      <c r="BO8" t="s">
        <v>424</v>
      </c>
      <c r="BP8" t="s">
        <v>417</v>
      </c>
      <c r="BQ8" t="s">
        <v>610</v>
      </c>
      <c r="BR8" t="s">
        <v>448</v>
      </c>
      <c r="BS8" t="s">
        <v>419</v>
      </c>
      <c r="BT8">
        <v>67</v>
      </c>
      <c r="BU8" t="s">
        <v>420</v>
      </c>
      <c r="BV8" t="s">
        <v>421</v>
      </c>
      <c r="BW8" t="s">
        <v>428</v>
      </c>
      <c r="BX8" t="s">
        <v>321</v>
      </c>
      <c r="BY8" t="s">
        <v>321</v>
      </c>
      <c r="BZ8" t="s">
        <v>321</v>
      </c>
      <c r="CA8" t="s">
        <v>544</v>
      </c>
      <c r="CB8" t="s">
        <v>442</v>
      </c>
      <c r="CC8">
        <v>30</v>
      </c>
      <c r="CD8" t="s">
        <v>423</v>
      </c>
      <c r="CE8" t="s">
        <v>424</v>
      </c>
      <c r="CF8" t="s">
        <v>321</v>
      </c>
      <c r="CG8" t="s">
        <v>321</v>
      </c>
      <c r="CH8" t="s">
        <v>321</v>
      </c>
      <c r="CI8" t="s">
        <v>321</v>
      </c>
      <c r="CJ8" t="s">
        <v>321</v>
      </c>
      <c r="CK8" t="s">
        <v>321</v>
      </c>
      <c r="CL8" t="s">
        <v>321</v>
      </c>
      <c r="CM8" t="s">
        <v>321</v>
      </c>
      <c r="CN8" t="s">
        <v>321</v>
      </c>
      <c r="CO8" t="s">
        <v>321</v>
      </c>
      <c r="CP8" t="s">
        <v>321</v>
      </c>
      <c r="CQ8" t="s">
        <v>321</v>
      </c>
      <c r="CR8" t="s">
        <v>321</v>
      </c>
      <c r="CS8" t="s">
        <v>321</v>
      </c>
      <c r="CT8" t="s">
        <v>321</v>
      </c>
      <c r="CU8" t="s">
        <v>321</v>
      </c>
      <c r="CV8">
        <v>278708.43709999998</v>
      </c>
      <c r="CW8">
        <v>4925657.7419999996</v>
      </c>
      <c r="CX8">
        <v>44.450364999999998</v>
      </c>
      <c r="CY8">
        <v>-95.781246999999993</v>
      </c>
      <c r="CZ8">
        <v>44349.770138888889</v>
      </c>
      <c r="DA8" t="s">
        <v>231</v>
      </c>
      <c r="DB8" t="s">
        <v>429</v>
      </c>
      <c r="DC8" t="s">
        <v>455</v>
      </c>
      <c r="DD8" t="s">
        <v>456</v>
      </c>
      <c r="DE8" t="s">
        <v>611</v>
      </c>
      <c r="DF8" t="s">
        <v>1145</v>
      </c>
    </row>
    <row r="9" spans="1:110" x14ac:dyDescent="0.25">
      <c r="A9">
        <v>18</v>
      </c>
      <c r="B9" t="s">
        <v>657</v>
      </c>
      <c r="C9">
        <v>836723</v>
      </c>
      <c r="D9" t="s">
        <v>464</v>
      </c>
      <c r="E9">
        <v>19</v>
      </c>
      <c r="F9">
        <v>35.47</v>
      </c>
      <c r="G9" t="s">
        <v>297</v>
      </c>
      <c r="H9" t="s">
        <v>299</v>
      </c>
      <c r="I9" t="s">
        <v>321</v>
      </c>
      <c r="J9" t="s">
        <v>406</v>
      </c>
      <c r="K9" t="s">
        <v>299</v>
      </c>
      <c r="L9" t="s">
        <v>321</v>
      </c>
      <c r="M9">
        <v>202000000000</v>
      </c>
      <c r="N9">
        <v>202350087</v>
      </c>
      <c r="O9">
        <v>45146</v>
      </c>
      <c r="P9">
        <v>22</v>
      </c>
      <c r="Q9">
        <v>2020</v>
      </c>
      <c r="R9" t="s">
        <v>506</v>
      </c>
      <c r="S9">
        <v>1</v>
      </c>
      <c r="T9" t="s">
        <v>466</v>
      </c>
      <c r="U9" t="s">
        <v>317</v>
      </c>
      <c r="V9">
        <v>0</v>
      </c>
      <c r="W9">
        <v>2</v>
      </c>
      <c r="X9" t="s">
        <v>568</v>
      </c>
      <c r="Y9" t="s">
        <v>409</v>
      </c>
      <c r="Z9" t="s">
        <v>410</v>
      </c>
      <c r="AA9" t="s">
        <v>411</v>
      </c>
      <c r="AB9" t="s">
        <v>412</v>
      </c>
      <c r="AC9" t="s">
        <v>321</v>
      </c>
      <c r="AD9" t="s">
        <v>434</v>
      </c>
      <c r="AE9" t="s">
        <v>414</v>
      </c>
      <c r="AF9" t="s">
        <v>477</v>
      </c>
      <c r="AG9" t="s">
        <v>321</v>
      </c>
      <c r="AH9" t="s">
        <v>471</v>
      </c>
      <c r="AI9" t="s">
        <v>447</v>
      </c>
      <c r="AJ9" t="s">
        <v>417</v>
      </c>
      <c r="AK9" t="s">
        <v>425</v>
      </c>
      <c r="AL9" t="s">
        <v>448</v>
      </c>
      <c r="AM9" t="s">
        <v>426</v>
      </c>
      <c r="AN9">
        <v>38</v>
      </c>
      <c r="AO9" t="s">
        <v>420</v>
      </c>
      <c r="AP9" t="s">
        <v>561</v>
      </c>
      <c r="AQ9" t="s">
        <v>616</v>
      </c>
      <c r="AR9" t="s">
        <v>321</v>
      </c>
      <c r="AS9" t="s">
        <v>321</v>
      </c>
      <c r="AT9" t="s">
        <v>321</v>
      </c>
      <c r="AU9" t="s">
        <v>544</v>
      </c>
      <c r="AV9" t="s">
        <v>442</v>
      </c>
      <c r="AW9">
        <v>30</v>
      </c>
      <c r="AX9" t="s">
        <v>423</v>
      </c>
      <c r="AY9" t="s">
        <v>424</v>
      </c>
      <c r="AZ9" t="s">
        <v>417</v>
      </c>
      <c r="BA9" t="s">
        <v>425</v>
      </c>
      <c r="BB9" t="s">
        <v>448</v>
      </c>
      <c r="BC9" t="s">
        <v>426</v>
      </c>
      <c r="BD9">
        <v>20</v>
      </c>
      <c r="BE9" t="s">
        <v>420</v>
      </c>
      <c r="BF9" t="s">
        <v>421</v>
      </c>
      <c r="BG9" t="s">
        <v>428</v>
      </c>
      <c r="BH9" t="s">
        <v>321</v>
      </c>
      <c r="BI9" t="s">
        <v>321</v>
      </c>
      <c r="BJ9" t="s">
        <v>321</v>
      </c>
      <c r="BK9" t="s">
        <v>544</v>
      </c>
      <c r="BL9" t="s">
        <v>442</v>
      </c>
      <c r="BM9">
        <v>30</v>
      </c>
      <c r="BN9" t="s">
        <v>423</v>
      </c>
      <c r="BO9" t="s">
        <v>424</v>
      </c>
      <c r="BP9" t="s">
        <v>321</v>
      </c>
      <c r="BQ9" t="s">
        <v>321</v>
      </c>
      <c r="BR9" t="s">
        <v>321</v>
      </c>
      <c r="BS9" t="s">
        <v>321</v>
      </c>
      <c r="BT9" t="s">
        <v>321</v>
      </c>
      <c r="BU9" t="s">
        <v>321</v>
      </c>
      <c r="BV9" t="s">
        <v>321</v>
      </c>
      <c r="BW9" t="s">
        <v>321</v>
      </c>
      <c r="BX9" t="s">
        <v>321</v>
      </c>
      <c r="BY9" t="s">
        <v>321</v>
      </c>
      <c r="BZ9" t="s">
        <v>321</v>
      </c>
      <c r="CA9" t="s">
        <v>321</v>
      </c>
      <c r="CB9" t="s">
        <v>321</v>
      </c>
      <c r="CC9" t="s">
        <v>321</v>
      </c>
      <c r="CD9" t="s">
        <v>321</v>
      </c>
      <c r="CE9" t="s">
        <v>321</v>
      </c>
      <c r="CF9" t="s">
        <v>321</v>
      </c>
      <c r="CG9" t="s">
        <v>321</v>
      </c>
      <c r="CH9" t="s">
        <v>321</v>
      </c>
      <c r="CI9" t="s">
        <v>321</v>
      </c>
      <c r="CJ9" t="s">
        <v>321</v>
      </c>
      <c r="CK9" t="s">
        <v>321</v>
      </c>
      <c r="CL9" t="s">
        <v>321</v>
      </c>
      <c r="CM9" t="s">
        <v>321</v>
      </c>
      <c r="CN9" t="s">
        <v>321</v>
      </c>
      <c r="CO9" t="s">
        <v>321</v>
      </c>
      <c r="CP9" t="s">
        <v>321</v>
      </c>
      <c r="CQ9" t="s">
        <v>321</v>
      </c>
      <c r="CR9" t="s">
        <v>321</v>
      </c>
      <c r="CS9" t="s">
        <v>321</v>
      </c>
      <c r="CT9" t="s">
        <v>321</v>
      </c>
      <c r="CU9" t="s">
        <v>321</v>
      </c>
      <c r="CV9">
        <v>279066.1324</v>
      </c>
      <c r="CW9">
        <v>4925649.818</v>
      </c>
      <c r="CX9">
        <v>44.450403000000001</v>
      </c>
      <c r="CY9">
        <v>-95.776753999999997</v>
      </c>
      <c r="CZ9">
        <v>44065.046527777777</v>
      </c>
      <c r="DA9" t="s">
        <v>231</v>
      </c>
      <c r="DB9" t="s">
        <v>429</v>
      </c>
      <c r="DC9" t="s">
        <v>455</v>
      </c>
      <c r="DD9" t="s">
        <v>456</v>
      </c>
      <c r="DE9" t="s">
        <v>617</v>
      </c>
      <c r="DF9" t="s">
        <v>1144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S104"/>
  <sheetViews>
    <sheetView tabSelected="1" view="pageBreakPreview" topLeftCell="A23" zoomScale="85" zoomScaleNormal="100" zoomScaleSheetLayoutView="85" workbookViewId="0">
      <selection activeCell="K71" sqref="K70:K71"/>
    </sheetView>
  </sheetViews>
  <sheetFormatPr defaultRowHeight="15" x14ac:dyDescent="0.25"/>
  <cols>
    <col min="1" max="1" width="12" customWidth="1"/>
    <col min="2" max="2" width="18.7109375" customWidth="1"/>
    <col min="3" max="12" width="12" customWidth="1"/>
    <col min="13" max="13" width="12.7109375" customWidth="1"/>
    <col min="14" max="14" width="12.5703125" bestFit="1" customWidth="1"/>
    <col min="15" max="15" width="11.85546875" bestFit="1" customWidth="1"/>
    <col min="18" max="18" width="36.140625" bestFit="1" customWidth="1"/>
    <col min="19" max="19" width="14.28515625" bestFit="1" customWidth="1"/>
  </cols>
  <sheetData>
    <row r="1" spans="2:18" ht="23.25" x14ac:dyDescent="0.35">
      <c r="B1" s="24" t="s">
        <v>1222</v>
      </c>
      <c r="C1" s="24"/>
    </row>
    <row r="3" spans="2:18" ht="16.5" thickBot="1" x14ac:dyDescent="0.3">
      <c r="B3" s="36" t="s">
        <v>7</v>
      </c>
      <c r="C3" s="36"/>
    </row>
    <row r="4" spans="2:18" s="41" customFormat="1" ht="30.75" customHeight="1" thickBot="1" x14ac:dyDescent="0.3">
      <c r="B4" s="42"/>
      <c r="C4" s="460" t="s">
        <v>40</v>
      </c>
      <c r="D4" s="461"/>
      <c r="E4" s="461"/>
      <c r="F4" s="462"/>
      <c r="G4" s="53" t="s">
        <v>41</v>
      </c>
      <c r="H4" s="460" t="s">
        <v>42</v>
      </c>
      <c r="I4" s="461"/>
      <c r="J4" s="462"/>
      <c r="K4" s="463" t="s">
        <v>56</v>
      </c>
      <c r="L4" s="464"/>
      <c r="M4" s="465" t="s">
        <v>704</v>
      </c>
      <c r="N4" s="464"/>
    </row>
    <row r="5" spans="2:18" ht="35.1" customHeight="1" x14ac:dyDescent="0.25">
      <c r="B5" s="445" t="s">
        <v>0</v>
      </c>
      <c r="C5" s="454" t="s">
        <v>1225</v>
      </c>
      <c r="D5" s="458" t="s">
        <v>688</v>
      </c>
      <c r="E5" s="458" t="s">
        <v>743</v>
      </c>
      <c r="F5" s="443" t="s">
        <v>742</v>
      </c>
      <c r="G5" s="456" t="s">
        <v>36</v>
      </c>
      <c r="H5" s="468" t="s">
        <v>399</v>
      </c>
      <c r="I5" s="447" t="s">
        <v>1206</v>
      </c>
      <c r="J5" s="458" t="s">
        <v>125</v>
      </c>
      <c r="K5" s="443" t="s">
        <v>126</v>
      </c>
      <c r="L5" s="445" t="s">
        <v>57</v>
      </c>
      <c r="M5" s="466" t="s">
        <v>687</v>
      </c>
      <c r="N5" s="454" t="s">
        <v>72</v>
      </c>
      <c r="O5" s="443" t="s">
        <v>1</v>
      </c>
    </row>
    <row r="6" spans="2:18" ht="35.1" customHeight="1" thickBot="1" x14ac:dyDescent="0.3">
      <c r="B6" s="446"/>
      <c r="C6" s="455"/>
      <c r="D6" s="459"/>
      <c r="E6" s="459"/>
      <c r="F6" s="453"/>
      <c r="G6" s="457"/>
      <c r="H6" s="469"/>
      <c r="I6" s="448"/>
      <c r="J6" s="459"/>
      <c r="K6" s="453"/>
      <c r="L6" s="446"/>
      <c r="M6" s="467"/>
      <c r="N6" s="470"/>
      <c r="O6" s="444"/>
    </row>
    <row r="7" spans="2:18" ht="15" customHeight="1" x14ac:dyDescent="0.25">
      <c r="B7" s="66">
        <f>Assumptions!$C$6</f>
        <v>2021</v>
      </c>
      <c r="C7" s="213">
        <f>_xlfn.XLOOKUP(B7,'Corridor Travel Time Savings'!$B$7:$B$26,'Corridor Travel Time Savings'!$F$7:$F$26,0,0,1)</f>
        <v>0</v>
      </c>
      <c r="D7" s="341">
        <f>_xlfn.XLOOKUP(B7,'Delay Reduction Savings'!$B$7:$B$26,'Delay Reduction Savings'!$F$7:$F$26,0,0,1)</f>
        <v>0</v>
      </c>
      <c r="E7" s="395">
        <f>_xlfn.XLOOKUP(B7,'Operating Cost-Roughness'!$B$6:$B$25,'Operating Cost-Roughness'!$G$6:$G$25,0,0,1)</f>
        <v>0</v>
      </c>
      <c r="F7" s="214">
        <f>_xlfn.XLOOKUP(B7,'Operating Costs-Fuel'!$B$7:$B$26,'Operating Costs-Fuel'!$D$7:$D$26,0,0,1)</f>
        <v>0</v>
      </c>
      <c r="G7" s="114">
        <f>_xlfn.XLOOKUP(B7,'Crash Costs'!$B$7:$B$26,'Crash Costs'!$C$7:$C$26,0,0,1)</f>
        <v>0</v>
      </c>
      <c r="H7" s="204">
        <f>_xlfn.XLOOKUP(B7,'Quality of Life Benefits '!$B$7:$B$26,'Quality of Life Benefits '!$G$7:$G$26,0,0,1)</f>
        <v>0</v>
      </c>
      <c r="I7" s="204">
        <f>_xlfn.XLOOKUP(B7,'Pedestrian Amenities'!$B$7:$B$26,'Pedestrian Amenities'!$C$7:$C$26,0,0,1)</f>
        <v>0</v>
      </c>
      <c r="J7" s="205">
        <f>_xlfn.XLOOKUP(B7,'Air Quality'!$B$5:$B$24,'Air Quality'!$M$5:$M$24,0,0,1)</f>
        <v>0</v>
      </c>
      <c r="K7" s="206">
        <f>_xlfn.XLOOKUP(B7,'Air Quality'!$B$5:$B$24,'Air Quality'!$E$5:$E$24,0,0,1)</f>
        <v>0</v>
      </c>
      <c r="L7" s="210">
        <f>_xlfn.XLOOKUP(B7,'Operation and Maintenance'!$B$8:$B$27,'Operation and Maintenance'!$G$8:$G$27,0,0,1)</f>
        <v>0</v>
      </c>
      <c r="M7" s="334">
        <f>_xlfn.XLOOKUP(B7,'Capital Costs'!$B$8:$B$35,'Capital Costs'!$E$8:$E$35,0,0,1)</f>
        <v>0</v>
      </c>
      <c r="N7" s="337">
        <f t="shared" ref="N7:N46" si="0">SUM(C7:J7,L7:M7)</f>
        <v>0</v>
      </c>
      <c r="O7" s="338">
        <f>N7*((1+0.07)^-(B7-Assumptions!$C$6))+K7</f>
        <v>0</v>
      </c>
      <c r="P7" s="314"/>
    </row>
    <row r="8" spans="2:18" ht="15" customHeight="1" x14ac:dyDescent="0.25">
      <c r="B8" s="105">
        <f>B7+1</f>
        <v>2022</v>
      </c>
      <c r="C8" s="112">
        <f>_xlfn.XLOOKUP(B8,'Corridor Travel Time Savings'!$B$7:$B$26,'Corridor Travel Time Savings'!$F$7:$F$26,0,0,1)</f>
        <v>0</v>
      </c>
      <c r="D8" s="216">
        <f>_xlfn.XLOOKUP(B8,'Delay Reduction Savings'!$B$7:$B$26,'Delay Reduction Savings'!$F$7:$F$26,0,0,1)</f>
        <v>0</v>
      </c>
      <c r="E8" s="396">
        <f>_xlfn.XLOOKUP(B8,'Operating Cost-Roughness'!$B$6:$B$25,'Operating Cost-Roughness'!$G$6:$G$25,0,0,1)</f>
        <v>0</v>
      </c>
      <c r="F8" s="113">
        <f>_xlfn.XLOOKUP(B8,'Operating Costs-Fuel'!$B$7:$B$26,'Operating Costs-Fuel'!$D$7:$D$26,0,0,1)</f>
        <v>0</v>
      </c>
      <c r="G8" s="114">
        <f>_xlfn.XLOOKUP(B8,'Crash Costs'!$B$7:$B$26,'Crash Costs'!$C$7:$C$26,0,0,1)</f>
        <v>0</v>
      </c>
      <c r="H8" s="215">
        <f>_xlfn.XLOOKUP(B8,'Quality of Life Benefits '!$B$7:$B$26,'Quality of Life Benefits '!$G$7:$G$26,0,0,1)</f>
        <v>0</v>
      </c>
      <c r="I8" s="215">
        <f>_xlfn.XLOOKUP(B8,'Pedestrian Amenities'!$B$7:$B$26,'Pedestrian Amenities'!$C$7:$C$26,0,0,1)</f>
        <v>0</v>
      </c>
      <c r="J8" s="216">
        <f>_xlfn.XLOOKUP(B8,'Air Quality'!$B$5:$B$24,'Air Quality'!$M$5:$M$24,0,0,1)</f>
        <v>0</v>
      </c>
      <c r="K8" s="113">
        <f>_xlfn.XLOOKUP(B8,'Air Quality'!$B$5:$B$24,'Air Quality'!$E$5:$E$24,0,0,1)</f>
        <v>0</v>
      </c>
      <c r="L8" s="112">
        <f>_xlfn.XLOOKUP(B8,'Operation and Maintenance'!$B$8:$B$27,'Operation and Maintenance'!$G$8:$G$27,0,0,1)</f>
        <v>0</v>
      </c>
      <c r="M8" s="335">
        <f>_xlfn.XLOOKUP(B8,'Capital Costs'!$B$8:$B$35,'Capital Costs'!$E$8:$E$35,0,0,1)</f>
        <v>0</v>
      </c>
      <c r="N8" s="337">
        <f t="shared" si="0"/>
        <v>0</v>
      </c>
      <c r="O8" s="338">
        <f>N8*((1+0.07)^-(B8-Assumptions!$C$6))+K8</f>
        <v>0</v>
      </c>
      <c r="P8" s="314"/>
      <c r="R8" s="5"/>
    </row>
    <row r="9" spans="2:18" ht="15" customHeight="1" x14ac:dyDescent="0.25">
      <c r="B9" s="52">
        <f>B8+1</f>
        <v>2023</v>
      </c>
      <c r="C9" s="112">
        <f>_xlfn.XLOOKUP(B9,'Corridor Travel Time Savings'!$B$7:$B$26,'Corridor Travel Time Savings'!$F$7:$F$26,0,0,1)</f>
        <v>0</v>
      </c>
      <c r="D9" s="216">
        <f>_xlfn.XLOOKUP(B9,'Delay Reduction Savings'!$B$7:$B$26,'Delay Reduction Savings'!$F$7:$F$26,0,0,1)</f>
        <v>0</v>
      </c>
      <c r="E9" s="396">
        <f>_xlfn.XLOOKUP(B9,'Operating Cost-Roughness'!$B$6:$B$25,'Operating Cost-Roughness'!$G$6:$G$25,0,0,1)</f>
        <v>0</v>
      </c>
      <c r="F9" s="113">
        <f>_xlfn.XLOOKUP(B9,'Operating Costs-Fuel'!$B$7:$B$26,'Operating Costs-Fuel'!$D$7:$D$26,0,0,1)</f>
        <v>0</v>
      </c>
      <c r="G9" s="114">
        <f>_xlfn.XLOOKUP(B9,'Crash Costs'!$B$7:$B$26,'Crash Costs'!$C$7:$C$26,0,0,1)</f>
        <v>0</v>
      </c>
      <c r="H9" s="215">
        <f>_xlfn.XLOOKUP(B9,'Quality of Life Benefits '!$B$7:$B$26,'Quality of Life Benefits '!$G$7:$G$26,0,0,1)</f>
        <v>0</v>
      </c>
      <c r="I9" s="215">
        <f>_xlfn.XLOOKUP(B9,'Pedestrian Amenities'!$B$7:$B$26,'Pedestrian Amenities'!$C$7:$C$26,0,0,1)</f>
        <v>0</v>
      </c>
      <c r="J9" s="216">
        <f>_xlfn.XLOOKUP(B9,'Air Quality'!$B$5:$B$24,'Air Quality'!$M$5:$M$24,0,0,1)</f>
        <v>0</v>
      </c>
      <c r="K9" s="113">
        <f>_xlfn.XLOOKUP(B9,'Air Quality'!$B$5:$B$24,'Air Quality'!$E$5:$E$24,0,0,1)</f>
        <v>0</v>
      </c>
      <c r="L9" s="112">
        <f>_xlfn.XLOOKUP(B9,'Operation and Maintenance'!$B$8:$B$27,'Operation and Maintenance'!$G$8:$G$27,0,0,1)</f>
        <v>0</v>
      </c>
      <c r="M9" s="335">
        <f>_xlfn.XLOOKUP(B9,'Capital Costs'!$B$8:$B$35,'Capital Costs'!$E$8:$E$35,0,0,1)</f>
        <v>0</v>
      </c>
      <c r="N9" s="337">
        <f t="shared" si="0"/>
        <v>0</v>
      </c>
      <c r="O9" s="338">
        <f>N9*((1+0.07)^-(B9-Assumptions!$C$6))+K9</f>
        <v>0</v>
      </c>
      <c r="P9" s="314"/>
    </row>
    <row r="10" spans="2:18" ht="15" customHeight="1" x14ac:dyDescent="0.25">
      <c r="B10" s="52">
        <f t="shared" ref="B10:B46" si="1">B9+1</f>
        <v>2024</v>
      </c>
      <c r="C10" s="112">
        <f>_xlfn.XLOOKUP(B10,'Corridor Travel Time Savings'!$B$7:$B$26,'Corridor Travel Time Savings'!$F$7:$F$26,0,0,1)</f>
        <v>0</v>
      </c>
      <c r="D10" s="216">
        <f>_xlfn.XLOOKUP(B10,'Delay Reduction Savings'!$B$7:$B$26,'Delay Reduction Savings'!$F$7:$F$26,0,0,1)</f>
        <v>0</v>
      </c>
      <c r="E10" s="396">
        <f>_xlfn.XLOOKUP(B10,'Operating Cost-Roughness'!$B$6:$B$25,'Operating Cost-Roughness'!$G$6:$G$25,0,0,1)</f>
        <v>0</v>
      </c>
      <c r="F10" s="113">
        <f>_xlfn.XLOOKUP(B10,'Operating Costs-Fuel'!$B$7:$B$26,'Operating Costs-Fuel'!$D$7:$D$26,0,0,1)</f>
        <v>0</v>
      </c>
      <c r="G10" s="114">
        <f>_xlfn.XLOOKUP(B10,'Crash Costs'!$B$7:$B$26,'Crash Costs'!$C$7:$C$26,0,0,1)</f>
        <v>0</v>
      </c>
      <c r="H10" s="215">
        <f>_xlfn.XLOOKUP(B10,'Quality of Life Benefits '!$B$7:$B$26,'Quality of Life Benefits '!$G$7:$G$26,0,0,1)</f>
        <v>0</v>
      </c>
      <c r="I10" s="215">
        <f>_xlfn.XLOOKUP(B10,'Pedestrian Amenities'!$B$7:$B$26,'Pedestrian Amenities'!$C$7:$C$26,0,0,1)</f>
        <v>0</v>
      </c>
      <c r="J10" s="216">
        <f>_xlfn.XLOOKUP(B10,'Air Quality'!$B$5:$B$24,'Air Quality'!$M$5:$M$24,0,0,1)</f>
        <v>0</v>
      </c>
      <c r="K10" s="113">
        <f>_xlfn.XLOOKUP(B10,'Air Quality'!$B$5:$B$24,'Air Quality'!$E$5:$E$24,0,0,1)</f>
        <v>0</v>
      </c>
      <c r="L10" s="112">
        <f>_xlfn.XLOOKUP(B10,'Operation and Maintenance'!$B$8:$B$27,'Operation and Maintenance'!$G$8:$G$27,0,0,1)</f>
        <v>0</v>
      </c>
      <c r="M10" s="335">
        <f>_xlfn.XLOOKUP(B10,'Capital Costs'!$B$8:$B$35,'Capital Costs'!$E$8:$E$35,0,0,1)</f>
        <v>0</v>
      </c>
      <c r="N10" s="337">
        <f t="shared" si="0"/>
        <v>0</v>
      </c>
      <c r="O10" s="338">
        <f>N10*((1+0.07)^-(B10-Assumptions!$C$6))+K10</f>
        <v>0</v>
      </c>
      <c r="P10" s="314"/>
    </row>
    <row r="11" spans="2:18" ht="15" customHeight="1" x14ac:dyDescent="0.25">
      <c r="B11" s="52">
        <f t="shared" si="1"/>
        <v>2025</v>
      </c>
      <c r="C11" s="112">
        <f>_xlfn.XLOOKUP(B11,'Corridor Travel Time Savings'!$B$7:$B$26,'Corridor Travel Time Savings'!$F$7:$F$26,0,0,1)</f>
        <v>0</v>
      </c>
      <c r="D11" s="216">
        <f>_xlfn.XLOOKUP(B11,'Delay Reduction Savings'!$B$7:$B$26,'Delay Reduction Savings'!$F$7:$F$26,0,0,1)</f>
        <v>0</v>
      </c>
      <c r="E11" s="396">
        <f>_xlfn.XLOOKUP(B11,'Operating Cost-Roughness'!$B$6:$B$25,'Operating Cost-Roughness'!$G$6:$G$25,0,0,1)</f>
        <v>0</v>
      </c>
      <c r="F11" s="113">
        <f>_xlfn.XLOOKUP(B11,'Operating Costs-Fuel'!$B$7:$B$26,'Operating Costs-Fuel'!$D$7:$D$26,0,0,1)</f>
        <v>0</v>
      </c>
      <c r="G11" s="114">
        <f>_xlfn.XLOOKUP(B11,'Crash Costs'!$B$7:$B$26,'Crash Costs'!$C$7:$C$26,0,0,1)</f>
        <v>0</v>
      </c>
      <c r="H11" s="215">
        <f>_xlfn.XLOOKUP(B11,'Quality of Life Benefits '!$B$7:$B$26,'Quality of Life Benefits '!$G$7:$G$26,0,0,1)</f>
        <v>0</v>
      </c>
      <c r="I11" s="215">
        <f>_xlfn.XLOOKUP(B11,'Pedestrian Amenities'!$B$7:$B$26,'Pedestrian Amenities'!$C$7:$C$26,0,0,1)</f>
        <v>0</v>
      </c>
      <c r="J11" s="216">
        <f>_xlfn.XLOOKUP(B11,'Air Quality'!$B$5:$B$24,'Air Quality'!$M$5:$M$24,0,0,1)</f>
        <v>0</v>
      </c>
      <c r="K11" s="113">
        <f>_xlfn.XLOOKUP(B11,'Air Quality'!$B$5:$B$24,'Air Quality'!$E$5:$E$24,0,0,1)</f>
        <v>0</v>
      </c>
      <c r="L11" s="112">
        <f>_xlfn.XLOOKUP(B11,'Operation and Maintenance'!$B$8:$B$27,'Operation and Maintenance'!$G$8:$G$27,0,0,1)</f>
        <v>0</v>
      </c>
      <c r="M11" s="335">
        <f>_xlfn.XLOOKUP(B11,'Capital Costs'!$B$8:$B$35,'Capital Costs'!$E$8:$E$35,0,0,1)</f>
        <v>0</v>
      </c>
      <c r="N11" s="337">
        <f t="shared" si="0"/>
        <v>0</v>
      </c>
      <c r="O11" s="338">
        <f>N11*((1+0.07)^-(B11-Assumptions!$C$6))+K11</f>
        <v>0</v>
      </c>
      <c r="P11" s="314"/>
    </row>
    <row r="12" spans="2:18" ht="15" customHeight="1" x14ac:dyDescent="0.25">
      <c r="B12" s="52">
        <f t="shared" si="1"/>
        <v>2026</v>
      </c>
      <c r="C12" s="112">
        <f>_xlfn.XLOOKUP(B12,'Corridor Travel Time Savings'!$B$7:$B$26,'Corridor Travel Time Savings'!$F$7:$F$26,0,0,1)</f>
        <v>0</v>
      </c>
      <c r="D12" s="216">
        <f>_xlfn.XLOOKUP(B12,'Delay Reduction Savings'!$B$7:$B$26,'Delay Reduction Savings'!$F$7:$F$26,0,0,1)</f>
        <v>0</v>
      </c>
      <c r="E12" s="396">
        <f>_xlfn.XLOOKUP(B12,'Operating Cost-Roughness'!$B$6:$B$25,'Operating Cost-Roughness'!$G$6:$G$25,0,0,1)</f>
        <v>0</v>
      </c>
      <c r="F12" s="113">
        <f>_xlfn.XLOOKUP(B12,'Operating Costs-Fuel'!$B$7:$B$26,'Operating Costs-Fuel'!$D$7:$D$26,0,0,1)</f>
        <v>0</v>
      </c>
      <c r="G12" s="114">
        <f>_xlfn.XLOOKUP(B12,'Crash Costs'!$B$7:$B$26,'Crash Costs'!$C$7:$C$26,0,0,1)</f>
        <v>0</v>
      </c>
      <c r="H12" s="215">
        <f>_xlfn.XLOOKUP(B12,'Quality of Life Benefits '!$B$7:$B$26,'Quality of Life Benefits '!$G$7:$G$26,0,0,1)</f>
        <v>0</v>
      </c>
      <c r="I12" s="215">
        <f>_xlfn.XLOOKUP(B12,'Pedestrian Amenities'!$B$7:$B$26,'Pedestrian Amenities'!$C$7:$C$26,0,0,1)</f>
        <v>0</v>
      </c>
      <c r="J12" s="216">
        <f>_xlfn.XLOOKUP(B12,'Air Quality'!$B$5:$B$24,'Air Quality'!$M$5:$M$24,0,0,1)</f>
        <v>0</v>
      </c>
      <c r="K12" s="113">
        <f>_xlfn.XLOOKUP(B12,'Air Quality'!$B$5:$B$24,'Air Quality'!$E$5:$E$24,0,0,1)</f>
        <v>0</v>
      </c>
      <c r="L12" s="112">
        <f>_xlfn.XLOOKUP(B12,'Operation and Maintenance'!$B$8:$B$27,'Operation and Maintenance'!$G$8:$G$27,0,0,1)</f>
        <v>0</v>
      </c>
      <c r="M12" s="335">
        <f>_xlfn.XLOOKUP(B12,'Capital Costs'!$B$8:$B$35,'Capital Costs'!$E$8:$E$35,0,0,1)</f>
        <v>0</v>
      </c>
      <c r="N12" s="337">
        <f t="shared" si="0"/>
        <v>0</v>
      </c>
      <c r="O12" s="338">
        <f>N12*((1+0.07)^-(B12-Assumptions!$C$6))+K12</f>
        <v>0</v>
      </c>
      <c r="P12" s="314"/>
    </row>
    <row r="13" spans="2:18" ht="15" customHeight="1" x14ac:dyDescent="0.25">
      <c r="B13" s="52">
        <f t="shared" si="1"/>
        <v>2027</v>
      </c>
      <c r="C13" s="112">
        <f>_xlfn.XLOOKUP(B13,'Corridor Travel Time Savings'!$B$7:$B$26,'Corridor Travel Time Savings'!$F$7:$F$26,0,0,1)</f>
        <v>1678101.5159999924</v>
      </c>
      <c r="D13" s="216">
        <f>_xlfn.XLOOKUP(B13,'Delay Reduction Savings'!$B$7:$B$26,'Delay Reduction Savings'!$F$7:$F$26,0,0,1)</f>
        <v>99350.940820035801</v>
      </c>
      <c r="E13" s="396">
        <f>_xlfn.XLOOKUP(B13,'Operating Cost-Roughness'!$B$6:$B$25,'Operating Cost-Roughness'!$G$6:$G$25,0,0,1)</f>
        <v>213416.41655880003</v>
      </c>
      <c r="F13" s="113">
        <f>_xlfn.XLOOKUP(B13,'Operating Costs-Fuel'!$B$7:$B$26,'Operating Costs-Fuel'!$D$7:$D$26,0,0,1)</f>
        <v>162826.55657043675</v>
      </c>
      <c r="G13" s="114">
        <f>_xlfn.XLOOKUP(B13,'Crash Costs'!$B$7:$B$26,'Crash Costs'!$C$7:$C$26,0,0,1)</f>
        <v>417312.85981645901</v>
      </c>
      <c r="H13" s="215">
        <f>_xlfn.XLOOKUP(B13,'Quality of Life Benefits '!$B$7:$B$26,'Quality of Life Benefits '!$G$7:$G$26,0,0,1)</f>
        <v>37390.125723900812</v>
      </c>
      <c r="I13" s="215">
        <f>_xlfn.XLOOKUP(B13,'Pedestrian Amenities'!$B$7:$B$26,'Pedestrian Amenities'!$C$7:$C$26,0,0,1)</f>
        <v>210346.10550000001</v>
      </c>
      <c r="J13" s="216">
        <f>_xlfn.XLOOKUP(B13,'Air Quality'!$B$5:$B$24,'Air Quality'!$M$5:$M$24,0,0,1)</f>
        <v>10639.834069284549</v>
      </c>
      <c r="K13" s="113">
        <f>_xlfn.XLOOKUP(B13,'Air Quality'!$B$5:$B$24,'Air Quality'!$E$5:$E$24,0,0,1)</f>
        <v>12999.741824905112</v>
      </c>
      <c r="L13" s="112">
        <f>_xlfn.XLOOKUP(B13,'Operation and Maintenance'!$B$8:$B$27,'Operation and Maintenance'!$G$8:$G$27,0,0,1)</f>
        <v>30953.587332486844</v>
      </c>
      <c r="M13" s="335">
        <f>_xlfn.XLOOKUP(B13,'Capital Costs'!$B$8:$B$35,'Capital Costs'!$E$8:$E$35,0,0,1)</f>
        <v>0</v>
      </c>
      <c r="N13" s="337">
        <f t="shared" si="0"/>
        <v>2860337.942391396</v>
      </c>
      <c r="O13" s="338">
        <f>N13*((1+0.07)^-(B13-Assumptions!$C$6))+K13</f>
        <v>1918963.6872247357</v>
      </c>
      <c r="P13" s="314"/>
    </row>
    <row r="14" spans="2:18" ht="15" customHeight="1" x14ac:dyDescent="0.25">
      <c r="B14" s="52">
        <f t="shared" si="1"/>
        <v>2028</v>
      </c>
      <c r="C14" s="112">
        <f>_xlfn.XLOOKUP(B14,'Corridor Travel Time Savings'!$B$7:$B$26,'Corridor Travel Time Savings'!$F$7:$F$26,0,0,1)</f>
        <v>1686866.5286666679</v>
      </c>
      <c r="D14" s="216">
        <f>_xlfn.XLOOKUP(B14,'Delay Reduction Savings'!$B$7:$B$26,'Delay Reduction Savings'!$F$7:$F$26,0,0,1)</f>
        <v>111769.80842254212</v>
      </c>
      <c r="E14" s="396">
        <f>_xlfn.XLOOKUP(B14,'Operating Cost-Roughness'!$B$6:$B$25,'Operating Cost-Roughness'!$G$6:$G$25,0,0,1)</f>
        <v>214531.12718660003</v>
      </c>
      <c r="F14" s="113">
        <f>_xlfn.XLOOKUP(B14,'Operating Costs-Fuel'!$B$7:$B$26,'Operating Costs-Fuel'!$D$7:$D$26,0,0,1)</f>
        <v>163677.02766363553</v>
      </c>
      <c r="G14" s="114">
        <f>_xlfn.XLOOKUP(B14,'Crash Costs'!$B$7:$B$26,'Crash Costs'!$C$7:$C$26,0,0,1)</f>
        <v>419492.55661512073</v>
      </c>
      <c r="H14" s="215">
        <f>_xlfn.XLOOKUP(B14,'Quality of Life Benefits '!$B$7:$B$26,'Quality of Life Benefits '!$G$7:$G$26,0,0,1)</f>
        <v>37315.345472453009</v>
      </c>
      <c r="I14" s="215">
        <f>_xlfn.XLOOKUP(B14,'Pedestrian Amenities'!$B$7:$B$26,'Pedestrian Amenities'!$C$7:$C$26,0,0,1)</f>
        <v>210346.10550000001</v>
      </c>
      <c r="J14" s="216">
        <f>_xlfn.XLOOKUP(B14,'Air Quality'!$B$5:$B$24,'Air Quality'!$M$5:$M$24,0,0,1)</f>
        <v>10870.775203938123</v>
      </c>
      <c r="K14" s="113">
        <f>_xlfn.XLOOKUP(B14,'Air Quality'!$B$5:$B$24,'Air Quality'!$E$5:$E$24,0,0,1)</f>
        <v>12895.014898627587</v>
      </c>
      <c r="L14" s="112">
        <f>_xlfn.XLOOKUP(B14,'Operation and Maintenance'!$B$8:$B$27,'Operation and Maintenance'!$G$8:$G$27,0,0,1)</f>
        <v>31763.123205811717</v>
      </c>
      <c r="M14" s="335">
        <f>_xlfn.XLOOKUP(B14,'Capital Costs'!$B$8:$B$35,'Capital Costs'!$E$8:$E$35,0,0,1)</f>
        <v>0</v>
      </c>
      <c r="N14" s="337">
        <f t="shared" si="0"/>
        <v>2886632.3979367693</v>
      </c>
      <c r="O14" s="338">
        <f>N14*((1+0.07)^-(B14-Assumptions!$C$6))+K14</f>
        <v>1810544.5956294488</v>
      </c>
      <c r="P14" s="314"/>
      <c r="Q14" s="161"/>
    </row>
    <row r="15" spans="2:18" ht="15" customHeight="1" x14ac:dyDescent="0.25">
      <c r="B15" s="52">
        <f t="shared" si="1"/>
        <v>2029</v>
      </c>
      <c r="C15" s="112">
        <f>_xlfn.XLOOKUP(B15,'Corridor Travel Time Savings'!$B$7:$B$26,'Corridor Travel Time Savings'!$F$7:$F$26,0,0,1)</f>
        <v>1695631.5413333217</v>
      </c>
      <c r="D15" s="216">
        <f>_xlfn.XLOOKUP(B15,'Delay Reduction Savings'!$B$7:$B$26,'Delay Reduction Savings'!$F$7:$F$26,0,0,1)</f>
        <v>124188.6760250411</v>
      </c>
      <c r="E15" s="396">
        <f>_xlfn.XLOOKUP(B15,'Operating Cost-Roughness'!$B$6:$B$25,'Operating Cost-Roughness'!$G$6:$G$25,0,0,1)</f>
        <v>215645.83781440003</v>
      </c>
      <c r="F15" s="113">
        <f>_xlfn.XLOOKUP(B15,'Operating Costs-Fuel'!$B$7:$B$26,'Operating Costs-Fuel'!$D$7:$D$26,0,0,1)</f>
        <v>164527.49875683221</v>
      </c>
      <c r="G15" s="114">
        <f>_xlfn.XLOOKUP(B15,'Crash Costs'!$B$7:$B$26,'Crash Costs'!$C$7:$C$26,0,0,1)</f>
        <v>421672.25341378246</v>
      </c>
      <c r="H15" s="215">
        <f>_xlfn.XLOOKUP(B15,'Quality of Life Benefits '!$B$7:$B$26,'Quality of Life Benefits '!$G$7:$G$26,0,0,1)</f>
        <v>37240.714781508097</v>
      </c>
      <c r="I15" s="215">
        <f>_xlfn.XLOOKUP(B15,'Pedestrian Amenities'!$B$7:$B$26,'Pedestrian Amenities'!$C$7:$C$26,0,0,1)</f>
        <v>210346.10550000001</v>
      </c>
      <c r="J15" s="216">
        <f>_xlfn.XLOOKUP(B15,'Air Quality'!$B$5:$B$24,'Air Quality'!$M$5:$M$24,0,0,1)</f>
        <v>11137.927094042214</v>
      </c>
      <c r="K15" s="113">
        <f>_xlfn.XLOOKUP(B15,'Air Quality'!$B$5:$B$24,'Air Quality'!$E$5:$E$24,0,0,1)</f>
        <v>12787.458848185974</v>
      </c>
      <c r="L15" s="112">
        <f>_xlfn.XLOOKUP(B15,'Operation and Maintenance'!$B$8:$B$27,'Operation and Maintenance'!$G$8:$G$27,0,0,1)</f>
        <v>32580.754437869837</v>
      </c>
      <c r="M15" s="335">
        <f>_xlfn.XLOOKUP(B15,'Capital Costs'!$B$8:$B$35,'Capital Costs'!$E$8:$E$35,0,0,1)</f>
        <v>0</v>
      </c>
      <c r="N15" s="337">
        <f t="shared" si="0"/>
        <v>2912971.3091567983</v>
      </c>
      <c r="O15" s="338">
        <f>N15*((1+0.07)^-(B15-Assumptions!$C$6))+K15</f>
        <v>1708163.2821141819</v>
      </c>
      <c r="P15" s="314"/>
      <c r="Q15" s="161"/>
    </row>
    <row r="16" spans="2:18" ht="15" customHeight="1" x14ac:dyDescent="0.25">
      <c r="B16" s="52">
        <f t="shared" si="1"/>
        <v>2030</v>
      </c>
      <c r="C16" s="112">
        <f>_xlfn.XLOOKUP(B16,'Corridor Travel Time Savings'!$B$7:$B$26,'Corridor Travel Time Savings'!$F$7:$F$26,0,0,1)</f>
        <v>1704396.5539999972</v>
      </c>
      <c r="D16" s="216">
        <f>_xlfn.XLOOKUP(B16,'Delay Reduction Savings'!$B$7:$B$26,'Delay Reduction Savings'!$F$7:$F$26,0,0,1)</f>
        <v>136607.54362754742</v>
      </c>
      <c r="E16" s="396">
        <f>_xlfn.XLOOKUP(B16,'Operating Cost-Roughness'!$B$6:$B$25,'Operating Cost-Roughness'!$G$6:$G$25,0,0,1)</f>
        <v>216760.54844220003</v>
      </c>
      <c r="F16" s="113">
        <f>_xlfn.XLOOKUP(B16,'Operating Costs-Fuel'!$B$7:$B$26,'Operating Costs-Fuel'!$D$7:$D$26,0,0,1)</f>
        <v>165377.96985003099</v>
      </c>
      <c r="G16" s="114">
        <f>_xlfn.XLOOKUP(B16,'Crash Costs'!$B$7:$B$26,'Crash Costs'!$C$7:$C$26,0,0,1)</f>
        <v>423851.95021244325</v>
      </c>
      <c r="H16" s="215">
        <f>_xlfn.XLOOKUP(B16,'Quality of Life Benefits '!$B$7:$B$26,'Quality of Life Benefits '!$G$7:$G$26,0,0,1)</f>
        <v>37166.233351945091</v>
      </c>
      <c r="I16" s="215">
        <f>_xlfn.XLOOKUP(B16,'Pedestrian Amenities'!$B$7:$B$26,'Pedestrian Amenities'!$C$7:$C$26,0,0,1)</f>
        <v>210346.10550000001</v>
      </c>
      <c r="J16" s="216">
        <f>_xlfn.XLOOKUP(B16,'Air Quality'!$B$5:$B$24,'Air Quality'!$M$5:$M$24,0,0,1)</f>
        <v>11375.015233090075</v>
      </c>
      <c r="K16" s="113">
        <f>_xlfn.XLOOKUP(B16,'Air Quality'!$B$5:$B$24,'Air Quality'!$E$5:$E$24,0,0,1)</f>
        <v>12875.348485620738</v>
      </c>
      <c r="L16" s="112">
        <f>_xlfn.XLOOKUP(B16,'Operation and Maintenance'!$B$8:$B$27,'Operation and Maintenance'!$G$8:$G$27,0,0,1)</f>
        <v>33406.561982248517</v>
      </c>
      <c r="M16" s="335">
        <f>_xlfn.XLOOKUP(B16,'Capital Costs'!$B$8:$B$35,'Capital Costs'!$E$8:$E$35,0,0,1)</f>
        <v>0</v>
      </c>
      <c r="N16" s="337">
        <f t="shared" si="0"/>
        <v>2939288.4821995026</v>
      </c>
      <c r="O16" s="338">
        <f>N16*((1+0.07)^-(B16-Assumptions!$C$6))+K16</f>
        <v>1611653.5331428761</v>
      </c>
      <c r="P16" s="314"/>
      <c r="Q16" s="161"/>
    </row>
    <row r="17" spans="2:17" ht="15" customHeight="1" x14ac:dyDescent="0.25">
      <c r="B17" s="52">
        <f t="shared" si="1"/>
        <v>2031</v>
      </c>
      <c r="C17" s="112">
        <f>_xlfn.XLOOKUP(B17,'Corridor Travel Time Savings'!$B$7:$B$26,'Corridor Travel Time Savings'!$F$7:$F$26,0,0,1)</f>
        <v>1713161.5666666729</v>
      </c>
      <c r="D17" s="216">
        <f>_xlfn.XLOOKUP(B17,'Delay Reduction Savings'!$B$7:$B$26,'Delay Reduction Savings'!$F$7:$F$26,0,0,1)</f>
        <v>149026.41123004639</v>
      </c>
      <c r="E17" s="396">
        <f>_xlfn.XLOOKUP(B17,'Operating Cost-Roughness'!$B$6:$B$25,'Operating Cost-Roughness'!$G$6:$G$25,0,0,1)</f>
        <v>217875.25907000003</v>
      </c>
      <c r="F17" s="113">
        <f>_xlfn.XLOOKUP(B17,'Operating Costs-Fuel'!$B$7:$B$26,'Operating Costs-Fuel'!$D$7:$D$26,0,0,1)</f>
        <v>166228.44094322977</v>
      </c>
      <c r="G17" s="114">
        <f>_xlfn.XLOOKUP(B17,'Crash Costs'!$B$7:$B$26,'Crash Costs'!$C$7:$C$26,0,0,1)</f>
        <v>426031.64701110497</v>
      </c>
      <c r="H17" s="215">
        <f>_xlfn.XLOOKUP(B17,'Quality of Life Benefits '!$B$7:$B$26,'Quality of Life Benefits '!$G$7:$G$26,0,0,1)</f>
        <v>37091.900885241193</v>
      </c>
      <c r="I17" s="215">
        <f>_xlfn.XLOOKUP(B17,'Pedestrian Amenities'!$B$7:$B$26,'Pedestrian Amenities'!$C$7:$C$26,0,0,1)</f>
        <v>210346.10550000001</v>
      </c>
      <c r="J17" s="216">
        <f>_xlfn.XLOOKUP(B17,'Air Quality'!$B$5:$B$24,'Air Quality'!$M$5:$M$24,0,0,1)</f>
        <v>11433.512272624492</v>
      </c>
      <c r="K17" s="113">
        <f>_xlfn.XLOOKUP(B17,'Air Quality'!$B$5:$B$24,'Air Quality'!$E$5:$E$24,0,0,1)</f>
        <v>12757.924334269341</v>
      </c>
      <c r="L17" s="112">
        <f>_xlfn.XLOOKUP(B17,'Operation and Maintenance'!$B$8:$B$27,'Operation and Maintenance'!$G$8:$G$27,0,0,1)</f>
        <v>34240.627602071021</v>
      </c>
      <c r="M17" s="335">
        <f>_xlfn.XLOOKUP(B17,'Capital Costs'!$B$8:$B$35,'Capital Costs'!$E$8:$E$35,0,0,1)</f>
        <v>0</v>
      </c>
      <c r="N17" s="337">
        <f t="shared" si="0"/>
        <v>2965435.4711809908</v>
      </c>
      <c r="O17" s="338">
        <f>N17*((1+0.07)^-(B17-Assumptions!$C$6))+K17</f>
        <v>1520234.9469803092</v>
      </c>
      <c r="P17" s="314"/>
      <c r="Q17" s="161"/>
    </row>
    <row r="18" spans="2:17" ht="15" customHeight="1" x14ac:dyDescent="0.25">
      <c r="B18" s="52">
        <f t="shared" si="1"/>
        <v>2032</v>
      </c>
      <c r="C18" s="112">
        <f>_xlfn.XLOOKUP(B18,'Corridor Travel Time Savings'!$B$7:$B$26,'Corridor Travel Time Savings'!$F$7:$F$26,0,0,1)</f>
        <v>1721926.5793333265</v>
      </c>
      <c r="D18" s="216">
        <f>_xlfn.XLOOKUP(B18,'Delay Reduction Savings'!$B$7:$B$26,'Delay Reduction Savings'!$F$7:$F$26,0,0,1)</f>
        <v>161445.27883255269</v>
      </c>
      <c r="E18" s="396">
        <f>_xlfn.XLOOKUP(B18,'Operating Cost-Roughness'!$B$6:$B$25,'Operating Cost-Roughness'!$G$6:$G$25,0,0,1)</f>
        <v>218989.96969780003</v>
      </c>
      <c r="F18" s="113">
        <f>_xlfn.XLOOKUP(B18,'Operating Costs-Fuel'!$B$7:$B$26,'Operating Costs-Fuel'!$D$7:$D$26,0,0,1)</f>
        <v>167078.91203642642</v>
      </c>
      <c r="G18" s="114">
        <f>_xlfn.XLOOKUP(B18,'Crash Costs'!$B$7:$B$26,'Crash Costs'!$C$7:$C$26,0,0,1)</f>
        <v>428211.34380976669</v>
      </c>
      <c r="H18" s="215">
        <f>_xlfn.XLOOKUP(B18,'Quality of Life Benefits '!$B$7:$B$26,'Quality of Life Benefits '!$G$7:$G$26,0,0,1)</f>
        <v>37017.717083470714</v>
      </c>
      <c r="I18" s="215">
        <f>_xlfn.XLOOKUP(B18,'Pedestrian Amenities'!$B$7:$B$26,'Pedestrian Amenities'!$C$7:$C$26,0,0,1)</f>
        <v>210346.10550000001</v>
      </c>
      <c r="J18" s="216">
        <f>_xlfn.XLOOKUP(B18,'Air Quality'!$B$5:$B$24,'Air Quality'!$M$5:$M$24,0,0,1)</f>
        <v>11492.00931215876</v>
      </c>
      <c r="K18" s="113">
        <f>_xlfn.XLOOKUP(B18,'Air Quality'!$B$5:$B$24,'Air Quality'!$E$5:$E$24,0,0,1)</f>
        <v>12638.338160921758</v>
      </c>
      <c r="L18" s="112">
        <f>_xlfn.XLOOKUP(B18,'Operation and Maintenance'!$B$8:$B$27,'Operation and Maintenance'!$G$8:$G$27,0,0,1)</f>
        <v>35083.033878091723</v>
      </c>
      <c r="M18" s="335">
        <f>_xlfn.XLOOKUP(B18,'Capital Costs'!$B$8:$B$35,'Capital Costs'!$E$8:$E$35,0,0,1)</f>
        <v>0</v>
      </c>
      <c r="N18" s="337">
        <f t="shared" si="0"/>
        <v>2991590.9494835939</v>
      </c>
      <c r="O18" s="338">
        <f>N18*((1+0.07)^-(B18-Assumptions!$C$6))+K18</f>
        <v>1433921.647998878</v>
      </c>
      <c r="P18" s="314"/>
      <c r="Q18" s="161"/>
    </row>
    <row r="19" spans="2:17" ht="15" customHeight="1" x14ac:dyDescent="0.25">
      <c r="B19" s="52">
        <f t="shared" si="1"/>
        <v>2033</v>
      </c>
      <c r="C19" s="112">
        <f>_xlfn.XLOOKUP(B19,'Corridor Travel Time Savings'!$B$7:$B$26,'Corridor Travel Time Savings'!$F$7:$F$26,0,0,1)</f>
        <v>1730691.592000002</v>
      </c>
      <c r="D19" s="216">
        <f>_xlfn.XLOOKUP(B19,'Delay Reduction Savings'!$B$7:$B$26,'Delay Reduction Savings'!$F$7:$F$26,0,0,1)</f>
        <v>173864.146435059</v>
      </c>
      <c r="E19" s="396">
        <f>_xlfn.XLOOKUP(B19,'Operating Cost-Roughness'!$B$6:$B$25,'Operating Cost-Roughness'!$G$6:$G$25,0,0,1)</f>
        <v>220104.68032560003</v>
      </c>
      <c r="F19" s="113">
        <f>_xlfn.XLOOKUP(B19,'Operating Costs-Fuel'!$B$7:$B$26,'Operating Costs-Fuel'!$D$7:$D$26,0,0,1)</f>
        <v>167929.3831296252</v>
      </c>
      <c r="G19" s="114">
        <f>_xlfn.XLOOKUP(B19,'Crash Costs'!$B$7:$B$26,'Crash Costs'!$C$7:$C$26,0,0,1)</f>
        <v>430391.04060842749</v>
      </c>
      <c r="H19" s="215">
        <f>_xlfn.XLOOKUP(B19,'Quality of Life Benefits '!$B$7:$B$26,'Quality of Life Benefits '!$G$7:$G$26,0,0,1)</f>
        <v>36943.681649303777</v>
      </c>
      <c r="I19" s="215">
        <f>_xlfn.XLOOKUP(B19,'Pedestrian Amenities'!$B$7:$B$26,'Pedestrian Amenities'!$C$7:$C$26,0,0,1)</f>
        <v>210346.10550000001</v>
      </c>
      <c r="J19" s="216">
        <f>_xlfn.XLOOKUP(B19,'Air Quality'!$B$5:$B$24,'Air Quality'!$M$5:$M$24,0,0,1)</f>
        <v>11550.506351693179</v>
      </c>
      <c r="K19" s="113">
        <f>_xlfn.XLOOKUP(B19,'Air Quality'!$B$5:$B$24,'Air Quality'!$E$5:$E$24,0,0,1)</f>
        <v>12516.75959090833</v>
      </c>
      <c r="L19" s="112">
        <f>_xlfn.XLOOKUP(B19,'Operation and Maintenance'!$B$8:$B$27,'Operation and Maintenance'!$G$8:$G$27,0,0,1)</f>
        <v>35933.864216872651</v>
      </c>
      <c r="M19" s="335">
        <f>_xlfn.XLOOKUP(B19,'Capital Costs'!$B$8:$B$35,'Capital Costs'!$E$8:$E$35,0,0,1)</f>
        <v>0</v>
      </c>
      <c r="N19" s="337">
        <f t="shared" si="0"/>
        <v>3017755.0002165833</v>
      </c>
      <c r="O19" s="338">
        <f>N19*((1+0.07)^-(B19-Assumptions!$C$6))+K19</f>
        <v>1352436.0697455991</v>
      </c>
      <c r="P19" s="314"/>
      <c r="Q19" s="161"/>
    </row>
    <row r="20" spans="2:17" ht="15" customHeight="1" x14ac:dyDescent="0.25">
      <c r="B20" s="52">
        <f t="shared" si="1"/>
        <v>2034</v>
      </c>
      <c r="C20" s="112">
        <f>_xlfn.XLOOKUP(B20,'Corridor Travel Time Savings'!$B$7:$B$26,'Corridor Travel Time Savings'!$F$7:$F$26,0,0,1)</f>
        <v>1739456.6046666631</v>
      </c>
      <c r="D20" s="216">
        <f>_xlfn.XLOOKUP(B20,'Delay Reduction Savings'!$B$7:$B$26,'Delay Reduction Savings'!$F$7:$F$26,0,0,1)</f>
        <v>186283.01403757263</v>
      </c>
      <c r="E20" s="396">
        <f>_xlfn.XLOOKUP(B20,'Operating Cost-Roughness'!$B$6:$B$25,'Operating Cost-Roughness'!$G$6:$G$25,0,0,1)</f>
        <v>221219.39095340003</v>
      </c>
      <c r="F20" s="113">
        <f>_xlfn.XLOOKUP(B20,'Operating Costs-Fuel'!$B$7:$B$26,'Operating Costs-Fuel'!$D$7:$D$26,0,0,1)</f>
        <v>168779.85422282256</v>
      </c>
      <c r="G20" s="114">
        <f>_xlfn.XLOOKUP(B20,'Crash Costs'!$B$7:$B$26,'Crash Costs'!$C$7:$C$26,0,0,1)</f>
        <v>432570.73740708921</v>
      </c>
      <c r="H20" s="215">
        <f>_xlfn.XLOOKUP(B20,'Quality of Life Benefits '!$B$7:$B$26,'Quality of Life Benefits '!$G$7:$G$26,0,0,1)</f>
        <v>36869.79428600517</v>
      </c>
      <c r="I20" s="215">
        <f>_xlfn.XLOOKUP(B20,'Pedestrian Amenities'!$B$7:$B$26,'Pedestrian Amenities'!$C$7:$C$26,0,0,1)</f>
        <v>210346.10550000001</v>
      </c>
      <c r="J20" s="216">
        <f>_xlfn.XLOOKUP(B20,'Air Quality'!$B$5:$B$24,'Air Quality'!$M$5:$M$24,0,0,1)</f>
        <v>11609.003391227496</v>
      </c>
      <c r="K20" s="113">
        <f>_xlfn.XLOOKUP(B20,'Air Quality'!$B$5:$B$24,'Air Quality'!$E$5:$E$24,0,0,1)</f>
        <v>12393.351831706159</v>
      </c>
      <c r="L20" s="112">
        <f>_xlfn.XLOOKUP(B20,'Operation and Maintenance'!$B$8:$B$27,'Operation and Maintenance'!$G$8:$G$27,0,0,1)</f>
        <v>36793.202859041354</v>
      </c>
      <c r="M20" s="335">
        <f>_xlfn.XLOOKUP(B20,'Capital Costs'!$B$8:$B$35,'Capital Costs'!$E$8:$E$35,0,0,1)</f>
        <v>0</v>
      </c>
      <c r="N20" s="337">
        <f t="shared" si="0"/>
        <v>3043927.7073238217</v>
      </c>
      <c r="O20" s="338">
        <f>N20*((1+0.07)^-(B20-Assumptions!$C$6))+K20</f>
        <v>1275515.1323139579</v>
      </c>
      <c r="P20" s="314"/>
      <c r="Q20" s="161"/>
    </row>
    <row r="21" spans="2:17" ht="15" customHeight="1" x14ac:dyDescent="0.25">
      <c r="B21" s="52">
        <f t="shared" si="1"/>
        <v>2035</v>
      </c>
      <c r="C21" s="112">
        <f>_xlfn.XLOOKUP(B21,'Corridor Travel Time Savings'!$B$7:$B$26,'Corridor Travel Time Savings'!$F$7:$F$26,0,0,1)</f>
        <v>1748221.6173333314</v>
      </c>
      <c r="D21" s="216">
        <f>_xlfn.XLOOKUP(B21,'Delay Reduction Savings'!$B$7:$B$26,'Delay Reduction Savings'!$F$7:$F$26,0,0,1)</f>
        <v>198701.8816400643</v>
      </c>
      <c r="E21" s="396">
        <f>_xlfn.XLOOKUP(B21,'Operating Cost-Roughness'!$B$6:$B$25,'Operating Cost-Roughness'!$G$6:$G$25,0,0,1)</f>
        <v>222334.10158120003</v>
      </c>
      <c r="F21" s="113">
        <f>_xlfn.XLOOKUP(B21,'Operating Costs-Fuel'!$B$7:$B$26,'Operating Costs-Fuel'!$D$7:$D$26,0,0,1)</f>
        <v>169630.32531602064</v>
      </c>
      <c r="G21" s="114">
        <f>_xlfn.XLOOKUP(B21,'Crash Costs'!$B$7:$B$26,'Crash Costs'!$C$7:$C$26,0,0,1)</f>
        <v>434750.43420575093</v>
      </c>
      <c r="H21" s="215">
        <f>_xlfn.XLOOKUP(B21,'Quality of Life Benefits '!$B$7:$B$26,'Quality of Life Benefits '!$G$7:$G$26,0,0,1)</f>
        <v>36796.054697433159</v>
      </c>
      <c r="I21" s="215">
        <f>_xlfn.XLOOKUP(B21,'Pedestrian Amenities'!$B$7:$B$26,'Pedestrian Amenities'!$C$7:$C$26,0,0,1)</f>
        <v>210346.10550000001</v>
      </c>
      <c r="J21" s="216">
        <f>_xlfn.XLOOKUP(B21,'Air Quality'!$B$5:$B$24,'Air Quality'!$M$5:$M$24,0,0,1)</f>
        <v>11667.500430761869</v>
      </c>
      <c r="K21" s="113">
        <f>_xlfn.XLOOKUP(B21,'Air Quality'!$B$5:$B$24,'Air Quality'!$E$5:$E$24,0,0,1)</f>
        <v>12268.271855446392</v>
      </c>
      <c r="L21" s="112">
        <f>_xlfn.XLOOKUP(B21,'Operation and Maintenance'!$B$8:$B$27,'Operation and Maintenance'!$G$8:$G$27,0,0,1)</f>
        <v>37661.134887631793</v>
      </c>
      <c r="M21" s="335">
        <f>_xlfn.XLOOKUP(B21,'Capital Costs'!$B$8:$B$35,'Capital Costs'!$E$8:$E$35,0,0,1)</f>
        <v>0</v>
      </c>
      <c r="N21" s="337">
        <f t="shared" si="0"/>
        <v>3070109.1555921943</v>
      </c>
      <c r="O21" s="338">
        <f>N21*((1+0.07)^-(B21-Assumptions!$C$6))+K21</f>
        <v>1202909.5341992402</v>
      </c>
      <c r="P21" s="314"/>
      <c r="Q21" s="161"/>
    </row>
    <row r="22" spans="2:17" ht="15" customHeight="1" x14ac:dyDescent="0.25">
      <c r="B22" s="52">
        <f t="shared" si="1"/>
        <v>2036</v>
      </c>
      <c r="C22" s="112">
        <f>_xlfn.XLOOKUP(B22,'Corridor Travel Time Savings'!$B$7:$B$26,'Corridor Travel Time Savings'!$F$7:$F$26,0,0,1)</f>
        <v>1756986.6299999924</v>
      </c>
      <c r="D22" s="216">
        <f>_xlfn.XLOOKUP(B22,'Delay Reduction Savings'!$B$7:$B$26,'Delay Reduction Savings'!$F$7:$F$26,0,0,1)</f>
        <v>211120.7492425706</v>
      </c>
      <c r="E22" s="396">
        <f>_xlfn.XLOOKUP(B22,'Operating Cost-Roughness'!$B$6:$B$25,'Operating Cost-Roughness'!$G$6:$G$25,0,0,1)</f>
        <v>223448.81220900003</v>
      </c>
      <c r="F22" s="113">
        <f>_xlfn.XLOOKUP(B22,'Operating Costs-Fuel'!$B$7:$B$26,'Operating Costs-Fuel'!$D$7:$D$26,0,0,1)</f>
        <v>170480.79640921799</v>
      </c>
      <c r="G22" s="114">
        <f>_xlfn.XLOOKUP(B22,'Crash Costs'!$B$7:$B$26,'Crash Costs'!$C$7:$C$26,0,0,1)</f>
        <v>436930.13100441266</v>
      </c>
      <c r="H22" s="215">
        <f>_xlfn.XLOOKUP(B22,'Quality of Life Benefits '!$B$7:$B$26,'Quality of Life Benefits '!$G$7:$G$26,0,0,1)</f>
        <v>36722.462588038296</v>
      </c>
      <c r="I22" s="215">
        <f>_xlfn.XLOOKUP(B22,'Pedestrian Amenities'!$B$7:$B$26,'Pedestrian Amenities'!$C$7:$C$26,0,0,1)</f>
        <v>210346.10550000001</v>
      </c>
      <c r="J22" s="216">
        <f>_xlfn.XLOOKUP(B22,'Air Quality'!$B$5:$B$24,'Air Quality'!$M$5:$M$24,0,0,1)</f>
        <v>11725.997470296184</v>
      </c>
      <c r="K22" s="113">
        <f>_xlfn.XLOOKUP(B22,'Air Quality'!$B$5:$B$24,'Air Quality'!$E$5:$E$24,0,0,1)</f>
        <v>12312.680022370065</v>
      </c>
      <c r="L22" s="112">
        <f>_xlfn.XLOOKUP(B22,'Operation and Maintenance'!$B$8:$B$27,'Operation and Maintenance'!$G$8:$G$27,0,0,1)</f>
        <v>38537.746236508116</v>
      </c>
      <c r="M22" s="335">
        <f>_xlfn.XLOOKUP(B22,'Capital Costs'!$B$8:$B$35,'Capital Costs'!$E$8:$E$35,0,0,1)</f>
        <v>0</v>
      </c>
      <c r="N22" s="337">
        <f t="shared" si="0"/>
        <v>3096299.4306600364</v>
      </c>
      <c r="O22" s="338">
        <f>N22*((1+0.07)^-(B22-Assumptions!$C$6))+K22</f>
        <v>1134554.0842860048</v>
      </c>
      <c r="P22" s="314"/>
      <c r="Q22" s="161"/>
    </row>
    <row r="23" spans="2:17" ht="15" customHeight="1" x14ac:dyDescent="0.25">
      <c r="B23" s="52">
        <f t="shared" si="1"/>
        <v>2037</v>
      </c>
      <c r="C23" s="112">
        <f>_xlfn.XLOOKUP(B23,'Corridor Travel Time Savings'!$B$7:$B$26,'Corridor Travel Time Savings'!$F$7:$F$26,0,0,1)</f>
        <v>1765751.6426666679</v>
      </c>
      <c r="D23" s="216">
        <f>_xlfn.XLOOKUP(B23,'Delay Reduction Savings'!$B$7:$B$26,'Delay Reduction Savings'!$F$7:$F$26,0,0,1)</f>
        <v>223539.6168450769</v>
      </c>
      <c r="E23" s="396">
        <f>_xlfn.XLOOKUP(B23,'Operating Cost-Roughness'!$B$6:$B$25,'Operating Cost-Roughness'!$G$6:$G$25,0,0,1)</f>
        <v>224563.52283680002</v>
      </c>
      <c r="F23" s="113">
        <f>_xlfn.XLOOKUP(B23,'Operating Costs-Fuel'!$B$7:$B$26,'Operating Costs-Fuel'!$D$7:$D$26,0,0,1)</f>
        <v>171331.26750241677</v>
      </c>
      <c r="G23" s="114">
        <f>_xlfn.XLOOKUP(B23,'Crash Costs'!$B$7:$B$26,'Crash Costs'!$C$7:$C$26,0,0,1)</f>
        <v>439109.82780307345</v>
      </c>
      <c r="H23" s="215">
        <f>_xlfn.XLOOKUP(B23,'Quality of Life Benefits '!$B$7:$B$26,'Quality of Life Benefits '!$G$7:$G$26,0,0,1)</f>
        <v>36649.017662862214</v>
      </c>
      <c r="I23" s="215">
        <f>_xlfn.XLOOKUP(B23,'Pedestrian Amenities'!$B$7:$B$26,'Pedestrian Amenities'!$C$7:$C$26,0,0,1)</f>
        <v>210346.10550000001</v>
      </c>
      <c r="J23" s="216">
        <f>_xlfn.XLOOKUP(B23,'Air Quality'!$B$5:$B$24,'Air Quality'!$M$5:$M$24,0,0,1)</f>
        <v>11784.494509830602</v>
      </c>
      <c r="K23" s="113">
        <f>_xlfn.XLOOKUP(B23,'Air Quality'!$B$5:$B$24,'Air Quality'!$E$5:$E$24,0,0,1)</f>
        <v>12180.549879642294</v>
      </c>
      <c r="L23" s="112">
        <f>_xlfn.XLOOKUP(B23,'Operation and Maintenance'!$B$8:$B$27,'Operation and Maintenance'!$G$8:$G$27,0,0,1)</f>
        <v>39423.123698873198</v>
      </c>
      <c r="M23" s="335">
        <f>_xlfn.XLOOKUP(B23,'Capital Costs'!$B$8:$B$35,'Capital Costs'!$E$8:$E$35,0,0,1)</f>
        <v>0</v>
      </c>
      <c r="N23" s="337">
        <f t="shared" si="0"/>
        <v>3122498.6190256011</v>
      </c>
      <c r="O23" s="338">
        <f>N23*((1+0.07)^-(B23-Assumptions!$C$6))+K23</f>
        <v>1069878.8637157115</v>
      </c>
      <c r="P23" s="314"/>
      <c r="Q23" s="161"/>
    </row>
    <row r="24" spans="2:17" ht="15" customHeight="1" x14ac:dyDescent="0.25">
      <c r="B24" s="52">
        <f t="shared" si="1"/>
        <v>2038</v>
      </c>
      <c r="C24" s="112">
        <f>_xlfn.XLOOKUP(B24,'Corridor Travel Time Savings'!$B$7:$B$26,'Corridor Travel Time Savings'!$F$7:$F$26,0,0,1)</f>
        <v>1774516.6553333215</v>
      </c>
      <c r="D24" s="216">
        <f>_xlfn.XLOOKUP(B24,'Delay Reduction Savings'!$B$7:$B$26,'Delay Reduction Savings'!$F$7:$F$26,0,0,1)</f>
        <v>235958.48444758321</v>
      </c>
      <c r="E24" s="396">
        <f>_xlfn.XLOOKUP(B24,'Operating Cost-Roughness'!$B$6:$B$25,'Operating Cost-Roughness'!$G$6:$G$25,0,0,1)</f>
        <v>225678.23346460002</v>
      </c>
      <c r="F24" s="113">
        <f>_xlfn.XLOOKUP(B24,'Operating Costs-Fuel'!$B$7:$B$26,'Operating Costs-Fuel'!$D$7:$D$26,0,0,1)</f>
        <v>172181.73859561345</v>
      </c>
      <c r="G24" s="114">
        <f>_xlfn.XLOOKUP(B24,'Crash Costs'!$B$7:$B$26,'Crash Costs'!$C$7:$C$26,0,0,1)</f>
        <v>441289.52460173517</v>
      </c>
      <c r="H24" s="215">
        <f>_xlfn.XLOOKUP(B24,'Quality of Life Benefits '!$B$7:$B$26,'Quality of Life Benefits '!$G$7:$G$26,0,0,1)</f>
        <v>36575.719627536484</v>
      </c>
      <c r="I24" s="215">
        <f>_xlfn.XLOOKUP(B24,'Pedestrian Amenities'!$B$7:$B$26,'Pedestrian Amenities'!$C$7:$C$26,0,0,1)</f>
        <v>210346.10550000001</v>
      </c>
      <c r="J24" s="216">
        <f>_xlfn.XLOOKUP(B24,'Air Quality'!$B$5:$B$24,'Air Quality'!$M$5:$M$24,0,0,1)</f>
        <v>11842.991549364873</v>
      </c>
      <c r="K24" s="113">
        <f>_xlfn.XLOOKUP(B24,'Air Quality'!$B$5:$B$24,'Air Quality'!$E$5:$E$24,0,0,1)</f>
        <v>12047.279617659789</v>
      </c>
      <c r="L24" s="112">
        <f>_xlfn.XLOOKUP(B24,'Operation and Maintenance'!$B$8:$B$27,'Operation and Maintenance'!$G$8:$G$27,0,0,1)</f>
        <v>40317.354935861906</v>
      </c>
      <c r="M24" s="335">
        <f>_xlfn.XLOOKUP(B24,'Capital Costs'!$B$8:$B$35,'Capital Costs'!$E$8:$E$35,0,0,1)</f>
        <v>0</v>
      </c>
      <c r="N24" s="337">
        <f t="shared" si="0"/>
        <v>3148706.8080556164</v>
      </c>
      <c r="O24" s="338">
        <f>N24*((1+0.07)^-(B24-Assumptions!$C$6))+K24</f>
        <v>1008847.2181280605</v>
      </c>
      <c r="P24" s="314"/>
      <c r="Q24" s="161"/>
    </row>
    <row r="25" spans="2:17" ht="15" customHeight="1" x14ac:dyDescent="0.25">
      <c r="B25" s="52">
        <f t="shared" si="1"/>
        <v>2039</v>
      </c>
      <c r="C25" s="112">
        <f>_xlfn.XLOOKUP(B25,'Corridor Travel Time Savings'!$B$7:$B$26,'Corridor Travel Time Savings'!$F$7:$F$26,0,0,1)</f>
        <v>1783281.6679999973</v>
      </c>
      <c r="D25" s="216">
        <f>_xlfn.XLOOKUP(B25,'Delay Reduction Savings'!$B$7:$B$26,'Delay Reduction Savings'!$F$7:$F$26,0,0,1)</f>
        <v>248377.35205008951</v>
      </c>
      <c r="E25" s="396">
        <f>_xlfn.XLOOKUP(B25,'Operating Cost-Roughness'!$B$6:$B$25,'Operating Cost-Roughness'!$G$6:$G$25,0,0,1)</f>
        <v>226792.94409240002</v>
      </c>
      <c r="F25" s="113">
        <f>_xlfn.XLOOKUP(B25,'Operating Costs-Fuel'!$B$7:$B$26,'Operating Costs-Fuel'!$D$7:$D$26,0,0,1)</f>
        <v>173032.20968881223</v>
      </c>
      <c r="G25" s="114">
        <f>_xlfn.XLOOKUP(B25,'Crash Costs'!$B$7:$B$26,'Crash Costs'!$C$7:$C$26,0,0,1)</f>
        <v>443469.2214003969</v>
      </c>
      <c r="H25" s="215">
        <f>_xlfn.XLOOKUP(B25,'Quality of Life Benefits '!$B$7:$B$26,'Quality of Life Benefits '!$G$7:$G$26,0,0,1)</f>
        <v>36502.568188281424</v>
      </c>
      <c r="I25" s="215">
        <f>_xlfn.XLOOKUP(B25,'Pedestrian Amenities'!$B$7:$B$26,'Pedestrian Amenities'!$C$7:$C$26,0,0,1)</f>
        <v>210346.10550000001</v>
      </c>
      <c r="J25" s="216">
        <f>_xlfn.XLOOKUP(B25,'Air Quality'!$B$5:$B$24,'Air Quality'!$M$5:$M$24,0,0,1)</f>
        <v>11901.488588899294</v>
      </c>
      <c r="K25" s="113">
        <f>_xlfn.XLOOKUP(B25,'Air Quality'!$B$5:$B$24,'Air Quality'!$E$5:$E$24,0,0,1)</f>
        <v>11913.000899036537</v>
      </c>
      <c r="L25" s="112">
        <f>_xlfn.XLOOKUP(B25,'Operation and Maintenance'!$B$8:$B$27,'Operation and Maintenance'!$G$8:$G$27,0,0,1)</f>
        <v>41220.528485220537</v>
      </c>
      <c r="M25" s="335">
        <f>_xlfn.XLOOKUP(B25,'Capital Costs'!$B$8:$B$35,'Capital Costs'!$E$8:$E$35,0,0,1)</f>
        <v>0</v>
      </c>
      <c r="N25" s="337">
        <f t="shared" si="0"/>
        <v>3174924.0859940969</v>
      </c>
      <c r="O25" s="338">
        <f>N25*((1+0.07)^-(B25-Assumptions!$C$6))+K25</f>
        <v>951258.47500502085</v>
      </c>
      <c r="P25" s="314"/>
      <c r="Q25" s="161"/>
    </row>
    <row r="26" spans="2:17" ht="15" customHeight="1" x14ac:dyDescent="0.25">
      <c r="B26" s="52">
        <f t="shared" si="1"/>
        <v>2040</v>
      </c>
      <c r="C26" s="112">
        <f>_xlfn.XLOOKUP(B26,'Corridor Travel Time Savings'!$B$7:$B$26,'Corridor Travel Time Savings'!$F$7:$F$26,0,0,1)</f>
        <v>1792046.6806666728</v>
      </c>
      <c r="D26" s="216">
        <f>_xlfn.XLOOKUP(B26,'Delay Reduction Savings'!$B$7:$B$26,'Delay Reduction Savings'!$F$7:$F$26,0,0,1)</f>
        <v>260796.21965259581</v>
      </c>
      <c r="E26" s="396">
        <f>_xlfn.XLOOKUP(B26,'Operating Cost-Roughness'!$B$6:$B$25,'Operating Cost-Roughness'!$G$6:$G$25,0,0,1)</f>
        <v>227907.65472020002</v>
      </c>
      <c r="F26" s="113">
        <f>_xlfn.XLOOKUP(B26,'Operating Costs-Fuel'!$B$7:$B$26,'Operating Costs-Fuel'!$D$7:$D$26,0,0,1)</f>
        <v>173882.68078201104</v>
      </c>
      <c r="G26" s="114">
        <f>_xlfn.XLOOKUP(B26,'Crash Costs'!$B$7:$B$26,'Crash Costs'!$C$7:$C$26,0,0,1)</f>
        <v>445648.91819905769</v>
      </c>
      <c r="H26" s="215">
        <f>_xlfn.XLOOKUP(B26,'Quality of Life Benefits '!$B$7:$B$26,'Quality of Life Benefits '!$G$7:$G$26,0,0,1)</f>
        <v>36429.563051904857</v>
      </c>
      <c r="I26" s="215">
        <f>_xlfn.XLOOKUP(B26,'Pedestrian Amenities'!$B$7:$B$26,'Pedestrian Amenities'!$C$7:$C$26,0,0,1)</f>
        <v>210346.10550000001</v>
      </c>
      <c r="J26" s="216">
        <f>_xlfn.XLOOKUP(B26,'Air Quality'!$B$5:$B$24,'Air Quality'!$M$5:$M$24,0,0,1)</f>
        <v>11959.985628433711</v>
      </c>
      <c r="K26" s="113">
        <f>_xlfn.XLOOKUP(B26,'Air Quality'!$B$5:$B$24,'Air Quality'!$E$5:$E$24,0,0,1)</f>
        <v>11777.840048280113</v>
      </c>
      <c r="L26" s="112">
        <f>_xlfn.XLOOKUP(B26,'Operation and Maintenance'!$B$8:$B$27,'Operation and Maintenance'!$G$8:$G$27,0,0,1)</f>
        <v>42132.733770072737</v>
      </c>
      <c r="M26" s="335">
        <f>_xlfn.XLOOKUP(B26,'Capital Costs'!$B$8:$B$35,'Capital Costs'!$E$8:$E$35,0,0,1)</f>
        <v>0</v>
      </c>
      <c r="N26" s="337">
        <f t="shared" si="0"/>
        <v>3201150.5419709492</v>
      </c>
      <c r="O26" s="338">
        <f>N26*((1+0.07)^-(B26-Assumptions!$C$6))+K26</f>
        <v>896922.64012541261</v>
      </c>
      <c r="P26" s="314"/>
      <c r="Q26" s="161"/>
    </row>
    <row r="27" spans="2:17" x14ac:dyDescent="0.25">
      <c r="B27" s="52">
        <f t="shared" si="1"/>
        <v>2041</v>
      </c>
      <c r="C27" s="112">
        <f>_xlfn.XLOOKUP(B27,'Corridor Travel Time Savings'!$B$7:$B$26,'Corridor Travel Time Savings'!$F$7:$F$26,0,0,1)</f>
        <v>1800811.6933333264</v>
      </c>
      <c r="D27" s="216">
        <f>_xlfn.XLOOKUP(B27,'Delay Reduction Savings'!$B$7:$B$26,'Delay Reduction Savings'!$F$7:$F$26,0,0,1)</f>
        <v>273215.08725508751</v>
      </c>
      <c r="E27" s="396">
        <f>_xlfn.XLOOKUP(B27,'Operating Cost-Roughness'!$B$6:$B$25,'Operating Cost-Roughness'!$G$6:$G$25,0,0,1)</f>
        <v>229022.36534800002</v>
      </c>
      <c r="F27" s="113">
        <f>_xlfn.XLOOKUP(B27,'Operating Costs-Fuel'!$B$7:$B$26,'Operating Costs-Fuel'!$D$7:$D$26,0,0,1)</f>
        <v>174733.15187520767</v>
      </c>
      <c r="G27" s="114">
        <f>_xlfn.XLOOKUP(B27,'Crash Costs'!$B$7:$B$26,'Crash Costs'!$C$7:$C$26,0,0,1)</f>
        <v>447828.61499771941</v>
      </c>
      <c r="H27" s="215">
        <f>_xlfn.XLOOKUP(B27,'Quality of Life Benefits '!$B$7:$B$26,'Quality of Life Benefits '!$G$7:$G$26,0,0,1)</f>
        <v>36356.703925801048</v>
      </c>
      <c r="I27" s="215">
        <f>_xlfn.XLOOKUP(B27,'Pedestrian Amenities'!$B$7:$B$26,'Pedestrian Amenities'!$C$7:$C$26,0,0,1)</f>
        <v>210346.10550000001</v>
      </c>
      <c r="J27" s="216">
        <f>_xlfn.XLOOKUP(B27,'Air Quality'!$B$5:$B$24,'Air Quality'!$M$5:$M$24,0,0,1)</f>
        <v>12018.482667967979</v>
      </c>
      <c r="K27" s="113">
        <f>_xlfn.XLOOKUP(B27,'Air Quality'!$B$5:$B$24,'Air Quality'!$E$5:$E$24,0,0,1)</f>
        <v>11793.111954321173</v>
      </c>
      <c r="L27" s="112">
        <f>_xlfn.XLOOKUP(B27,'Operation and Maintenance'!$B$8:$B$27,'Operation and Maintenance'!$G$8:$G$27,0,0,1)</f>
        <v>43054.061107773479</v>
      </c>
      <c r="M27" s="335">
        <f>_xlfn.XLOOKUP(B27,'Capital Costs'!$B$8:$B$35,'Capital Costs'!$E$8:$E$35,0,0,1)</f>
        <v>0</v>
      </c>
      <c r="N27" s="337">
        <f t="shared" si="0"/>
        <v>3227386.2660108833</v>
      </c>
      <c r="O27" s="338">
        <f>N27*((1+0.07)^-(B27-Assumptions!$C$6))+K27</f>
        <v>845811.05251202884</v>
      </c>
      <c r="P27" s="314"/>
      <c r="Q27" s="161"/>
    </row>
    <row r="28" spans="2:17" x14ac:dyDescent="0.25">
      <c r="B28" s="52">
        <f t="shared" si="1"/>
        <v>2042</v>
      </c>
      <c r="C28" s="112">
        <f>_xlfn.XLOOKUP(B28,'Corridor Travel Time Savings'!$B$7:$B$26,'Corridor Travel Time Savings'!$F$7:$F$26,0,0,1)</f>
        <v>1809576.7060000021</v>
      </c>
      <c r="D28" s="216">
        <f>_xlfn.XLOOKUP(B28,'Delay Reduction Savings'!$B$7:$B$26,'Delay Reduction Savings'!$F$7:$F$26,0,0,1)</f>
        <v>285633.95485759381</v>
      </c>
      <c r="E28" s="396">
        <f>_xlfn.XLOOKUP(B28,'Operating Cost-Roughness'!$B$6:$B$25,'Operating Cost-Roughness'!$G$6:$G$25,0,0,1)</f>
        <v>230137.07597580002</v>
      </c>
      <c r="F28" s="113">
        <f>_xlfn.XLOOKUP(B28,'Operating Costs-Fuel'!$B$7:$B$26,'Operating Costs-Fuel'!$D$7:$D$26,0,0,1)</f>
        <v>175583.62296840647</v>
      </c>
      <c r="G28" s="114">
        <f>_xlfn.XLOOKUP(B28,'Crash Costs'!$B$7:$B$26,'Crash Costs'!$C$7:$C$26,0,0,1)</f>
        <v>450008.31179638114</v>
      </c>
      <c r="H28" s="215">
        <f>_xlfn.XLOOKUP(B28,'Quality of Life Benefits '!$B$7:$B$26,'Quality of Life Benefits '!$G$7:$G$26,0,0,1)</f>
        <v>36283.990517949438</v>
      </c>
      <c r="I28" s="215">
        <f>_xlfn.XLOOKUP(B28,'Pedestrian Amenities'!$B$7:$B$26,'Pedestrian Amenities'!$C$7:$C$26,0,0,1)</f>
        <v>210346.10550000001</v>
      </c>
      <c r="J28" s="216">
        <f>_xlfn.XLOOKUP(B28,'Air Quality'!$B$5:$B$24,'Air Quality'!$M$5:$M$24,0,0,1)</f>
        <v>12076.979707502396</v>
      </c>
      <c r="K28" s="113">
        <f>_xlfn.XLOOKUP(B28,'Air Quality'!$B$5:$B$24,'Air Quality'!$E$5:$E$24,0,0,1)</f>
        <v>11652.856017967979</v>
      </c>
      <c r="L28" s="112">
        <f>_xlfn.XLOOKUP(B28,'Operation and Maintenance'!$B$8:$B$27,'Operation and Maintenance'!$G$8:$G$27,0,0,1)</f>
        <v>43984.601718851191</v>
      </c>
      <c r="M28" s="335">
        <f>_xlfn.XLOOKUP(B28,'Capital Costs'!$B$8:$B$35,'Capital Costs'!$E$8:$E$35,0,0,1)</f>
        <v>0</v>
      </c>
      <c r="N28" s="337">
        <f t="shared" si="0"/>
        <v>3253631.3490424864</v>
      </c>
      <c r="O28" s="338">
        <f>N28*((1+0.07)^-(B28-Assumptions!$C$6))+K28</f>
        <v>797447.40624553978</v>
      </c>
      <c r="P28" s="314"/>
      <c r="Q28" s="161"/>
    </row>
    <row r="29" spans="2:17" x14ac:dyDescent="0.25">
      <c r="B29" s="52">
        <f t="shared" si="1"/>
        <v>2043</v>
      </c>
      <c r="C29" s="112">
        <f>_xlfn.XLOOKUP(B29,'Corridor Travel Time Savings'!$B$7:$B$26,'Corridor Travel Time Savings'!$F$7:$F$26,0,0,1)</f>
        <v>1818341.7186666632</v>
      </c>
      <c r="D29" s="216">
        <f>_xlfn.XLOOKUP(B29,'Delay Reduction Savings'!$B$7:$B$26,'Delay Reduction Savings'!$F$7:$F$26,0,0,1)</f>
        <v>298052.82246010011</v>
      </c>
      <c r="E29" s="396">
        <f>_xlfn.XLOOKUP(B29,'Operating Cost-Roughness'!$B$6:$B$25,'Operating Cost-Roughness'!$G$6:$G$25,0,0,1)</f>
        <v>231251.78660360002</v>
      </c>
      <c r="F29" s="113">
        <f>_xlfn.XLOOKUP(B29,'Operating Costs-Fuel'!$B$7:$B$26,'Operating Costs-Fuel'!$D$7:$D$26,0,0,1)</f>
        <v>176434.09406160383</v>
      </c>
      <c r="G29" s="114">
        <f>_xlfn.XLOOKUP(B29,'Crash Costs'!$B$7:$B$26,'Crash Costs'!$C$7:$C$26,0,0,1)</f>
        <v>452188.00859504193</v>
      </c>
      <c r="H29" s="215">
        <f>_xlfn.XLOOKUP(B29,'Quality of Life Benefits '!$B$7:$B$26,'Quality of Life Benefits '!$G$7:$G$26,0,0,1)</f>
        <v>36211.422536913546</v>
      </c>
      <c r="I29" s="215">
        <f>_xlfn.XLOOKUP(B29,'Pedestrian Amenities'!$B$7:$B$26,'Pedestrian Amenities'!$C$7:$C$26,0,0,1)</f>
        <v>210346.10550000001</v>
      </c>
      <c r="J29" s="216">
        <f>_xlfn.XLOOKUP(B29,'Air Quality'!$B$5:$B$24,'Air Quality'!$M$5:$M$24,0,0,1)</f>
        <v>12135.476747036715</v>
      </c>
      <c r="K29" s="113">
        <f>_xlfn.XLOOKUP(B29,'Air Quality'!$B$5:$B$24,'Air Quality'!$E$5:$E$24,0,0,1)</f>
        <v>11512.153115459556</v>
      </c>
      <c r="L29" s="112">
        <f>_xlfn.XLOOKUP(B29,'Operation and Maintenance'!$B$8:$B$27,'Operation and Maintenance'!$G$8:$G$27,0,0,1)</f>
        <v>44924.447736039729</v>
      </c>
      <c r="M29" s="335">
        <f>_xlfn.XLOOKUP(B29,'Capital Costs'!$B$8:$B$35,'Capital Costs'!$E$8:$E$35,0,0,1)</f>
        <v>0</v>
      </c>
      <c r="N29" s="337">
        <f t="shared" si="0"/>
        <v>3279885.8829069994</v>
      </c>
      <c r="O29" s="338">
        <f>N29*((1+0.07)^-(B29-Assumptions!$C$6))+K29</f>
        <v>751825.57717355387</v>
      </c>
      <c r="P29" s="314"/>
      <c r="Q29" s="161"/>
    </row>
    <row r="30" spans="2:17" x14ac:dyDescent="0.25">
      <c r="B30" s="52">
        <f t="shared" si="1"/>
        <v>2044</v>
      </c>
      <c r="C30" s="112">
        <f>_xlfn.XLOOKUP(B30,'Corridor Travel Time Savings'!$B$7:$B$26,'Corridor Travel Time Savings'!$F$7:$F$26,0,0,1)</f>
        <v>1827106.7313333314</v>
      </c>
      <c r="D30" s="216">
        <f>_xlfn.XLOOKUP(B30,'Delay Reduction Savings'!$B$7:$B$26,'Delay Reduction Savings'!$F$7:$F$26,0,0,1)</f>
        <v>310471.69006261375</v>
      </c>
      <c r="E30" s="396">
        <f>_xlfn.XLOOKUP(B30,'Operating Cost-Roughness'!$B$6:$B$25,'Operating Cost-Roughness'!$G$6:$G$25,0,0,1)</f>
        <v>232366.49723140002</v>
      </c>
      <c r="F30" s="113">
        <f>_xlfn.XLOOKUP(B30,'Operating Costs-Fuel'!$B$7:$B$26,'Operating Costs-Fuel'!$D$7:$D$26,0,0,1)</f>
        <v>177284.56515480191</v>
      </c>
      <c r="G30" s="114">
        <f>_xlfn.XLOOKUP(B30,'Crash Costs'!$B$7:$B$26,'Crash Costs'!$C$7:$C$26,0,0,1)</f>
        <v>454367.70539370365</v>
      </c>
      <c r="H30" s="215">
        <f>_xlfn.XLOOKUP(B30,'Quality of Life Benefits '!$B$7:$B$26,'Quality of Life Benefits '!$G$7:$G$26,0,0,1)</f>
        <v>36138.999691839716</v>
      </c>
      <c r="I30" s="215">
        <f>_xlfn.XLOOKUP(B30,'Pedestrian Amenities'!$B$7:$B$26,'Pedestrian Amenities'!$C$7:$C$26,0,0,1)</f>
        <v>210346.10550000001</v>
      </c>
      <c r="J30" s="216">
        <f>_xlfn.XLOOKUP(B30,'Air Quality'!$B$5:$B$24,'Air Quality'!$M$5:$M$24,0,0,1)</f>
        <v>12193.973786571085</v>
      </c>
      <c r="K30" s="113">
        <f>_xlfn.XLOOKUP(B30,'Air Quality'!$B$5:$B$24,'Air Quality'!$E$5:$E$24,0,0,1)</f>
        <v>11371.107860767952</v>
      </c>
      <c r="L30" s="112">
        <f>_xlfn.XLOOKUP(B30,'Operation and Maintenance'!$B$8:$B$27,'Operation and Maintenance'!$G$8:$G$27,0,0,1)</f>
        <v>45873.692213400136</v>
      </c>
      <c r="M30" s="335">
        <f>_xlfn.XLOOKUP(B30,'Capital Costs'!$B$8:$B$35,'Capital Costs'!$E$8:$E$35,0,0,1)</f>
        <v>0</v>
      </c>
      <c r="N30" s="337">
        <f t="shared" si="0"/>
        <v>3306149.9603676624</v>
      </c>
      <c r="O30" s="338">
        <f>N30*((1+0.07)^-(B30-Assumptions!$C$6))+K30</f>
        <v>708793.13787222293</v>
      </c>
      <c r="P30" s="314"/>
      <c r="Q30" s="161"/>
    </row>
    <row r="31" spans="2:17" x14ac:dyDescent="0.25">
      <c r="B31" s="52">
        <f t="shared" si="1"/>
        <v>2045</v>
      </c>
      <c r="C31" s="112">
        <f>_xlfn.XLOOKUP(B31,'Corridor Travel Time Savings'!$B$7:$B$26,'Corridor Travel Time Savings'!$F$7:$F$26,0,0,1)</f>
        <v>1835871.7439999923</v>
      </c>
      <c r="D31" s="216">
        <f>_xlfn.XLOOKUP(B31,'Delay Reduction Savings'!$B$7:$B$26,'Delay Reduction Savings'!$F$7:$F$26,0,0,1)</f>
        <v>322890.55766512005</v>
      </c>
      <c r="E31" s="396">
        <f>_xlfn.XLOOKUP(B31,'Operating Cost-Roughness'!$B$6:$B$25,'Operating Cost-Roughness'!$G$6:$G$25,0,0,1)</f>
        <v>233481.20785920002</v>
      </c>
      <c r="F31" s="113">
        <f>_xlfn.XLOOKUP(B31,'Operating Costs-Fuel'!$B$7:$B$26,'Operating Costs-Fuel'!$D$7:$D$26,0,0,1)</f>
        <v>178135.03624799926</v>
      </c>
      <c r="G31" s="114">
        <f>_xlfn.XLOOKUP(B31,'Crash Costs'!$B$7:$B$26,'Crash Costs'!$C$7:$C$26,0,0,1)</f>
        <v>456547.40219236538</v>
      </c>
      <c r="H31" s="215">
        <f>_xlfn.XLOOKUP(B31,'Quality of Life Benefits '!$B$7:$B$26,'Quality of Life Benefits '!$G$7:$G$26,0,0,1)</f>
        <v>36066.721692456042</v>
      </c>
      <c r="I31" s="215">
        <f>_xlfn.XLOOKUP(B31,'Pedestrian Amenities'!$B$7:$B$26,'Pedestrian Amenities'!$C$7:$C$26,0,0,1)</f>
        <v>210346.10550000001</v>
      </c>
      <c r="J31" s="216">
        <f>_xlfn.XLOOKUP(B31,'Air Quality'!$B$5:$B$24,'Air Quality'!$M$5:$M$24,0,0,1)</f>
        <v>12252.470826105407</v>
      </c>
      <c r="K31" s="113">
        <f>_xlfn.XLOOKUP(B31,'Air Quality'!$B$5:$B$24,'Air Quality'!$E$5:$E$24,0,0,1)</f>
        <v>11229.820329930553</v>
      </c>
      <c r="L31" s="112">
        <f>_xlfn.XLOOKUP(B31,'Operation and Maintenance'!$B$8:$B$27,'Operation and Maintenance'!$G$8:$G$27,0,0,1)</f>
        <v>46832.429135534141</v>
      </c>
      <c r="M31" s="335">
        <f>_xlfn.XLOOKUP(B31,'Capital Costs'!$B$8:$B$35,'Capital Costs'!$E$8:$E$35,0,0,1)</f>
        <v>0</v>
      </c>
      <c r="N31" s="337">
        <f t="shared" si="0"/>
        <v>3332423.6751187723</v>
      </c>
      <c r="O31" s="338">
        <f>N31*((1+0.07)^-(B31-Assumptions!$C$6))+K31</f>
        <v>668205.88411694241</v>
      </c>
      <c r="P31" s="314"/>
      <c r="Q31" s="161"/>
    </row>
    <row r="32" spans="2:17" x14ac:dyDescent="0.25">
      <c r="B32" s="52">
        <f t="shared" si="1"/>
        <v>2046</v>
      </c>
      <c r="C32" s="112">
        <f>_xlfn.XLOOKUP(B32,'Corridor Travel Time Savings'!$B$7:$B$26,'Corridor Travel Time Savings'!$F$7:$F$26,0,0,1)</f>
        <v>1844636.756666668</v>
      </c>
      <c r="D32" s="216">
        <f>_xlfn.XLOOKUP(B32,'Delay Reduction Savings'!$B$7:$B$26,'Delay Reduction Savings'!$F$7:$F$26,0,0,1)</f>
        <v>335309.42526761169</v>
      </c>
      <c r="E32" s="396">
        <f>_xlfn.XLOOKUP(B32,'Operating Cost-Roughness'!$B$6:$B$25,'Operating Cost-Roughness'!$G$6:$G$25,0,0,1)</f>
        <v>234595.91848700002</v>
      </c>
      <c r="F32" s="113">
        <f>_xlfn.XLOOKUP(B32,'Operating Costs-Fuel'!$B$7:$B$26,'Operating Costs-Fuel'!$D$7:$D$26,0,0,1)</f>
        <v>178985.50734119804</v>
      </c>
      <c r="G32" s="114">
        <f>_xlfn.XLOOKUP(B32,'Crash Costs'!$B$7:$B$26,'Crash Costs'!$C$7:$C$26,0,0,1)</f>
        <v>458727.0989910271</v>
      </c>
      <c r="H32" s="215">
        <f>_xlfn.XLOOKUP(B32,'Quality of Life Benefits '!$B$7:$B$26,'Quality of Life Benefits '!$G$7:$G$26,0,0,1)</f>
        <v>35994.58824907113</v>
      </c>
      <c r="I32" s="215">
        <f>_xlfn.XLOOKUP(B32,'Pedestrian Amenities'!$B$7:$B$26,'Pedestrian Amenities'!$C$7:$C$26,0,0,1)</f>
        <v>210346.10550000001</v>
      </c>
      <c r="J32" s="216">
        <f>_xlfn.XLOOKUP(B32,'Air Quality'!$B$5:$B$24,'Air Quality'!$M$5:$M$24,0,0,1)</f>
        <v>12310.967865639821</v>
      </c>
      <c r="K32" s="113">
        <f>_xlfn.XLOOKUP(B32,'Air Quality'!$B$5:$B$24,'Air Quality'!$E$5:$E$24,0,0,1)</f>
        <v>11221.981216855949</v>
      </c>
      <c r="L32" s="112">
        <f>_xlfn.XLOOKUP(B32,'Operation and Maintenance'!$B$8:$B$27,'Operation and Maintenance'!$G$8:$G$27,0,0,1)</f>
        <v>47800.753426889452</v>
      </c>
      <c r="M32" s="335">
        <f>_xlfn.XLOOKUP(B32,'Capital Costs'!$B$8:$B$35,'Capital Costs'!$E$8:$E$35,0,0,1)</f>
        <v>7686764.0413972167</v>
      </c>
      <c r="N32" s="337">
        <f t="shared" si="0"/>
        <v>11045471.163192322</v>
      </c>
      <c r="O32" s="338">
        <f>N32*((1+0.07)^-(B32-Assumptions!$C$6))+K32</f>
        <v>2046340.9583806563</v>
      </c>
      <c r="P32" s="314"/>
      <c r="Q32" s="161"/>
    </row>
    <row r="33" spans="2:18" x14ac:dyDescent="0.25">
      <c r="B33" s="52">
        <f t="shared" si="1"/>
        <v>2047</v>
      </c>
      <c r="C33" s="112">
        <f>_xlfn.XLOOKUP(B33,'Corridor Travel Time Savings'!$B$7:$B$26,'Corridor Travel Time Savings'!$F$7:$F$26,0,0,1)</f>
        <v>0</v>
      </c>
      <c r="D33" s="216">
        <f>_xlfn.XLOOKUP(B33,'Delay Reduction Savings'!$B$7:$B$26,'Delay Reduction Savings'!$F$7:$F$26,0,0,1)</f>
        <v>0</v>
      </c>
      <c r="E33" s="396">
        <f>_xlfn.XLOOKUP(B33,'Operating Cost-Roughness'!$B$6:$B$25,'Operating Cost-Roughness'!$G$6:$G$25,0,0,1)</f>
        <v>0</v>
      </c>
      <c r="F33" s="113">
        <f>_xlfn.XLOOKUP(B33,'Operating Costs-Fuel'!$B$7:$B$26,'Operating Costs-Fuel'!$D$7:$D$26,0,0,1)</f>
        <v>0</v>
      </c>
      <c r="G33" s="114">
        <f>_xlfn.XLOOKUP(B33,'Crash Costs'!$B$7:$B$26,'Crash Costs'!$C$7:$C$26,0,0,1)</f>
        <v>0</v>
      </c>
      <c r="H33" s="215">
        <f>_xlfn.XLOOKUP(B33,'Quality of Life Benefits '!$B$7:$B$26,'Quality of Life Benefits '!$G$7:$G$26,0,0,1)</f>
        <v>0</v>
      </c>
      <c r="I33" s="215">
        <f>_xlfn.XLOOKUP(B33,'Pedestrian Amenities'!$B$7:$B$26,'Pedestrian Amenities'!$C$7:$C$26,0,0,1)</f>
        <v>0</v>
      </c>
      <c r="J33" s="216">
        <f>_xlfn.XLOOKUP(B33,'Air Quality'!$B$5:$B$24,'Air Quality'!$M$5:$M$24,0,0,1)</f>
        <v>0</v>
      </c>
      <c r="K33" s="113">
        <f>_xlfn.XLOOKUP(B33,'Air Quality'!$B$5:$B$24,'Air Quality'!$E$5:$E$24,0,0,1)</f>
        <v>0</v>
      </c>
      <c r="L33" s="112">
        <f>_xlfn.XLOOKUP(B33,'Operation and Maintenance'!$B$8:$B$27,'Operation and Maintenance'!$G$8:$G$27,0,0,1)</f>
        <v>0</v>
      </c>
      <c r="M33" s="335">
        <f>_xlfn.XLOOKUP(B33,'Capital Costs'!$B$8:$B$35,'Capital Costs'!$E$8:$E$35,0,0,1)</f>
        <v>0</v>
      </c>
      <c r="N33" s="337">
        <f t="shared" si="0"/>
        <v>0</v>
      </c>
      <c r="O33" s="338">
        <f>N33*((1+0.07)^-(B33-Assumptions!$C$6))+K33</f>
        <v>0</v>
      </c>
      <c r="P33" s="314"/>
      <c r="Q33" s="161"/>
    </row>
    <row r="34" spans="2:18" x14ac:dyDescent="0.25">
      <c r="B34" s="52">
        <f t="shared" si="1"/>
        <v>2048</v>
      </c>
      <c r="C34" s="112">
        <f>_xlfn.XLOOKUP(B34,'Corridor Travel Time Savings'!$B$7:$B$26,'Corridor Travel Time Savings'!$F$7:$F$26,0,0,1)</f>
        <v>0</v>
      </c>
      <c r="D34" s="216">
        <f>_xlfn.XLOOKUP(B34,'Delay Reduction Savings'!$B$7:$B$26,'Delay Reduction Savings'!$F$7:$F$26,0,0,1)</f>
        <v>0</v>
      </c>
      <c r="E34" s="396">
        <f>_xlfn.XLOOKUP(B34,'Operating Cost-Roughness'!$B$6:$B$25,'Operating Cost-Roughness'!$G$6:$G$25,0,0,1)</f>
        <v>0</v>
      </c>
      <c r="F34" s="113">
        <f>_xlfn.XLOOKUP(B34,'Operating Costs-Fuel'!$B$7:$B$26,'Operating Costs-Fuel'!$D$7:$D$26,0,0,1)</f>
        <v>0</v>
      </c>
      <c r="G34" s="114">
        <f>_xlfn.XLOOKUP(B34,'Crash Costs'!$B$7:$B$26,'Crash Costs'!$C$7:$C$26,0,0,1)</f>
        <v>0</v>
      </c>
      <c r="H34" s="215">
        <f>_xlfn.XLOOKUP(B34,'Quality of Life Benefits '!$B$7:$B$26,'Quality of Life Benefits '!$G$7:$G$26,0,0,1)</f>
        <v>0</v>
      </c>
      <c r="I34" s="215">
        <f>_xlfn.XLOOKUP(B34,'Pedestrian Amenities'!$B$7:$B$26,'Pedestrian Amenities'!$C$7:$C$26,0,0,1)</f>
        <v>0</v>
      </c>
      <c r="J34" s="216">
        <f>_xlfn.XLOOKUP(B34,'Air Quality'!$B$5:$B$24,'Air Quality'!$M$5:$M$24,0,0,1)</f>
        <v>0</v>
      </c>
      <c r="K34" s="113">
        <f>_xlfn.XLOOKUP(B34,'Air Quality'!$B$5:$B$24,'Air Quality'!$E$5:$E$24,0,0,1)</f>
        <v>0</v>
      </c>
      <c r="L34" s="112">
        <f>_xlfn.XLOOKUP(B34,'Operation and Maintenance'!$B$8:$B$27,'Operation and Maintenance'!$G$8:$G$27,0,0,1)</f>
        <v>0</v>
      </c>
      <c r="M34" s="335">
        <f>_xlfn.XLOOKUP(B34,'Capital Costs'!$B$8:$B$35,'Capital Costs'!$E$8:$E$35,0,0,1)</f>
        <v>0</v>
      </c>
      <c r="N34" s="337">
        <f t="shared" si="0"/>
        <v>0</v>
      </c>
      <c r="O34" s="338">
        <f>N34*((1+0.07)^-(B34-Assumptions!$C$6))+K34</f>
        <v>0</v>
      </c>
      <c r="P34" s="314"/>
    </row>
    <row r="35" spans="2:18" x14ac:dyDescent="0.25">
      <c r="B35" s="52">
        <f t="shared" si="1"/>
        <v>2049</v>
      </c>
      <c r="C35" s="112">
        <f>_xlfn.XLOOKUP(B35,'Corridor Travel Time Savings'!$B$7:$B$26,'Corridor Travel Time Savings'!$F$7:$F$26,0,0,1)</f>
        <v>0</v>
      </c>
      <c r="D35" s="216">
        <f>_xlfn.XLOOKUP(B35,'Delay Reduction Savings'!$B$7:$B$26,'Delay Reduction Savings'!$F$7:$F$26,0,0,1)</f>
        <v>0</v>
      </c>
      <c r="E35" s="396">
        <f>_xlfn.XLOOKUP(B35,'Operating Cost-Roughness'!$B$6:$B$25,'Operating Cost-Roughness'!$G$6:$G$25,0,0,1)</f>
        <v>0</v>
      </c>
      <c r="F35" s="113">
        <f>_xlfn.XLOOKUP(B35,'Operating Costs-Fuel'!$B$7:$B$26,'Operating Costs-Fuel'!$D$7:$D$26,0,0,1)</f>
        <v>0</v>
      </c>
      <c r="G35" s="114">
        <f>_xlfn.XLOOKUP(B35,'Crash Costs'!$B$7:$B$26,'Crash Costs'!$C$7:$C$26,0,0,1)</f>
        <v>0</v>
      </c>
      <c r="H35" s="215">
        <f>_xlfn.XLOOKUP(B35,'Quality of Life Benefits '!$B$7:$B$26,'Quality of Life Benefits '!$G$7:$G$26,0,0,1)</f>
        <v>0</v>
      </c>
      <c r="I35" s="215">
        <f>_xlfn.XLOOKUP(B35,'Pedestrian Amenities'!$B$7:$B$26,'Pedestrian Amenities'!$C$7:$C$26,0,0,1)</f>
        <v>0</v>
      </c>
      <c r="J35" s="216">
        <f>_xlfn.XLOOKUP(B35,'Air Quality'!$B$5:$B$24,'Air Quality'!$M$5:$M$24,0,0,1)</f>
        <v>0</v>
      </c>
      <c r="K35" s="113">
        <f>_xlfn.XLOOKUP(B35,'Air Quality'!$B$5:$B$24,'Air Quality'!$E$5:$E$24,0,0,1)</f>
        <v>0</v>
      </c>
      <c r="L35" s="112">
        <f>_xlfn.XLOOKUP(B35,'Operation and Maintenance'!$B$8:$B$27,'Operation and Maintenance'!$G$8:$G$27,0,0,1)</f>
        <v>0</v>
      </c>
      <c r="M35" s="335">
        <f>_xlfn.XLOOKUP(B35,'Capital Costs'!$B$8:$B$35,'Capital Costs'!$E$8:$E$35,0,0,1)</f>
        <v>0</v>
      </c>
      <c r="N35" s="337">
        <f t="shared" si="0"/>
        <v>0</v>
      </c>
      <c r="O35" s="338">
        <f>N35*((1+0.07)^-(B35-Assumptions!$C$6))+K35</f>
        <v>0</v>
      </c>
      <c r="P35" s="314"/>
    </row>
    <row r="36" spans="2:18" x14ac:dyDescent="0.25">
      <c r="B36" s="52">
        <f t="shared" si="1"/>
        <v>2050</v>
      </c>
      <c r="C36" s="112">
        <f>_xlfn.XLOOKUP(B36,'Corridor Travel Time Savings'!$B$7:$B$26,'Corridor Travel Time Savings'!$F$7:$F$26,0,0,1)</f>
        <v>0</v>
      </c>
      <c r="D36" s="216">
        <f>_xlfn.XLOOKUP(B36,'Delay Reduction Savings'!$B$7:$B$26,'Delay Reduction Savings'!$F$7:$F$26,0,0,1)</f>
        <v>0</v>
      </c>
      <c r="E36" s="396">
        <f>_xlfn.XLOOKUP(B36,'Operating Cost-Roughness'!$B$6:$B$25,'Operating Cost-Roughness'!$G$6:$G$25,0,0,1)</f>
        <v>0</v>
      </c>
      <c r="F36" s="113">
        <f>_xlfn.XLOOKUP(B36,'Operating Costs-Fuel'!$B$7:$B$26,'Operating Costs-Fuel'!$D$7:$D$26,0,0,1)</f>
        <v>0</v>
      </c>
      <c r="G36" s="114">
        <f>_xlfn.XLOOKUP(B36,'Crash Costs'!$B$7:$B$26,'Crash Costs'!$C$7:$C$26,0,0,1)</f>
        <v>0</v>
      </c>
      <c r="H36" s="215">
        <f>_xlfn.XLOOKUP(B36,'Quality of Life Benefits '!$B$7:$B$26,'Quality of Life Benefits '!$G$7:$G$26,0,0,1)</f>
        <v>0</v>
      </c>
      <c r="I36" s="215">
        <f>_xlfn.XLOOKUP(B36,'Pedestrian Amenities'!$B$7:$B$26,'Pedestrian Amenities'!$C$7:$C$26,0,0,1)</f>
        <v>0</v>
      </c>
      <c r="J36" s="216">
        <f>_xlfn.XLOOKUP(B36,'Air Quality'!$B$5:$B$24,'Air Quality'!$M$5:$M$24,0,0,1)</f>
        <v>0</v>
      </c>
      <c r="K36" s="113">
        <f>_xlfn.XLOOKUP(B36,'Air Quality'!$B$5:$B$24,'Air Quality'!$E$5:$E$24,0,0,1)</f>
        <v>0</v>
      </c>
      <c r="L36" s="112">
        <f>_xlfn.XLOOKUP(B36,'Operation and Maintenance'!$B$8:$B$27,'Operation and Maintenance'!$G$8:$G$27,0,0,1)</f>
        <v>0</v>
      </c>
      <c r="M36" s="335">
        <f>_xlfn.XLOOKUP(B36,'Capital Costs'!$B$8:$B$35,'Capital Costs'!$E$8:$E$35,0,0,1)</f>
        <v>0</v>
      </c>
      <c r="N36" s="337">
        <f t="shared" si="0"/>
        <v>0</v>
      </c>
      <c r="O36" s="338">
        <f>N36*((1+0.07)^-(B36-Assumptions!$C$6))+K36</f>
        <v>0</v>
      </c>
      <c r="P36" s="314"/>
    </row>
    <row r="37" spans="2:18" x14ac:dyDescent="0.25">
      <c r="B37" s="52">
        <f t="shared" si="1"/>
        <v>2051</v>
      </c>
      <c r="C37" s="112">
        <f>_xlfn.XLOOKUP(B37,'Corridor Travel Time Savings'!$B$7:$B$26,'Corridor Travel Time Savings'!$F$7:$F$26,0,0,1)</f>
        <v>0</v>
      </c>
      <c r="D37" s="216">
        <f>_xlfn.XLOOKUP(B37,'Delay Reduction Savings'!$B$7:$B$26,'Delay Reduction Savings'!$F$7:$F$26,0,0,1)</f>
        <v>0</v>
      </c>
      <c r="E37" s="396">
        <f>_xlfn.XLOOKUP(B37,'Operating Cost-Roughness'!$B$6:$B$25,'Operating Cost-Roughness'!$G$6:$G$25,0,0,1)</f>
        <v>0</v>
      </c>
      <c r="F37" s="113">
        <f>_xlfn.XLOOKUP(B37,'Operating Costs-Fuel'!$B$7:$B$26,'Operating Costs-Fuel'!$D$7:$D$26,0,0,1)</f>
        <v>0</v>
      </c>
      <c r="G37" s="114">
        <f>_xlfn.XLOOKUP(B37,'Crash Costs'!$B$7:$B$26,'Crash Costs'!$C$7:$C$26,0,0,1)</f>
        <v>0</v>
      </c>
      <c r="H37" s="215">
        <f>_xlfn.XLOOKUP(B37,'Quality of Life Benefits '!$B$7:$B$26,'Quality of Life Benefits '!$G$7:$G$26,0,0,1)</f>
        <v>0</v>
      </c>
      <c r="I37" s="215">
        <f>_xlfn.XLOOKUP(B37,'Pedestrian Amenities'!$B$7:$B$26,'Pedestrian Amenities'!$C$7:$C$26,0,0,1)</f>
        <v>0</v>
      </c>
      <c r="J37" s="216">
        <f>_xlfn.XLOOKUP(B37,'Air Quality'!$B$5:$B$24,'Air Quality'!$M$5:$M$24,0,0,1)</f>
        <v>0</v>
      </c>
      <c r="K37" s="113">
        <f>_xlfn.XLOOKUP(B37,'Air Quality'!$B$5:$B$24,'Air Quality'!$E$5:$E$24,0,0,1)</f>
        <v>0</v>
      </c>
      <c r="L37" s="112">
        <f>_xlfn.XLOOKUP(B37,'Operation and Maintenance'!$B$8:$B$27,'Operation and Maintenance'!$G$8:$G$27,0,0,1)</f>
        <v>0</v>
      </c>
      <c r="M37" s="335">
        <f>_xlfn.XLOOKUP(B37,'Capital Costs'!$B$8:$B$35,'Capital Costs'!$E$8:$E$35,0,0,1)</f>
        <v>0</v>
      </c>
      <c r="N37" s="337">
        <f t="shared" si="0"/>
        <v>0</v>
      </c>
      <c r="O37" s="338">
        <f>N37*((1+0.07)^-(B37-Assumptions!$C$6))+K37</f>
        <v>0</v>
      </c>
      <c r="P37" s="314"/>
    </row>
    <row r="38" spans="2:18" x14ac:dyDescent="0.25">
      <c r="B38" s="52">
        <f t="shared" si="1"/>
        <v>2052</v>
      </c>
      <c r="C38" s="112">
        <f>_xlfn.XLOOKUP(B38,'Corridor Travel Time Savings'!$B$7:$B$26,'Corridor Travel Time Savings'!$F$7:$F$26,0,0,1)</f>
        <v>0</v>
      </c>
      <c r="D38" s="216">
        <f>_xlfn.XLOOKUP(B38,'Delay Reduction Savings'!$B$7:$B$26,'Delay Reduction Savings'!$F$7:$F$26,0,0,1)</f>
        <v>0</v>
      </c>
      <c r="E38" s="396">
        <f>_xlfn.XLOOKUP(B38,'Operating Cost-Roughness'!$B$6:$B$25,'Operating Cost-Roughness'!$G$6:$G$25,0,0,1)</f>
        <v>0</v>
      </c>
      <c r="F38" s="113">
        <f>_xlfn.XLOOKUP(B38,'Operating Costs-Fuel'!$B$7:$B$26,'Operating Costs-Fuel'!$D$7:$D$26,0,0,1)</f>
        <v>0</v>
      </c>
      <c r="G38" s="114">
        <f>_xlfn.XLOOKUP(B38,'Crash Costs'!$B$7:$B$26,'Crash Costs'!$C$7:$C$26,0,0,1)</f>
        <v>0</v>
      </c>
      <c r="H38" s="215">
        <f>_xlfn.XLOOKUP(B38,'Quality of Life Benefits '!$B$7:$B$26,'Quality of Life Benefits '!$G$7:$G$26,0,0,1)</f>
        <v>0</v>
      </c>
      <c r="I38" s="215">
        <f>_xlfn.XLOOKUP(B38,'Pedestrian Amenities'!$B$7:$B$26,'Pedestrian Amenities'!$C$7:$C$26,0,0,1)</f>
        <v>0</v>
      </c>
      <c r="J38" s="216">
        <f>_xlfn.XLOOKUP(B38,'Air Quality'!$B$5:$B$24,'Air Quality'!$M$5:$M$24,0,0,1)</f>
        <v>0</v>
      </c>
      <c r="K38" s="113">
        <f>_xlfn.XLOOKUP(B38,'Air Quality'!$B$5:$B$24,'Air Quality'!$E$5:$E$24,0,0,1)</f>
        <v>0</v>
      </c>
      <c r="L38" s="112">
        <f>_xlfn.XLOOKUP(B38,'Operation and Maintenance'!$B$8:$B$27,'Operation and Maintenance'!$G$8:$G$27,0,0,1)</f>
        <v>0</v>
      </c>
      <c r="M38" s="335">
        <f>_xlfn.XLOOKUP(B38,'Capital Costs'!$B$8:$B$35,'Capital Costs'!$E$8:$E$35,0,0,1)</f>
        <v>0</v>
      </c>
      <c r="N38" s="337">
        <f t="shared" si="0"/>
        <v>0</v>
      </c>
      <c r="O38" s="338">
        <f>N38*((1+0.07)^-(B38-Assumptions!$C$6))+K38</f>
        <v>0</v>
      </c>
      <c r="P38" s="314"/>
    </row>
    <row r="39" spans="2:18" x14ac:dyDescent="0.25">
      <c r="B39" s="52">
        <f t="shared" si="1"/>
        <v>2053</v>
      </c>
      <c r="C39" s="112">
        <f>_xlfn.XLOOKUP(B39,'Corridor Travel Time Savings'!$B$7:$B$26,'Corridor Travel Time Savings'!$F$7:$F$26,0,0,1)</f>
        <v>0</v>
      </c>
      <c r="D39" s="216">
        <f>_xlfn.XLOOKUP(B39,'Delay Reduction Savings'!$B$7:$B$26,'Delay Reduction Savings'!$F$7:$F$26,0,0,1)</f>
        <v>0</v>
      </c>
      <c r="E39" s="396">
        <f>_xlfn.XLOOKUP(B39,'Operating Cost-Roughness'!$B$6:$B$25,'Operating Cost-Roughness'!$G$6:$G$25,0,0,1)</f>
        <v>0</v>
      </c>
      <c r="F39" s="113">
        <f>_xlfn.XLOOKUP(B39,'Operating Costs-Fuel'!$B$7:$B$26,'Operating Costs-Fuel'!$D$7:$D$26,0,0,1)</f>
        <v>0</v>
      </c>
      <c r="G39" s="114">
        <f>_xlfn.XLOOKUP(B39,'Crash Costs'!$B$7:$B$26,'Crash Costs'!$C$7:$C$26,0,0,1)</f>
        <v>0</v>
      </c>
      <c r="H39" s="215">
        <f>_xlfn.XLOOKUP(B39,'Quality of Life Benefits '!$B$7:$B$26,'Quality of Life Benefits '!$G$7:$G$26,0,0,1)</f>
        <v>0</v>
      </c>
      <c r="I39" s="215">
        <f>_xlfn.XLOOKUP(B39,'Pedestrian Amenities'!$B$7:$B$26,'Pedestrian Amenities'!$C$7:$C$26,0,0,1)</f>
        <v>0</v>
      </c>
      <c r="J39" s="216">
        <f>_xlfn.XLOOKUP(B39,'Air Quality'!$B$5:$B$24,'Air Quality'!$M$5:$M$24,0,0,1)</f>
        <v>0</v>
      </c>
      <c r="K39" s="113">
        <f>_xlfn.XLOOKUP(B39,'Air Quality'!$B$5:$B$24,'Air Quality'!$E$5:$E$24,0,0,1)</f>
        <v>0</v>
      </c>
      <c r="L39" s="112">
        <f>_xlfn.XLOOKUP(B39,'Operation and Maintenance'!$B$8:$B$27,'Operation and Maintenance'!$G$8:$G$27,0,0,1)</f>
        <v>0</v>
      </c>
      <c r="M39" s="335">
        <f>_xlfn.XLOOKUP(B39,'Capital Costs'!$B$8:$B$35,'Capital Costs'!$E$8:$E$35,0,0,1)</f>
        <v>0</v>
      </c>
      <c r="N39" s="337">
        <f t="shared" si="0"/>
        <v>0</v>
      </c>
      <c r="O39" s="338">
        <f>N39*((1+0.07)^-(B39-Assumptions!$C$6))+K39</f>
        <v>0</v>
      </c>
      <c r="P39" s="314"/>
    </row>
    <row r="40" spans="2:18" x14ac:dyDescent="0.25">
      <c r="B40" s="52">
        <f t="shared" si="1"/>
        <v>2054</v>
      </c>
      <c r="C40" s="112">
        <f>_xlfn.XLOOKUP(B40,'Corridor Travel Time Savings'!$B$7:$B$26,'Corridor Travel Time Savings'!$F$7:$F$26,0,0,1)</f>
        <v>0</v>
      </c>
      <c r="D40" s="216">
        <f>_xlfn.XLOOKUP(B40,'Delay Reduction Savings'!$B$7:$B$26,'Delay Reduction Savings'!$F$7:$F$26,0,0,1)</f>
        <v>0</v>
      </c>
      <c r="E40" s="396">
        <f>_xlfn.XLOOKUP(B40,'Operating Cost-Roughness'!$B$6:$B$25,'Operating Cost-Roughness'!$G$6:$G$25,0,0,1)</f>
        <v>0</v>
      </c>
      <c r="F40" s="113">
        <f>_xlfn.XLOOKUP(B40,'Operating Costs-Fuel'!$B$7:$B$26,'Operating Costs-Fuel'!$D$7:$D$26,0,0,1)</f>
        <v>0</v>
      </c>
      <c r="G40" s="114">
        <f>_xlfn.XLOOKUP(B40,'Crash Costs'!$B$7:$B$26,'Crash Costs'!$C$7:$C$26,0,0,1)</f>
        <v>0</v>
      </c>
      <c r="H40" s="215">
        <f>_xlfn.XLOOKUP(B40,'Quality of Life Benefits '!$B$7:$B$26,'Quality of Life Benefits '!$G$7:$G$26,0,0,1)</f>
        <v>0</v>
      </c>
      <c r="I40" s="215">
        <f>_xlfn.XLOOKUP(B40,'Pedestrian Amenities'!$B$7:$B$26,'Pedestrian Amenities'!$C$7:$C$26,0,0,1)</f>
        <v>0</v>
      </c>
      <c r="J40" s="216">
        <f>_xlfn.XLOOKUP(B40,'Air Quality'!$B$5:$B$24,'Air Quality'!$M$5:$M$24,0,0,1)</f>
        <v>0</v>
      </c>
      <c r="K40" s="113">
        <f>_xlfn.XLOOKUP(B40,'Air Quality'!$B$5:$B$24,'Air Quality'!$E$5:$E$24,0,0,1)</f>
        <v>0</v>
      </c>
      <c r="L40" s="112">
        <f>_xlfn.XLOOKUP(B40,'Operation and Maintenance'!$B$8:$B$27,'Operation and Maintenance'!$G$8:$G$27,0,0,1)</f>
        <v>0</v>
      </c>
      <c r="M40" s="335">
        <f>_xlfn.XLOOKUP(B40,'Capital Costs'!$B$8:$B$35,'Capital Costs'!$E$8:$E$35,0,0,1)</f>
        <v>0</v>
      </c>
      <c r="N40" s="337">
        <f t="shared" si="0"/>
        <v>0</v>
      </c>
      <c r="O40" s="338">
        <f>N40*((1+0.07)^-(B40-Assumptions!$C$6))+K40</f>
        <v>0</v>
      </c>
      <c r="P40" s="314"/>
    </row>
    <row r="41" spans="2:18" x14ac:dyDescent="0.25">
      <c r="B41" s="52">
        <f t="shared" si="1"/>
        <v>2055</v>
      </c>
      <c r="C41" s="112">
        <f>_xlfn.XLOOKUP(B41,'Corridor Travel Time Savings'!$B$7:$B$26,'Corridor Travel Time Savings'!$F$7:$F$26,0,0,1)</f>
        <v>0</v>
      </c>
      <c r="D41" s="216">
        <f>_xlfn.XLOOKUP(B41,'Delay Reduction Savings'!$B$7:$B$26,'Delay Reduction Savings'!$F$7:$F$26,0,0,1)</f>
        <v>0</v>
      </c>
      <c r="E41" s="396">
        <f>_xlfn.XLOOKUP(B41,'Operating Cost-Roughness'!$B$6:$B$25,'Operating Cost-Roughness'!$G$6:$G$25,0,0,1)</f>
        <v>0</v>
      </c>
      <c r="F41" s="113">
        <f>_xlfn.XLOOKUP(B41,'Operating Costs-Fuel'!$B$7:$B$26,'Operating Costs-Fuel'!$D$7:$D$26,0,0,1)</f>
        <v>0</v>
      </c>
      <c r="G41" s="114">
        <f>_xlfn.XLOOKUP(B41,'Crash Costs'!$B$7:$B$26,'Crash Costs'!$C$7:$C$26,0,0,1)</f>
        <v>0</v>
      </c>
      <c r="H41" s="215">
        <f>_xlfn.XLOOKUP(B41,'Quality of Life Benefits '!$B$7:$B$26,'Quality of Life Benefits '!$G$7:$G$26,0,0,1)</f>
        <v>0</v>
      </c>
      <c r="I41" s="215">
        <f>_xlfn.XLOOKUP(B41,'Pedestrian Amenities'!$B$7:$B$26,'Pedestrian Amenities'!$C$7:$C$26,0,0,1)</f>
        <v>0</v>
      </c>
      <c r="J41" s="216">
        <f>_xlfn.XLOOKUP(B41,'Air Quality'!$B$5:$B$24,'Air Quality'!$M$5:$M$24,0,0,1)</f>
        <v>0</v>
      </c>
      <c r="K41" s="113">
        <f>_xlfn.XLOOKUP(B41,'Air Quality'!$B$5:$B$24,'Air Quality'!$E$5:$E$24,0,0,1)</f>
        <v>0</v>
      </c>
      <c r="L41" s="112">
        <f>_xlfn.XLOOKUP(B41,'Operation and Maintenance'!$B$8:$B$27,'Operation and Maintenance'!$G$8:$G$27,0,0,1)</f>
        <v>0</v>
      </c>
      <c r="M41" s="335">
        <f>_xlfn.XLOOKUP(B41,'Capital Costs'!$B$8:$B$35,'Capital Costs'!$E$8:$E$35,0,0,1)</f>
        <v>0</v>
      </c>
      <c r="N41" s="337">
        <f t="shared" si="0"/>
        <v>0</v>
      </c>
      <c r="O41" s="338">
        <f>N41*((1+0.07)^-(B41-Assumptions!$C$6))+K41</f>
        <v>0</v>
      </c>
      <c r="P41" s="314"/>
    </row>
    <row r="42" spans="2:18" x14ac:dyDescent="0.25">
      <c r="B42" s="52">
        <f t="shared" si="1"/>
        <v>2056</v>
      </c>
      <c r="C42" s="112">
        <f>_xlfn.XLOOKUP(B42,'Corridor Travel Time Savings'!$B$7:$B$26,'Corridor Travel Time Savings'!$F$7:$F$26,0,0,1)</f>
        <v>0</v>
      </c>
      <c r="D42" s="216">
        <f>_xlfn.XLOOKUP(B42,'Delay Reduction Savings'!$B$7:$B$26,'Delay Reduction Savings'!$F$7:$F$26,0,0,1)</f>
        <v>0</v>
      </c>
      <c r="E42" s="396">
        <f>_xlfn.XLOOKUP(B42,'Operating Cost-Roughness'!$B$6:$B$25,'Operating Cost-Roughness'!$G$6:$G$25,0,0,1)</f>
        <v>0</v>
      </c>
      <c r="F42" s="113">
        <f>_xlfn.XLOOKUP(B42,'Operating Costs-Fuel'!$B$7:$B$26,'Operating Costs-Fuel'!$D$7:$D$26,0,0,1)</f>
        <v>0</v>
      </c>
      <c r="G42" s="114">
        <f>_xlfn.XLOOKUP(B42,'Crash Costs'!$B$7:$B$26,'Crash Costs'!$C$7:$C$26,0,0,1)</f>
        <v>0</v>
      </c>
      <c r="H42" s="215">
        <f>_xlfn.XLOOKUP(B42,'Quality of Life Benefits '!$B$7:$B$26,'Quality of Life Benefits '!$G$7:$G$26,0,0,1)</f>
        <v>0</v>
      </c>
      <c r="I42" s="215">
        <f>_xlfn.XLOOKUP(B42,'Pedestrian Amenities'!$B$7:$B$26,'Pedestrian Amenities'!$C$7:$C$26,0,0,1)</f>
        <v>0</v>
      </c>
      <c r="J42" s="216">
        <f>_xlfn.XLOOKUP(B42,'Air Quality'!$B$5:$B$24,'Air Quality'!$M$5:$M$24,0,0,1)</f>
        <v>0</v>
      </c>
      <c r="K42" s="113">
        <f>_xlfn.XLOOKUP(B42,'Air Quality'!$B$5:$B$24,'Air Quality'!$E$5:$E$24,0,0,1)</f>
        <v>0</v>
      </c>
      <c r="L42" s="112">
        <f>_xlfn.XLOOKUP(B42,'Operation and Maintenance'!$B$8:$B$27,'Operation and Maintenance'!$G$8:$G$27,0,0,1)</f>
        <v>0</v>
      </c>
      <c r="M42" s="335">
        <f>_xlfn.XLOOKUP(B42,'Capital Costs'!$B$8:$B$35,'Capital Costs'!$E$8:$E$35,0,0,1)</f>
        <v>0</v>
      </c>
      <c r="N42" s="337">
        <f t="shared" si="0"/>
        <v>0</v>
      </c>
      <c r="O42" s="338">
        <f>N42*((1+0.07)^-(B42-Assumptions!$C$6))+K42</f>
        <v>0</v>
      </c>
      <c r="P42" s="314"/>
    </row>
    <row r="43" spans="2:18" x14ac:dyDescent="0.25">
      <c r="B43" s="52">
        <f t="shared" si="1"/>
        <v>2057</v>
      </c>
      <c r="C43" s="112">
        <f>_xlfn.XLOOKUP(B43,'Corridor Travel Time Savings'!$B$7:$B$26,'Corridor Travel Time Savings'!$F$7:$F$26,0,0,1)</f>
        <v>0</v>
      </c>
      <c r="D43" s="216">
        <f>_xlfn.XLOOKUP(B43,'Delay Reduction Savings'!$B$7:$B$26,'Delay Reduction Savings'!$F$7:$F$26,0,0,1)</f>
        <v>0</v>
      </c>
      <c r="E43" s="396">
        <f>_xlfn.XLOOKUP(B43,'Operating Cost-Roughness'!$B$6:$B$25,'Operating Cost-Roughness'!$G$6:$G$25,0,0,1)</f>
        <v>0</v>
      </c>
      <c r="F43" s="113">
        <f>_xlfn.XLOOKUP(B43,'Operating Costs-Fuel'!$B$7:$B$26,'Operating Costs-Fuel'!$D$7:$D$26,0,0,1)</f>
        <v>0</v>
      </c>
      <c r="G43" s="114">
        <f>_xlfn.XLOOKUP(B43,'Crash Costs'!$B$7:$B$26,'Crash Costs'!$C$7:$C$26,0,0,1)</f>
        <v>0</v>
      </c>
      <c r="H43" s="215">
        <f>_xlfn.XLOOKUP(B43,'Quality of Life Benefits '!$B$7:$B$26,'Quality of Life Benefits '!$G$7:$G$26,0,0,1)</f>
        <v>0</v>
      </c>
      <c r="I43" s="215">
        <f>_xlfn.XLOOKUP(B43,'Pedestrian Amenities'!$B$7:$B$26,'Pedestrian Amenities'!$C$7:$C$26,0,0,1)</f>
        <v>0</v>
      </c>
      <c r="J43" s="216">
        <f>_xlfn.XLOOKUP(B43,'Air Quality'!$B$5:$B$24,'Air Quality'!$M$5:$M$24,0,0,1)</f>
        <v>0</v>
      </c>
      <c r="K43" s="113">
        <f>_xlfn.XLOOKUP(B43,'Air Quality'!$B$5:$B$24,'Air Quality'!$E$5:$E$24,0,0,1)</f>
        <v>0</v>
      </c>
      <c r="L43" s="112">
        <f>_xlfn.XLOOKUP(B43,'Operation and Maintenance'!$B$8:$B$27,'Operation and Maintenance'!$G$8:$G$27,0,0,1)</f>
        <v>0</v>
      </c>
      <c r="M43" s="335">
        <f>_xlfn.XLOOKUP(B43,'Capital Costs'!$B$8:$B$35,'Capital Costs'!$E$8:$E$35,0,0,1)</f>
        <v>0</v>
      </c>
      <c r="N43" s="337">
        <f t="shared" si="0"/>
        <v>0</v>
      </c>
      <c r="O43" s="338">
        <f>N43*((1+0.07)^-(B43-Assumptions!$C$6))+K43</f>
        <v>0</v>
      </c>
      <c r="P43" s="314"/>
      <c r="R43" s="120"/>
    </row>
    <row r="44" spans="2:18" x14ac:dyDescent="0.25">
      <c r="B44" s="52">
        <f t="shared" si="1"/>
        <v>2058</v>
      </c>
      <c r="C44" s="112">
        <f>_xlfn.XLOOKUP(B44,'Corridor Travel Time Savings'!$B$7:$B$26,'Corridor Travel Time Savings'!$F$7:$F$26,0,0,1)</f>
        <v>0</v>
      </c>
      <c r="D44" s="216">
        <f>_xlfn.XLOOKUP(B44,'Delay Reduction Savings'!$B$7:$B$26,'Delay Reduction Savings'!$F$7:$F$26,0,0,1)</f>
        <v>0</v>
      </c>
      <c r="E44" s="396">
        <f>_xlfn.XLOOKUP(B44,'Operating Cost-Roughness'!$B$6:$B$25,'Operating Cost-Roughness'!$G$6:$G$25,0,0,1)</f>
        <v>0</v>
      </c>
      <c r="F44" s="113">
        <f>_xlfn.XLOOKUP(B44,'Operating Costs-Fuel'!$B$7:$B$26,'Operating Costs-Fuel'!$D$7:$D$26,0,0,1)</f>
        <v>0</v>
      </c>
      <c r="G44" s="114">
        <f>_xlfn.XLOOKUP(B44,'Crash Costs'!$B$7:$B$26,'Crash Costs'!$C$7:$C$26,0,0,1)</f>
        <v>0</v>
      </c>
      <c r="H44" s="215">
        <f>_xlfn.XLOOKUP(B44,'Quality of Life Benefits '!$B$7:$B$26,'Quality of Life Benefits '!$G$7:$G$26,0,0,1)</f>
        <v>0</v>
      </c>
      <c r="I44" s="215">
        <f>_xlfn.XLOOKUP(B44,'Pedestrian Amenities'!$B$7:$B$26,'Pedestrian Amenities'!$C$7:$C$26,0,0,1)</f>
        <v>0</v>
      </c>
      <c r="J44" s="216">
        <f>_xlfn.XLOOKUP(B44,'Air Quality'!$B$5:$B$24,'Air Quality'!$M$5:$M$24,0,0,1)</f>
        <v>0</v>
      </c>
      <c r="K44" s="113">
        <f>_xlfn.XLOOKUP(B44,'Air Quality'!$B$5:$B$24,'Air Quality'!$E$5:$E$24,0,0,1)</f>
        <v>0</v>
      </c>
      <c r="L44" s="112">
        <f>_xlfn.XLOOKUP(B44,'Operation and Maintenance'!$B$8:$B$27,'Operation and Maintenance'!$G$8:$G$27,0,0,1)</f>
        <v>0</v>
      </c>
      <c r="M44" s="335">
        <f>_xlfn.XLOOKUP(B44,'Capital Costs'!$B$8:$B$35,'Capital Costs'!$E$8:$E$35,0,0,1)</f>
        <v>0</v>
      </c>
      <c r="N44" s="337">
        <f t="shared" si="0"/>
        <v>0</v>
      </c>
      <c r="O44" s="338">
        <f>N44*((1+0.07)^-(B44-Assumptions!$C$6))+K44</f>
        <v>0</v>
      </c>
      <c r="P44" s="314"/>
    </row>
    <row r="45" spans="2:18" x14ac:dyDescent="0.25">
      <c r="B45" s="52">
        <f t="shared" si="1"/>
        <v>2059</v>
      </c>
      <c r="C45" s="112">
        <f>_xlfn.XLOOKUP(B45,'Corridor Travel Time Savings'!$B$7:$B$26,'Corridor Travel Time Savings'!$F$7:$F$26,0,0,1)</f>
        <v>0</v>
      </c>
      <c r="D45" s="216">
        <f>_xlfn.XLOOKUP(B45,'Delay Reduction Savings'!$B$7:$B$26,'Delay Reduction Savings'!$F$7:$F$26,0,0,1)</f>
        <v>0</v>
      </c>
      <c r="E45" s="396">
        <f>_xlfn.XLOOKUP(B45,'Operating Cost-Roughness'!$B$6:$B$25,'Operating Cost-Roughness'!$G$6:$G$25,0,0,1)</f>
        <v>0</v>
      </c>
      <c r="F45" s="113">
        <f>_xlfn.XLOOKUP(B45,'Operating Costs-Fuel'!$B$7:$B$26,'Operating Costs-Fuel'!$D$7:$D$26,0,0,1)</f>
        <v>0</v>
      </c>
      <c r="G45" s="114">
        <f>_xlfn.XLOOKUP(B45,'Crash Costs'!$B$7:$B$26,'Crash Costs'!$C$7:$C$26,0,0,1)</f>
        <v>0</v>
      </c>
      <c r="H45" s="215">
        <f>_xlfn.XLOOKUP(B45,'Quality of Life Benefits '!$B$7:$B$26,'Quality of Life Benefits '!$G$7:$G$26,0,0,1)</f>
        <v>0</v>
      </c>
      <c r="I45" s="215">
        <f>_xlfn.XLOOKUP(B45,'Pedestrian Amenities'!$B$7:$B$26,'Pedestrian Amenities'!$C$7:$C$26,0,0,1)</f>
        <v>0</v>
      </c>
      <c r="J45" s="216">
        <f>_xlfn.XLOOKUP(B45,'Air Quality'!$B$5:$B$24,'Air Quality'!$M$5:$M$24,0,0,1)</f>
        <v>0</v>
      </c>
      <c r="K45" s="113">
        <f>_xlfn.XLOOKUP(B45,'Air Quality'!$B$5:$B$24,'Air Quality'!$E$5:$E$24,0,0,1)</f>
        <v>0</v>
      </c>
      <c r="L45" s="112">
        <f>_xlfn.XLOOKUP(B45,'Operation and Maintenance'!$B$8:$B$27,'Operation and Maintenance'!$G$8:$G$27,0,0,1)</f>
        <v>0</v>
      </c>
      <c r="M45" s="335">
        <f>_xlfn.XLOOKUP(B45,'Capital Costs'!$B$8:$B$35,'Capital Costs'!$E$8:$E$35,0,0,1)</f>
        <v>0</v>
      </c>
      <c r="N45" s="337">
        <f t="shared" si="0"/>
        <v>0</v>
      </c>
      <c r="O45" s="338">
        <f>N45*((1+0.07)^-(B45-Assumptions!$C$6))+K45</f>
        <v>0</v>
      </c>
      <c r="P45" s="314"/>
    </row>
    <row r="46" spans="2:18" ht="15.75" thickBot="1" x14ac:dyDescent="0.3">
      <c r="B46" s="333">
        <f t="shared" si="1"/>
        <v>2060</v>
      </c>
      <c r="C46" s="115">
        <f>_xlfn.XLOOKUP(B46,'Corridor Travel Time Savings'!$B$7:$B$26,'Corridor Travel Time Savings'!$F$7:$F$26,0,0,1)</f>
        <v>0</v>
      </c>
      <c r="D46" s="229">
        <f>_xlfn.XLOOKUP(B46,'Delay Reduction Savings'!$B$7:$B$26,'Delay Reduction Savings'!$F$7:$F$26,0,0,1)</f>
        <v>0</v>
      </c>
      <c r="E46" s="397">
        <f>_xlfn.XLOOKUP(B46,'Operating Cost-Roughness'!$B$6:$B$25,'Operating Cost-Roughness'!$G$6:$G$25,0,0,1)</f>
        <v>0</v>
      </c>
      <c r="F46" s="116">
        <f>_xlfn.XLOOKUP(B46,'Operating Costs-Fuel'!$B$7:$B$26,'Operating Costs-Fuel'!$D$7:$D$26,0,0,1)</f>
        <v>0</v>
      </c>
      <c r="G46" s="117">
        <f>_xlfn.XLOOKUP(B46,'Crash Costs'!$B$7:$B$26,'Crash Costs'!$C$7:$C$26,0,0,1)</f>
        <v>0</v>
      </c>
      <c r="H46" s="228">
        <f>_xlfn.XLOOKUP(B46,'Quality of Life Benefits '!$B$7:$B$26,'Quality of Life Benefits '!$G$7:$G$26,0,0,1)</f>
        <v>0</v>
      </c>
      <c r="I46" s="228">
        <f>_xlfn.XLOOKUP(B46,'Pedestrian Amenities'!$B$7:$B$26,'Pedestrian Amenities'!$C$7:$C$26,0,0,1)</f>
        <v>0</v>
      </c>
      <c r="J46" s="229">
        <f>_xlfn.XLOOKUP(B46,'Air Quality'!$B$5:$B$24,'Air Quality'!$M$5:$M$24,0,0,1)</f>
        <v>0</v>
      </c>
      <c r="K46" s="116">
        <f>_xlfn.XLOOKUP(B46,'Air Quality'!$B$5:$B$24,'Air Quality'!$E$5:$E$24,0,0,1)</f>
        <v>0</v>
      </c>
      <c r="L46" s="115">
        <f>_xlfn.XLOOKUP(B46,'Operation and Maintenance'!$B$8:$B$27,'Operation and Maintenance'!$G$8:$G$27,0,0,1)</f>
        <v>0</v>
      </c>
      <c r="M46" s="336">
        <f>_xlfn.XLOOKUP(B46,'Capital Costs'!$B$8:$B$35,'Capital Costs'!$E$8:$E$35,0,0,1)</f>
        <v>0</v>
      </c>
      <c r="N46" s="339">
        <f t="shared" si="0"/>
        <v>0</v>
      </c>
      <c r="O46" s="340">
        <f>N46*((1+0.07)^-(B46-Assumptions!$C$6))+K46</f>
        <v>0</v>
      </c>
      <c r="P46" s="314"/>
    </row>
    <row r="47" spans="2:18" x14ac:dyDescent="0.25">
      <c r="B47" s="10"/>
      <c r="C47" s="44">
        <f t="shared" ref="C47:M47" si="2">SUM(C7:C46)</f>
        <v>35227382.726666607</v>
      </c>
      <c r="D47" s="44">
        <f t="shared" si="2"/>
        <v>4346603.6608765041</v>
      </c>
      <c r="E47" s="44">
        <f t="shared" si="2"/>
        <v>4480123.3504580008</v>
      </c>
      <c r="F47" s="44">
        <f t="shared" si="2"/>
        <v>3418120.6391163492</v>
      </c>
      <c r="G47" s="44">
        <f t="shared" si="2"/>
        <v>8760399.5880748592</v>
      </c>
      <c r="H47" s="44">
        <f t="shared" si="2"/>
        <v>733763.32566391525</v>
      </c>
      <c r="I47" s="44">
        <f t="shared" si="2"/>
        <v>4206922.1100000003</v>
      </c>
      <c r="J47" s="44">
        <f t="shared" si="2"/>
        <v>233979.39270646879</v>
      </c>
      <c r="K47" s="44">
        <f t="shared" si="2"/>
        <v>243144.59079288333</v>
      </c>
      <c r="L47" s="161">
        <f t="shared" si="2"/>
        <v>782517.36286715022</v>
      </c>
      <c r="M47" s="161">
        <f t="shared" si="2"/>
        <v>7686764.0413972167</v>
      </c>
      <c r="N47" s="55" t="s">
        <v>2</v>
      </c>
      <c r="O47" s="5">
        <f>SUM(O7:O46)</f>
        <v>24714227.726910375</v>
      </c>
    </row>
    <row r="48" spans="2:18" x14ac:dyDescent="0.25">
      <c r="B48" s="10"/>
      <c r="C48" s="14"/>
      <c r="D48" s="14"/>
      <c r="E48" s="14"/>
      <c r="F48" s="14"/>
      <c r="G48" s="47"/>
      <c r="H48" s="47"/>
      <c r="I48" s="47"/>
      <c r="J48" s="47"/>
      <c r="K48" s="47"/>
      <c r="N48" s="70" t="s">
        <v>681</v>
      </c>
      <c r="O48" s="70">
        <f>'Delay Reduction Savings'!G27+'Corridor Travel Time Savings'!G27+'Crash Costs'!D27+'Pedestrian Amenities'!D27+'Operating Cost-Roughness'!H26+'Operating Costs-Fuel'!E27+'Quality of Life Benefits '!H27+'Air Quality'!P25+'Operation and Maintenance'!H28+'Capital Costs'!F36</f>
        <v>24714227.726910383</v>
      </c>
    </row>
    <row r="49" spans="2:19" x14ac:dyDescent="0.25">
      <c r="B49" s="10"/>
      <c r="C49" s="47"/>
      <c r="D49" s="47"/>
      <c r="E49" s="47"/>
      <c r="F49" s="47"/>
      <c r="G49" s="47"/>
      <c r="H49" s="47"/>
      <c r="I49" s="47"/>
      <c r="J49" s="47"/>
      <c r="K49" s="13"/>
      <c r="N49" s="14"/>
      <c r="O49" s="161">
        <f>O47-O48</f>
        <v>0</v>
      </c>
    </row>
    <row r="50" spans="2:19" x14ac:dyDescent="0.25">
      <c r="B50" s="10"/>
      <c r="C50" s="47"/>
      <c r="D50" s="47"/>
      <c r="E50" s="47"/>
      <c r="F50" s="47"/>
      <c r="G50" s="47"/>
      <c r="H50" s="47"/>
      <c r="I50" s="47"/>
      <c r="J50" s="13"/>
      <c r="L50" s="14"/>
    </row>
    <row r="51" spans="2:19" ht="15.75" x14ac:dyDescent="0.25">
      <c r="B51" s="36" t="s">
        <v>8</v>
      </c>
      <c r="C51" s="36"/>
      <c r="D51" s="11"/>
      <c r="E51" s="11"/>
      <c r="F51" s="11"/>
      <c r="G51" s="11"/>
      <c r="H51" s="11"/>
      <c r="I51" s="5"/>
      <c r="J51" s="5"/>
      <c r="K51" s="5"/>
      <c r="R51" t="s">
        <v>1225</v>
      </c>
      <c r="S51" s="161">
        <f>ROUND('Corridor Travel Time Savings'!G27,-5)</f>
        <v>13200000</v>
      </c>
    </row>
    <row r="52" spans="2:19" ht="15.75" customHeight="1" thickBot="1" x14ac:dyDescent="0.3">
      <c r="D52" s="35"/>
      <c r="E52" s="46"/>
      <c r="F52" s="46"/>
      <c r="G52" s="46"/>
      <c r="H52" s="46"/>
      <c r="I52" s="46"/>
      <c r="R52" t="s">
        <v>688</v>
      </c>
      <c r="S52" s="161">
        <f>ROUND('Delay Reduction Savings'!G27,-5)</f>
        <v>1400000</v>
      </c>
    </row>
    <row r="53" spans="2:19" x14ac:dyDescent="0.25">
      <c r="B53" s="449" t="s">
        <v>0</v>
      </c>
      <c r="C53" s="449" t="s">
        <v>9</v>
      </c>
      <c r="D53" s="451" t="s">
        <v>1</v>
      </c>
      <c r="E53" s="73"/>
      <c r="R53" t="s">
        <v>743</v>
      </c>
      <c r="S53" s="161">
        <f>ROUND('Operating Cost-Roughness'!H26,-5)</f>
        <v>1700000</v>
      </c>
    </row>
    <row r="54" spans="2:19" ht="15.75" customHeight="1" thickBot="1" x14ac:dyDescent="0.3">
      <c r="B54" s="450"/>
      <c r="C54" s="450"/>
      <c r="D54" s="452"/>
      <c r="E54" s="73"/>
      <c r="R54" t="s">
        <v>742</v>
      </c>
      <c r="S54" s="161">
        <f>ROUND('Operating Costs-Fuel'!E27,-5)</f>
        <v>1300000</v>
      </c>
    </row>
    <row r="55" spans="2:19" ht="15.75" customHeight="1" x14ac:dyDescent="0.25">
      <c r="B55" s="67">
        <f xml:space="preserve"> 'Capital Costs'!$B$8</f>
        <v>2021</v>
      </c>
      <c r="C55" s="68">
        <f>VLOOKUP($B55,'Capital Costs'!$B$8:$F$36,'Capital Costs'!$C$1,FALSE)</f>
        <v>0</v>
      </c>
      <c r="D55" s="71">
        <f>C55*(1+0.07)^-(B55-Assumptions!$C$6)</f>
        <v>0</v>
      </c>
      <c r="E55" s="72"/>
      <c r="R55" t="s">
        <v>36</v>
      </c>
      <c r="S55" s="161">
        <f>ROUND('Crash Costs'!D27,-5)</f>
        <v>3300000</v>
      </c>
    </row>
    <row r="56" spans="2:19" ht="15.75" customHeight="1" x14ac:dyDescent="0.25">
      <c r="B56" s="119">
        <f>B55+1</f>
        <v>2022</v>
      </c>
      <c r="C56" s="106">
        <f>VLOOKUP($B56,'Capital Costs'!$B$8:$F$36,'Capital Costs'!$C$1,FALSE)</f>
        <v>0</v>
      </c>
      <c r="D56" s="107">
        <f>C56*(1+0.07)^-(B56-Assumptions!$C$6)</f>
        <v>0</v>
      </c>
      <c r="E56" s="72"/>
      <c r="R56" t="s">
        <v>399</v>
      </c>
      <c r="S56" s="161">
        <f>ROUND('Quality of Life Benefits '!H27,-5)</f>
        <v>300000</v>
      </c>
    </row>
    <row r="57" spans="2:19" x14ac:dyDescent="0.25">
      <c r="B57" s="2">
        <f t="shared" ref="B57:B82" si="3">B56+1</f>
        <v>2023</v>
      </c>
      <c r="C57" s="106">
        <f>VLOOKUP($B57,'Capital Costs'!$B$8:$F$36,'Capital Costs'!$C$1,FALSE)</f>
        <v>0</v>
      </c>
      <c r="D57" s="107">
        <f>C57*(1+0.07)^-(B57-Assumptions!$C$6)</f>
        <v>0</v>
      </c>
      <c r="E57" s="5"/>
      <c r="R57" t="s">
        <v>1206</v>
      </c>
      <c r="S57" s="161">
        <f>ROUND('Pedestrian Amenities'!D27,-5)</f>
        <v>1600000</v>
      </c>
    </row>
    <row r="58" spans="2:19" ht="15" customHeight="1" x14ac:dyDescent="0.25">
      <c r="B58" s="2">
        <f t="shared" si="3"/>
        <v>2024</v>
      </c>
      <c r="C58" s="106">
        <f>VLOOKUP($B58,'Capital Costs'!$B$8:$F$36,'Capital Costs'!$C$1,FALSE)</f>
        <v>0</v>
      </c>
      <c r="D58" s="107">
        <f>C58*(1+0.07)^-(B58-Assumptions!$C$6)</f>
        <v>0</v>
      </c>
      <c r="E58" s="5"/>
      <c r="R58" t="s">
        <v>1224</v>
      </c>
      <c r="S58" s="161">
        <f>ROUND('Air Quality'!P25,-5)</f>
        <v>300000</v>
      </c>
    </row>
    <row r="59" spans="2:19" ht="15" customHeight="1" x14ac:dyDescent="0.25">
      <c r="B59" s="2">
        <f t="shared" si="3"/>
        <v>2025</v>
      </c>
      <c r="C59" s="106">
        <f>VLOOKUP($B59,'Capital Costs'!$B$8:$F$36,'Capital Costs'!$C$1,FALSE)</f>
        <v>14194808.2610345</v>
      </c>
      <c r="D59" s="107">
        <f>C59*(1+0.07)^-(B59-Assumptions!$C$6)</f>
        <v>10829151.258275878</v>
      </c>
      <c r="E59" s="5"/>
      <c r="R59" t="s">
        <v>57</v>
      </c>
      <c r="S59" s="161">
        <f>ROUND('Operation and Maintenance'!H28,-5)</f>
        <v>300000</v>
      </c>
    </row>
    <row r="60" spans="2:19" ht="15" customHeight="1" x14ac:dyDescent="0.25">
      <c r="B60" s="2">
        <f t="shared" si="3"/>
        <v>2026</v>
      </c>
      <c r="C60" s="106">
        <f>VLOOKUP($B60,'Capital Costs'!$B$8:$F$36,'Capital Costs'!$C$1,FALSE)</f>
        <v>14194808.2610345</v>
      </c>
      <c r="D60" s="107">
        <f>C60*(1+0.07)^-(B60-Assumptions!$C$6)</f>
        <v>10120702.110538203</v>
      </c>
      <c r="E60" s="5"/>
      <c r="R60" t="s">
        <v>687</v>
      </c>
      <c r="S60" s="161">
        <f>ROUND('Capital Costs'!F36,-5)</f>
        <v>1400000</v>
      </c>
    </row>
    <row r="61" spans="2:19" ht="15" customHeight="1" x14ac:dyDescent="0.25">
      <c r="B61" s="2">
        <f t="shared" si="3"/>
        <v>2027</v>
      </c>
      <c r="C61" s="106">
        <f>VLOOKUP($B61,'Capital Costs'!$B$8:$F$36,'Capital Costs'!$C$1,FALSE)</f>
        <v>0</v>
      </c>
      <c r="D61" s="107">
        <f>C61*(1+0.07)^-(B61-Assumptions!$C$6)</f>
        <v>0</v>
      </c>
      <c r="E61" s="5"/>
      <c r="R61" t="s">
        <v>31</v>
      </c>
      <c r="S61" s="161">
        <f>ROUND(SUM(S51:S60),-6)</f>
        <v>25000000</v>
      </c>
    </row>
    <row r="62" spans="2:19" ht="15" customHeight="1" x14ac:dyDescent="0.25">
      <c r="B62" s="2">
        <f t="shared" si="3"/>
        <v>2028</v>
      </c>
      <c r="C62" s="106">
        <f>VLOOKUP($B62,'Capital Costs'!$B$8:$F$36,'Capital Costs'!$C$1,FALSE)</f>
        <v>0</v>
      </c>
      <c r="D62" s="107">
        <f>C62*(1+0.07)^-(B62-Assumptions!$C$6)</f>
        <v>0</v>
      </c>
      <c r="E62" s="5"/>
    </row>
    <row r="63" spans="2:19" ht="15" customHeight="1" x14ac:dyDescent="0.25">
      <c r="B63" s="2">
        <f t="shared" si="3"/>
        <v>2029</v>
      </c>
      <c r="C63" s="106">
        <f>VLOOKUP($B63,'Capital Costs'!$B$8:$F$36,'Capital Costs'!$C$1,FALSE)</f>
        <v>0</v>
      </c>
      <c r="D63" s="107">
        <f>C63*(1+0.07)^-(B63-Assumptions!$C$6)</f>
        <v>0</v>
      </c>
      <c r="E63" s="5"/>
    </row>
    <row r="64" spans="2:19" ht="15" customHeight="1" x14ac:dyDescent="0.25">
      <c r="B64" s="2">
        <f t="shared" si="3"/>
        <v>2030</v>
      </c>
      <c r="C64" s="106">
        <f>VLOOKUP($B64,'Capital Costs'!$B$8:$F$36,'Capital Costs'!$C$1,FALSE)</f>
        <v>0</v>
      </c>
      <c r="D64" s="107">
        <f>C64*(1+0.07)^-(B64-Assumptions!$C$6)</f>
        <v>0</v>
      </c>
      <c r="E64" s="5"/>
    </row>
    <row r="65" spans="1:12" ht="15" customHeight="1" x14ac:dyDescent="0.25">
      <c r="B65" s="2">
        <f t="shared" si="3"/>
        <v>2031</v>
      </c>
      <c r="C65" s="106">
        <f>VLOOKUP($B65,'Capital Costs'!$B$8:$F$36,'Capital Costs'!$C$1,FALSE)</f>
        <v>0</v>
      </c>
      <c r="D65" s="107">
        <f>C65*(1+0.07)^-(B65-Assumptions!$C$6)</f>
        <v>0</v>
      </c>
      <c r="E65" s="5"/>
    </row>
    <row r="66" spans="1:12" ht="15" customHeight="1" x14ac:dyDescent="0.25">
      <c r="B66" s="2">
        <f t="shared" si="3"/>
        <v>2032</v>
      </c>
      <c r="C66" s="106">
        <f>VLOOKUP($B66,'Capital Costs'!$B$8:$F$36,'Capital Costs'!$C$1,FALSE)</f>
        <v>0</v>
      </c>
      <c r="D66" s="107">
        <f>C66*(1+0.07)^-(B66-Assumptions!$C$6)</f>
        <v>0</v>
      </c>
      <c r="E66" s="5"/>
      <c r="L66" s="14"/>
    </row>
    <row r="67" spans="1:12" ht="15" customHeight="1" x14ac:dyDescent="0.25">
      <c r="B67" s="2">
        <f t="shared" si="3"/>
        <v>2033</v>
      </c>
      <c r="C67" s="106">
        <f>VLOOKUP($B67,'Capital Costs'!$B$8:$F$36,'Capital Costs'!$C$1,FALSE)</f>
        <v>0</v>
      </c>
      <c r="D67" s="107">
        <f>C67*(1+0.07)^-(B67-Assumptions!$C$6)</f>
        <v>0</v>
      </c>
      <c r="E67" s="5"/>
      <c r="L67" s="70"/>
    </row>
    <row r="68" spans="1:12" ht="15" customHeight="1" x14ac:dyDescent="0.25">
      <c r="B68" s="2">
        <f t="shared" si="3"/>
        <v>2034</v>
      </c>
      <c r="C68" s="106">
        <f>VLOOKUP($B68,'Capital Costs'!$B$8:$F$36,'Capital Costs'!$C$1,FALSE)</f>
        <v>0</v>
      </c>
      <c r="D68" s="107">
        <f>C68*(1+0.07)^-(B68-Assumptions!$C$6)</f>
        <v>0</v>
      </c>
      <c r="E68" s="5"/>
      <c r="L68" s="14"/>
    </row>
    <row r="69" spans="1:12" ht="15" customHeight="1" x14ac:dyDescent="0.25">
      <c r="B69" s="2">
        <f t="shared" si="3"/>
        <v>2035</v>
      </c>
      <c r="C69" s="106">
        <f>VLOOKUP($B69,'Capital Costs'!$B$8:$F$36,'Capital Costs'!$C$1,FALSE)</f>
        <v>0</v>
      </c>
      <c r="D69" s="107">
        <f>C69*(1+0.07)^-(B69-Assumptions!$C$6)</f>
        <v>0</v>
      </c>
      <c r="E69" s="5"/>
      <c r="L69" s="14"/>
    </row>
    <row r="70" spans="1:12" x14ac:dyDescent="0.25">
      <c r="B70" s="2">
        <f t="shared" si="3"/>
        <v>2036</v>
      </c>
      <c r="C70" s="106">
        <f>VLOOKUP($B70,'Capital Costs'!$B$8:$F$36,'Capital Costs'!$C$1,FALSE)</f>
        <v>0</v>
      </c>
      <c r="D70" s="107">
        <f>C70*(1+0.07)^-(B70-Assumptions!$C$6)</f>
        <v>0</v>
      </c>
      <c r="E70" s="5"/>
      <c r="L70" s="5"/>
    </row>
    <row r="71" spans="1:12" x14ac:dyDescent="0.25">
      <c r="B71" s="2">
        <f t="shared" si="3"/>
        <v>2037</v>
      </c>
      <c r="C71" s="106">
        <f>VLOOKUP($B71,'Capital Costs'!$B$8:$F$36,'Capital Costs'!$C$1,FALSE)</f>
        <v>0</v>
      </c>
      <c r="D71" s="107">
        <f>C71*(1+0.07)^-(B71-Assumptions!$C$6)</f>
        <v>0</v>
      </c>
      <c r="E71" s="5"/>
      <c r="L71" s="5"/>
    </row>
    <row r="72" spans="1:12" x14ac:dyDescent="0.25">
      <c r="B72" s="2">
        <f t="shared" si="3"/>
        <v>2038</v>
      </c>
      <c r="C72" s="106">
        <f>VLOOKUP($B72,'Capital Costs'!$B$8:$F$36,'Capital Costs'!$C$1,FALSE)</f>
        <v>0</v>
      </c>
      <c r="D72" s="107">
        <f>C72*(1+0.07)^-(B72-Assumptions!$C$6)</f>
        <v>0</v>
      </c>
      <c r="E72" s="5"/>
    </row>
    <row r="73" spans="1:12" x14ac:dyDescent="0.25">
      <c r="A73" s="7"/>
      <c r="B73" s="2">
        <f t="shared" si="3"/>
        <v>2039</v>
      </c>
      <c r="C73" s="106">
        <f>VLOOKUP($B73,'Capital Costs'!$B$8:$F$36,'Capital Costs'!$C$1,FALSE)</f>
        <v>0</v>
      </c>
      <c r="D73" s="107">
        <f>C73*(1+0.07)^-(B73-Assumptions!$C$6)</f>
        <v>0</v>
      </c>
      <c r="E73" s="5"/>
    </row>
    <row r="74" spans="1:12" x14ac:dyDescent="0.25">
      <c r="B74" s="2">
        <f t="shared" si="3"/>
        <v>2040</v>
      </c>
      <c r="C74" s="106">
        <f>VLOOKUP($B74,'Capital Costs'!$B$8:$F$36,'Capital Costs'!$C$1,FALSE)</f>
        <v>0</v>
      </c>
      <c r="D74" s="107">
        <f>C74*(1+0.07)^-(B74-Assumptions!$C$6)</f>
        <v>0</v>
      </c>
      <c r="E74" s="5"/>
    </row>
    <row r="75" spans="1:12" ht="15" customHeight="1" x14ac:dyDescent="0.25">
      <c r="B75" s="2">
        <f t="shared" si="3"/>
        <v>2041</v>
      </c>
      <c r="C75" s="106">
        <f>VLOOKUP($B75,'Capital Costs'!$B$8:$F$36,'Capital Costs'!$C$1,FALSE)</f>
        <v>0</v>
      </c>
      <c r="D75" s="107">
        <f>C75*(1+0.07)^-(B75-Assumptions!$C$6)</f>
        <v>0</v>
      </c>
      <c r="E75" s="5"/>
    </row>
    <row r="76" spans="1:12" x14ac:dyDescent="0.25">
      <c r="B76" s="2">
        <f t="shared" si="3"/>
        <v>2042</v>
      </c>
      <c r="C76" s="106">
        <f>VLOOKUP($B76,'Capital Costs'!$B$8:$F$36,'Capital Costs'!$C$1,FALSE)</f>
        <v>0</v>
      </c>
      <c r="D76" s="107">
        <f>C76*(1+0.07)^-(B76-Assumptions!$C$6)</f>
        <v>0</v>
      </c>
      <c r="E76" s="5"/>
    </row>
    <row r="77" spans="1:12" x14ac:dyDescent="0.25">
      <c r="B77" s="2">
        <f t="shared" si="3"/>
        <v>2043</v>
      </c>
      <c r="C77" s="106">
        <f>VLOOKUP($B77,'Capital Costs'!$B$8:$F$36,'Capital Costs'!$C$1,FALSE)</f>
        <v>0</v>
      </c>
      <c r="D77" s="107">
        <f>C77*(1+0.07)^-(B77-Assumptions!$C$6)</f>
        <v>0</v>
      </c>
      <c r="E77" s="5"/>
    </row>
    <row r="78" spans="1:12" x14ac:dyDescent="0.25">
      <c r="B78" s="2">
        <f t="shared" si="3"/>
        <v>2044</v>
      </c>
      <c r="C78" s="106">
        <f>VLOOKUP($B78,'Capital Costs'!$B$8:$F$36,'Capital Costs'!$C$1,FALSE)</f>
        <v>0</v>
      </c>
      <c r="D78" s="107">
        <f>C78*(1+0.07)^-(B78-Assumptions!$C$6)</f>
        <v>0</v>
      </c>
      <c r="E78" s="5"/>
    </row>
    <row r="79" spans="1:12" x14ac:dyDescent="0.25">
      <c r="A79" s="7"/>
      <c r="B79" s="2">
        <f t="shared" si="3"/>
        <v>2045</v>
      </c>
      <c r="C79" s="106">
        <f>VLOOKUP($B79,'Capital Costs'!$B$8:$F$36,'Capital Costs'!$C$1,FALSE)</f>
        <v>0</v>
      </c>
      <c r="D79" s="107">
        <f>C79*(1+0.07)^-(B79-Assumptions!$C$6)</f>
        <v>0</v>
      </c>
      <c r="F79" s="70"/>
      <c r="G79" s="70"/>
      <c r="H79" s="70"/>
      <c r="I79" s="70"/>
      <c r="J79" s="14"/>
      <c r="K79" s="14"/>
    </row>
    <row r="80" spans="1:12" x14ac:dyDescent="0.25">
      <c r="B80" s="2">
        <f t="shared" si="3"/>
        <v>2046</v>
      </c>
      <c r="C80" s="106">
        <f>VLOOKUP($B80,'Capital Costs'!$B$8:$F$36,'Capital Costs'!$C$1,FALSE)</f>
        <v>0</v>
      </c>
      <c r="D80" s="107">
        <f>C80*(1+0.07)^-(B80-Assumptions!$C$6)</f>
        <v>0</v>
      </c>
      <c r="F80" s="20"/>
      <c r="G80" s="20"/>
      <c r="H80" s="20"/>
      <c r="I80" s="20"/>
      <c r="K80" s="13"/>
    </row>
    <row r="81" spans="2:11" x14ac:dyDescent="0.25">
      <c r="B81" s="2">
        <f t="shared" si="3"/>
        <v>2047</v>
      </c>
      <c r="C81" s="106">
        <f>VLOOKUP($B81,'Capital Costs'!$B$8:$F$36,'Capital Costs'!$C$1,FALSE)</f>
        <v>0</v>
      </c>
      <c r="D81" s="107">
        <f>C81*(1+0.07)^-(B81-Assumptions!$C$6)</f>
        <v>0</v>
      </c>
    </row>
    <row r="82" spans="2:11" ht="15.75" thickBot="1" x14ac:dyDescent="0.3">
      <c r="B82" s="3">
        <f t="shared" si="3"/>
        <v>2048</v>
      </c>
      <c r="C82" s="122">
        <f>VLOOKUP($B82,'Capital Costs'!$B$8:$F$36,'Capital Costs'!$C$1,FALSE)</f>
        <v>0</v>
      </c>
      <c r="D82" s="133">
        <f>C82*(1+0.07)^-(B82-Assumptions!$C$6)</f>
        <v>0</v>
      </c>
      <c r="E82" s="40"/>
      <c r="F82" s="40"/>
      <c r="G82" s="40"/>
      <c r="H82" s="40"/>
      <c r="J82" s="13"/>
      <c r="K82" s="13"/>
    </row>
    <row r="83" spans="2:11" ht="15.75" thickBot="1" x14ac:dyDescent="0.3">
      <c r="C83" s="74" t="s">
        <v>4</v>
      </c>
      <c r="D83" s="132">
        <f>SUM(D55:D82)</f>
        <v>20949853.368814081</v>
      </c>
      <c r="E83" s="120">
        <f>'Capital Costs'!D36</f>
        <v>20949853.368814081</v>
      </c>
      <c r="F83" s="38"/>
      <c r="G83" s="38"/>
      <c r="H83" s="38"/>
      <c r="I83" s="38"/>
    </row>
    <row r="84" spans="2:11" x14ac:dyDescent="0.25">
      <c r="E84" s="38"/>
      <c r="F84" s="38"/>
      <c r="G84" s="38"/>
      <c r="H84" s="39"/>
      <c r="I84" s="38"/>
    </row>
    <row r="85" spans="2:11" ht="15.75" x14ac:dyDescent="0.25">
      <c r="B85" s="12" t="s">
        <v>14</v>
      </c>
      <c r="C85" s="12"/>
      <c r="E85" s="39"/>
      <c r="F85" s="39"/>
      <c r="G85" s="39"/>
      <c r="H85" s="39"/>
      <c r="I85" s="39"/>
    </row>
    <row r="86" spans="2:11" ht="15.75" thickBot="1" x14ac:dyDescent="0.3"/>
    <row r="87" spans="2:11" ht="15.75" thickBot="1" x14ac:dyDescent="0.3">
      <c r="B87" s="15"/>
      <c r="C87" s="138" t="s">
        <v>273</v>
      </c>
      <c r="D87" s="40"/>
    </row>
    <row r="88" spans="2:11" x14ac:dyDescent="0.25">
      <c r="B88" s="16" t="s">
        <v>10</v>
      </c>
      <c r="C88" s="139">
        <f>O47</f>
        <v>24714227.726910375</v>
      </c>
    </row>
    <row r="89" spans="2:11" ht="15.75" thickBot="1" x14ac:dyDescent="0.3">
      <c r="B89" s="17" t="s">
        <v>11</v>
      </c>
      <c r="C89" s="140">
        <f>+D83</f>
        <v>20949853.368814081</v>
      </c>
    </row>
    <row r="90" spans="2:11" ht="15.75" thickTop="1" x14ac:dyDescent="0.25">
      <c r="B90" s="127" t="s">
        <v>12</v>
      </c>
      <c r="C90" s="128">
        <f>+C88/C89</f>
        <v>1.1796849978768795</v>
      </c>
    </row>
    <row r="91" spans="2:11" ht="15.75" thickBot="1" x14ac:dyDescent="0.3">
      <c r="B91" s="129" t="s">
        <v>75</v>
      </c>
      <c r="C91" s="130">
        <f>C88-C89</f>
        <v>3764374.3580962941</v>
      </c>
    </row>
    <row r="93" spans="2:11" ht="15.75" thickBot="1" x14ac:dyDescent="0.3">
      <c r="B93" s="34"/>
      <c r="C93" s="34"/>
      <c r="D93" s="34"/>
    </row>
    <row r="94" spans="2:11" ht="15.75" thickBot="1" x14ac:dyDescent="0.3">
      <c r="B94" s="142"/>
      <c r="C94" s="141" t="s">
        <v>273</v>
      </c>
    </row>
    <row r="95" spans="2:11" x14ac:dyDescent="0.25">
      <c r="B95" s="143" t="s">
        <v>10</v>
      </c>
      <c r="C95" s="146">
        <f>MROUND(C88,100000)</f>
        <v>24700000</v>
      </c>
      <c r="E95" s="161"/>
      <c r="F95" s="95"/>
      <c r="G95" s="95"/>
    </row>
    <row r="96" spans="2:11" ht="15.75" thickBot="1" x14ac:dyDescent="0.3">
      <c r="B96" s="144" t="s">
        <v>11</v>
      </c>
      <c r="C96" s="140">
        <f>MROUND(C89,100000)</f>
        <v>20900000</v>
      </c>
      <c r="E96" s="95"/>
      <c r="F96" s="95"/>
      <c r="G96" s="95"/>
    </row>
    <row r="97" spans="2:12" ht="15.75" thickTop="1" x14ac:dyDescent="0.25">
      <c r="B97" s="145" t="s">
        <v>12</v>
      </c>
      <c r="C97" s="128">
        <f>+C95/C96</f>
        <v>1.1818181818181819</v>
      </c>
    </row>
    <row r="98" spans="2:12" ht="15.75" thickBot="1" x14ac:dyDescent="0.3">
      <c r="B98" s="129" t="s">
        <v>75</v>
      </c>
      <c r="C98" s="130">
        <f>C95-C96</f>
        <v>3800000</v>
      </c>
      <c r="L98" s="14"/>
    </row>
    <row r="99" spans="2:12" ht="15.75" thickBot="1" x14ac:dyDescent="0.3">
      <c r="L99" s="13"/>
    </row>
    <row r="100" spans="2:12" ht="15.75" thickBot="1" x14ac:dyDescent="0.3">
      <c r="B100" s="142"/>
      <c r="C100" s="141" t="s">
        <v>273</v>
      </c>
    </row>
    <row r="101" spans="2:12" x14ac:dyDescent="0.25">
      <c r="B101" s="143" t="s">
        <v>90</v>
      </c>
      <c r="C101" s="158">
        <f>C95/10^6</f>
        <v>24.7</v>
      </c>
    </row>
    <row r="102" spans="2:12" ht="15.75" thickBot="1" x14ac:dyDescent="0.3">
      <c r="B102" s="144" t="s">
        <v>91</v>
      </c>
      <c r="C102" s="159">
        <f>C96/10^6</f>
        <v>20.9</v>
      </c>
      <c r="L102" s="14"/>
    </row>
    <row r="103" spans="2:12" ht="15.75" thickTop="1" x14ac:dyDescent="0.25">
      <c r="B103" s="145" t="s">
        <v>12</v>
      </c>
      <c r="C103" s="148">
        <f t="shared" ref="C103" si="4">C97</f>
        <v>1.1818181818181819</v>
      </c>
    </row>
    <row r="104" spans="2:12" ht="15.75" thickBot="1" x14ac:dyDescent="0.3">
      <c r="B104" s="129" t="s">
        <v>92</v>
      </c>
      <c r="C104" s="160">
        <f>C98/10^6</f>
        <v>3.8</v>
      </c>
      <c r="L104" s="14"/>
    </row>
  </sheetData>
  <mergeCells count="21">
    <mergeCell ref="C4:F4"/>
    <mergeCell ref="H4:J4"/>
    <mergeCell ref="K4:L4"/>
    <mergeCell ref="M4:N4"/>
    <mergeCell ref="M5:M6"/>
    <mergeCell ref="H5:H6"/>
    <mergeCell ref="N5:N6"/>
    <mergeCell ref="O5:O6"/>
    <mergeCell ref="L5:L6"/>
    <mergeCell ref="I5:I6"/>
    <mergeCell ref="B53:B54"/>
    <mergeCell ref="C53:C54"/>
    <mergeCell ref="B5:B6"/>
    <mergeCell ref="D53:D54"/>
    <mergeCell ref="K5:K6"/>
    <mergeCell ref="F5:F6"/>
    <mergeCell ref="C5:C6"/>
    <mergeCell ref="G5:G6"/>
    <mergeCell ref="J5:J6"/>
    <mergeCell ref="D5:D6"/>
    <mergeCell ref="E5:E6"/>
  </mergeCells>
  <pageMargins left="0.25" right="0.25" top="0.75" bottom="0.75" header="0.3" footer="0.3"/>
  <pageSetup paperSize="119"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O58"/>
  <sheetViews>
    <sheetView view="pageBreakPreview" topLeftCell="A3" zoomScale="85" zoomScaleNormal="85" zoomScaleSheetLayoutView="85" workbookViewId="0">
      <selection activeCell="C43" sqref="C43:G45"/>
    </sheetView>
  </sheetViews>
  <sheetFormatPr defaultColWidth="9.140625" defaultRowHeight="15" x14ac:dyDescent="0.25"/>
  <cols>
    <col min="1" max="1" width="5.7109375" customWidth="1"/>
    <col min="2" max="2" width="16.140625" customWidth="1"/>
    <col min="3" max="8" width="15.85546875" customWidth="1"/>
    <col min="10" max="10" width="21.85546875" customWidth="1"/>
    <col min="11" max="11" width="23.7109375" customWidth="1"/>
    <col min="12" max="12" width="17.5703125" customWidth="1"/>
    <col min="13" max="13" width="30.5703125" customWidth="1"/>
    <col min="14" max="14" width="14" bestFit="1" customWidth="1"/>
    <col min="15" max="15" width="10.28515625" bestFit="1" customWidth="1"/>
    <col min="16" max="16" width="18.28515625" bestFit="1" customWidth="1"/>
    <col min="17" max="17" width="5.140625" bestFit="1" customWidth="1"/>
    <col min="18" max="23" width="10.85546875" customWidth="1"/>
  </cols>
  <sheetData>
    <row r="1" spans="2:15" x14ac:dyDescent="0.25">
      <c r="B1" s="6"/>
    </row>
    <row r="2" spans="2:15" x14ac:dyDescent="0.25">
      <c r="B2" s="59"/>
      <c r="C2" s="471" t="s">
        <v>95</v>
      </c>
      <c r="D2" s="472"/>
      <c r="E2" s="473"/>
      <c r="F2" s="477" t="s">
        <v>94</v>
      </c>
      <c r="G2" s="477"/>
      <c r="H2" s="477"/>
    </row>
    <row r="3" spans="2:15" x14ac:dyDescent="0.25">
      <c r="B3" s="59"/>
      <c r="C3" s="80" t="s">
        <v>29</v>
      </c>
      <c r="D3" s="80" t="s">
        <v>30</v>
      </c>
      <c r="E3" s="80" t="s">
        <v>49</v>
      </c>
      <c r="F3" s="477" t="s">
        <v>662</v>
      </c>
      <c r="G3" s="477"/>
      <c r="H3" s="477"/>
    </row>
    <row r="4" spans="2:15" x14ac:dyDescent="0.25">
      <c r="B4" s="110" t="s">
        <v>63</v>
      </c>
      <c r="C4" s="80" t="s">
        <v>31</v>
      </c>
      <c r="D4" s="80" t="s">
        <v>31</v>
      </c>
      <c r="E4" s="80" t="s">
        <v>31</v>
      </c>
      <c r="F4" s="80" t="s">
        <v>29</v>
      </c>
      <c r="G4" s="80" t="s">
        <v>30</v>
      </c>
      <c r="H4" s="80" t="s">
        <v>49</v>
      </c>
    </row>
    <row r="5" spans="2:15" x14ac:dyDescent="0.25">
      <c r="B5" s="81">
        <v>2021</v>
      </c>
      <c r="C5" s="109">
        <f>'Annualized Operations'!N27*'Corridor Travel Time Savings'!J9*365</f>
        <v>4653750</v>
      </c>
      <c r="D5" s="109">
        <f>'Annualized Operations'!O27*'Corridor Travel Time Savings'!L9*365</f>
        <v>4653750</v>
      </c>
      <c r="E5" s="109">
        <f>C5-D5</f>
        <v>0</v>
      </c>
      <c r="F5" s="109">
        <f>'Corridor Travel Time Savings'!$J$10*N27*365</f>
        <v>206833.33333333331</v>
      </c>
      <c r="G5" s="109">
        <f>'Corridor Travel Time Savings'!$L$10*O27*365</f>
        <v>155125</v>
      </c>
      <c r="H5" s="109">
        <f>F5-G5</f>
        <v>51708.333333333314</v>
      </c>
    </row>
    <row r="6" spans="2:15" x14ac:dyDescent="0.25">
      <c r="B6" s="81">
        <v>2045</v>
      </c>
      <c r="C6" s="109">
        <f>'Annualized Operations'!N28*'Corridor Travel Time Savings'!J9*365</f>
        <v>5256000</v>
      </c>
      <c r="D6" s="109">
        <f>'Annualized Operations'!O28*'Corridor Travel Time Savings'!L9*365</f>
        <v>5256000</v>
      </c>
      <c r="E6" s="109">
        <f>C6-D6</f>
        <v>0</v>
      </c>
      <c r="F6" s="109">
        <f>'Corridor Travel Time Savings'!$J$10*N28*365</f>
        <v>233600</v>
      </c>
      <c r="G6" s="109">
        <f>'Corridor Travel Time Savings'!$L$10*O28*365</f>
        <v>175200</v>
      </c>
      <c r="H6" s="109">
        <f>F6-G6</f>
        <v>58400</v>
      </c>
    </row>
    <row r="7" spans="2:15" x14ac:dyDescent="0.25">
      <c r="B7" s="82" t="s">
        <v>50</v>
      </c>
      <c r="C7" s="118">
        <f>((C6-C5)/C5)/($B6-$B5)</f>
        <v>5.3921568627450988E-3</v>
      </c>
      <c r="D7" s="118">
        <f t="shared" ref="D7" si="0">((D6-D5)/D5)/($B6-$B5)</f>
        <v>5.3921568627450988E-3</v>
      </c>
      <c r="E7" s="118" t="e">
        <f>((E6-E5)/E5)/($B6-$B5)</f>
        <v>#DIV/0!</v>
      </c>
      <c r="F7" s="118">
        <f>((G6-G5)/G5)/($B6-$B5)</f>
        <v>5.3921568627450988E-3</v>
      </c>
      <c r="G7" s="118">
        <f>((H6-H5)/H5)/($B6-$B5)</f>
        <v>5.3921568627451162E-3</v>
      </c>
      <c r="H7" s="118">
        <f>((H6-H5)/H5)/($B6-$B5)</f>
        <v>5.3921568627451162E-3</v>
      </c>
    </row>
    <row r="8" spans="2:15" x14ac:dyDescent="0.25">
      <c r="B8" s="6" t="s">
        <v>51</v>
      </c>
      <c r="C8" s="6"/>
    </row>
    <row r="9" spans="2:15" ht="19.5" thickBot="1" x14ac:dyDescent="0.35">
      <c r="C9" s="121"/>
      <c r="D9" s="121"/>
      <c r="E9" s="121"/>
      <c r="F9" s="167"/>
      <c r="G9" s="167"/>
      <c r="H9" s="167"/>
      <c r="K9" s="235"/>
      <c r="M9" s="474" t="s">
        <v>748</v>
      </c>
      <c r="N9" s="474"/>
      <c r="O9" s="22"/>
    </row>
    <row r="10" spans="2:15" ht="18.75" customHeight="1" thickBot="1" x14ac:dyDescent="0.3">
      <c r="B10" s="491" t="s">
        <v>0</v>
      </c>
      <c r="C10" s="494" t="s">
        <v>71</v>
      </c>
      <c r="D10" s="495"/>
      <c r="E10" s="496"/>
      <c r="F10" s="481" t="s">
        <v>54</v>
      </c>
      <c r="G10" s="482"/>
      <c r="H10" s="483"/>
      <c r="J10" s="475" t="s">
        <v>1226</v>
      </c>
      <c r="K10" s="476"/>
      <c r="M10" s="61" t="s">
        <v>77</v>
      </c>
      <c r="N10" s="62">
        <v>18.8</v>
      </c>
      <c r="O10" s="207"/>
    </row>
    <row r="11" spans="2:15" ht="18.75" customHeight="1" thickBot="1" x14ac:dyDescent="0.3">
      <c r="B11" s="492"/>
      <c r="C11" s="499" t="s">
        <v>29</v>
      </c>
      <c r="D11" s="497" t="s">
        <v>30</v>
      </c>
      <c r="E11" s="501" t="s">
        <v>52</v>
      </c>
      <c r="F11" s="478" t="s">
        <v>663</v>
      </c>
      <c r="G11" s="479"/>
      <c r="H11" s="480"/>
      <c r="J11" s="486" t="s">
        <v>29</v>
      </c>
      <c r="K11" s="488" t="s">
        <v>30</v>
      </c>
      <c r="M11" s="61" t="s">
        <v>45</v>
      </c>
      <c r="N11" s="63">
        <v>32.4</v>
      </c>
      <c r="O11" s="56"/>
    </row>
    <row r="12" spans="2:15" ht="35.1" customHeight="1" thickBot="1" x14ac:dyDescent="0.3">
      <c r="B12" s="493"/>
      <c r="C12" s="500"/>
      <c r="D12" s="498"/>
      <c r="E12" s="502"/>
      <c r="F12" s="162" t="s">
        <v>29</v>
      </c>
      <c r="G12" s="164" t="s">
        <v>30</v>
      </c>
      <c r="H12" s="165" t="s">
        <v>52</v>
      </c>
      <c r="J12" s="487"/>
      <c r="K12" s="489"/>
      <c r="M12" s="50"/>
      <c r="N12" s="56"/>
      <c r="O12" s="236"/>
    </row>
    <row r="13" spans="2:15" ht="17.25" x14ac:dyDescent="0.25">
      <c r="B13" s="1">
        <f>Assumptions!C10</f>
        <v>2027</v>
      </c>
      <c r="C13" s="168">
        <f>TREND(C$5:C$6,$B$5:$B$6,$B13)</f>
        <v>4804312.5</v>
      </c>
      <c r="D13" s="169">
        <f>TREND(D$5:D$6,$B$5:$B$6,$B13)</f>
        <v>4804312.5</v>
      </c>
      <c r="E13" s="398">
        <f>D13-C13</f>
        <v>0</v>
      </c>
      <c r="F13" s="168">
        <f>TREND(F$5:F$6,$B$5:$B$6,$B13)</f>
        <v>213524.99999999977</v>
      </c>
      <c r="G13" s="169">
        <f>TREND(G$5:G$6,$B$5:$B$6,$B13)</f>
        <v>160143.75</v>
      </c>
      <c r="H13" s="418">
        <f>G13-F13</f>
        <v>-53381.249999999767</v>
      </c>
      <c r="J13" s="170">
        <f>F13*'Annualized Operations'!$N$31</f>
        <v>1351257.7308749983</v>
      </c>
      <c r="K13" s="108">
        <f>G13*'Annualized Operations'!$N$31</f>
        <v>1013443.2981562499</v>
      </c>
      <c r="M13" s="474" t="s">
        <v>749</v>
      </c>
      <c r="N13" s="474"/>
      <c r="O13" s="22"/>
    </row>
    <row r="14" spans="2:15" x14ac:dyDescent="0.25">
      <c r="B14" s="2">
        <f>B13+1</f>
        <v>2028</v>
      </c>
      <c r="C14" s="170">
        <f t="shared" ref="C14:D32" si="1">TREND(C$5:C$6,$B$5:$B$6,$B14)</f>
        <v>4829406.25</v>
      </c>
      <c r="D14" s="171">
        <f t="shared" si="1"/>
        <v>4829406.25</v>
      </c>
      <c r="E14" s="399">
        <f t="shared" ref="E14:E32" si="2">D14-C14</f>
        <v>0</v>
      </c>
      <c r="F14" s="170">
        <f t="shared" ref="F14:G32" si="3">TREND(F$5:F$6,$B$5:$B$6,$B14)</f>
        <v>214640.27777777775</v>
      </c>
      <c r="G14" s="171">
        <f>TREND(G$5:G$6,$B$5:$B$6,$B14)</f>
        <v>160980.20833333326</v>
      </c>
      <c r="H14" s="108">
        <f t="shared" ref="H14:H32" si="4">G14-F14</f>
        <v>-53660.069444444496</v>
      </c>
      <c r="J14" s="170">
        <f>F14*'Annualized Operations'!$N$31</f>
        <v>1358315.582270833</v>
      </c>
      <c r="K14" s="108">
        <f>G14*'Annualized Operations'!$N$31</f>
        <v>1018736.6867031243</v>
      </c>
      <c r="M14" s="61" t="s">
        <v>43</v>
      </c>
      <c r="N14" s="58">
        <f>1-N15</f>
        <v>0.96</v>
      </c>
      <c r="O14" s="208"/>
    </row>
    <row r="15" spans="2:15" x14ac:dyDescent="0.25">
      <c r="B15" s="2">
        <f t="shared" ref="B15:B32" si="5">B14+1</f>
        <v>2029</v>
      </c>
      <c r="C15" s="170">
        <f t="shared" si="1"/>
        <v>4854500</v>
      </c>
      <c r="D15" s="171">
        <f t="shared" si="1"/>
        <v>4854500</v>
      </c>
      <c r="E15" s="399">
        <f t="shared" si="2"/>
        <v>0</v>
      </c>
      <c r="F15" s="170">
        <f t="shared" si="3"/>
        <v>215755.55555555527</v>
      </c>
      <c r="G15" s="171">
        <f t="shared" si="3"/>
        <v>161816.66666666674</v>
      </c>
      <c r="H15" s="108">
        <f t="shared" si="4"/>
        <v>-53938.888888888527</v>
      </c>
      <c r="J15" s="170">
        <f>F15*'Annualized Operations'!$N$31</f>
        <v>1365373.4336666646</v>
      </c>
      <c r="K15" s="108">
        <f>G15*'Annualized Operations'!$N$31</f>
        <v>1024030.0752500003</v>
      </c>
      <c r="M15" s="61" t="s">
        <v>44</v>
      </c>
      <c r="N15" s="58">
        <v>0.04</v>
      </c>
      <c r="O15" s="208"/>
    </row>
    <row r="16" spans="2:15" x14ac:dyDescent="0.25">
      <c r="B16" s="2">
        <f t="shared" si="5"/>
        <v>2030</v>
      </c>
      <c r="C16" s="170">
        <f t="shared" si="1"/>
        <v>4879593.75</v>
      </c>
      <c r="D16" s="171">
        <f t="shared" si="1"/>
        <v>4879593.75</v>
      </c>
      <c r="E16" s="399">
        <f t="shared" si="2"/>
        <v>0</v>
      </c>
      <c r="F16" s="170">
        <f t="shared" si="3"/>
        <v>216870.83333333326</v>
      </c>
      <c r="G16" s="171">
        <f t="shared" si="3"/>
        <v>162653.125</v>
      </c>
      <c r="H16" s="108">
        <f t="shared" si="4"/>
        <v>-54217.708333333256</v>
      </c>
      <c r="J16" s="170">
        <f>F16*'Annualized Operations'!$N$31</f>
        <v>1372431.2850624993</v>
      </c>
      <c r="K16" s="108">
        <f>G16*'Annualized Operations'!$N$31</f>
        <v>1029323.4637968749</v>
      </c>
      <c r="M16" s="50"/>
      <c r="N16" s="51"/>
      <c r="O16" s="51"/>
    </row>
    <row r="17" spans="2:15" ht="17.25" x14ac:dyDescent="0.25">
      <c r="B17" s="2">
        <f t="shared" si="5"/>
        <v>2031</v>
      </c>
      <c r="C17" s="170">
        <f t="shared" si="1"/>
        <v>4904687.5</v>
      </c>
      <c r="D17" s="171">
        <f t="shared" si="1"/>
        <v>4904687.5</v>
      </c>
      <c r="E17" s="399">
        <f t="shared" si="2"/>
        <v>0</v>
      </c>
      <c r="F17" s="170">
        <f t="shared" si="3"/>
        <v>217986.11111111124</v>
      </c>
      <c r="G17" s="171">
        <f t="shared" si="3"/>
        <v>163489.58333333326</v>
      </c>
      <c r="H17" s="108">
        <f t="shared" si="4"/>
        <v>-54496.527777777985</v>
      </c>
      <c r="J17" s="170">
        <f>F17*'Annualized Operations'!$N$31</f>
        <v>1379489.136458334</v>
      </c>
      <c r="K17" s="108">
        <f>G17*'Annualized Operations'!$N$31</f>
        <v>1034616.8523437494</v>
      </c>
      <c r="M17" s="474" t="s">
        <v>750</v>
      </c>
      <c r="N17" s="474"/>
      <c r="O17" s="22"/>
    </row>
    <row r="18" spans="2:15" x14ac:dyDescent="0.25">
      <c r="B18" s="2">
        <f t="shared" si="5"/>
        <v>2032</v>
      </c>
      <c r="C18" s="170">
        <f t="shared" si="1"/>
        <v>4929781.25</v>
      </c>
      <c r="D18" s="171">
        <f t="shared" si="1"/>
        <v>4929781.25</v>
      </c>
      <c r="E18" s="399">
        <f t="shared" si="2"/>
        <v>0</v>
      </c>
      <c r="F18" s="170">
        <f t="shared" si="3"/>
        <v>219101.38888888876</v>
      </c>
      <c r="G18" s="171">
        <f t="shared" si="3"/>
        <v>164326.04166666674</v>
      </c>
      <c r="H18" s="108">
        <f t="shared" si="4"/>
        <v>-54775.347222222015</v>
      </c>
      <c r="J18" s="170">
        <f>F18*'Annualized Operations'!$N$31</f>
        <v>1386546.9878541657</v>
      </c>
      <c r="K18" s="108">
        <f>G18*'Annualized Operations'!$N$31</f>
        <v>1039910.2408906254</v>
      </c>
      <c r="M18" s="61" t="s">
        <v>47</v>
      </c>
      <c r="N18" s="64">
        <v>1.67</v>
      </c>
      <c r="O18" s="209"/>
    </row>
    <row r="19" spans="2:15" x14ac:dyDescent="0.25">
      <c r="B19" s="2">
        <f>B18+1</f>
        <v>2033</v>
      </c>
      <c r="C19" s="170">
        <f t="shared" si="1"/>
        <v>4954875</v>
      </c>
      <c r="D19" s="171">
        <f t="shared" si="1"/>
        <v>4954875</v>
      </c>
      <c r="E19" s="399">
        <f t="shared" si="2"/>
        <v>0</v>
      </c>
      <c r="F19" s="170">
        <f t="shared" si="3"/>
        <v>220216.66666666674</v>
      </c>
      <c r="G19" s="171">
        <f t="shared" si="3"/>
        <v>165162.5</v>
      </c>
      <c r="H19" s="108">
        <f t="shared" si="4"/>
        <v>-55054.166666666744</v>
      </c>
      <c r="J19" s="170">
        <f>F19*'Annualized Operations'!$N$31</f>
        <v>1393604.8392500002</v>
      </c>
      <c r="K19" s="108">
        <f>G19*'Annualized Operations'!$N$31</f>
        <v>1045203.6294374999</v>
      </c>
      <c r="M19" s="61" t="s">
        <v>48</v>
      </c>
      <c r="N19" s="64">
        <v>1</v>
      </c>
      <c r="O19" s="209"/>
    </row>
    <row r="20" spans="2:15" x14ac:dyDescent="0.25">
      <c r="B20" s="2">
        <f t="shared" si="5"/>
        <v>2034</v>
      </c>
      <c r="C20" s="170">
        <f t="shared" si="1"/>
        <v>4979968.75</v>
      </c>
      <c r="D20" s="171">
        <f t="shared" si="1"/>
        <v>4979968.75</v>
      </c>
      <c r="E20" s="399">
        <f t="shared" si="2"/>
        <v>0</v>
      </c>
      <c r="F20" s="170">
        <f t="shared" si="3"/>
        <v>221331.94444444426</v>
      </c>
      <c r="G20" s="171">
        <f t="shared" si="3"/>
        <v>165998.95833333326</v>
      </c>
      <c r="H20" s="108">
        <f t="shared" si="4"/>
        <v>-55332.986111111008</v>
      </c>
      <c r="J20" s="170">
        <f>F20*'Annualized Operations'!$N$31</f>
        <v>1400662.6906458321</v>
      </c>
      <c r="K20" s="108">
        <f>G20*'Annualized Operations'!$N$31</f>
        <v>1050497.0179843744</v>
      </c>
      <c r="M20" s="50"/>
      <c r="N20" s="51"/>
      <c r="O20" s="51"/>
    </row>
    <row r="21" spans="2:15" x14ac:dyDescent="0.25">
      <c r="B21" s="2">
        <f t="shared" si="5"/>
        <v>2035</v>
      </c>
      <c r="C21" s="170">
        <f t="shared" si="1"/>
        <v>5005062.5</v>
      </c>
      <c r="D21" s="171">
        <f t="shared" si="1"/>
        <v>5005062.5</v>
      </c>
      <c r="E21" s="399">
        <f t="shared" si="2"/>
        <v>0</v>
      </c>
      <c r="F21" s="170">
        <f t="shared" si="3"/>
        <v>222447.22222222225</v>
      </c>
      <c r="G21" s="171">
        <f t="shared" si="3"/>
        <v>166835.41666666674</v>
      </c>
      <c r="H21" s="108">
        <f t="shared" si="4"/>
        <v>-55611.805555555504</v>
      </c>
      <c r="J21" s="170">
        <f>F21*'Annualized Operations'!$N$31</f>
        <v>1407720.5420416666</v>
      </c>
      <c r="K21" s="108">
        <f>G21*'Annualized Operations'!$N$31</f>
        <v>1055790.4065312503</v>
      </c>
      <c r="M21" s="22" t="s">
        <v>751</v>
      </c>
      <c r="N21" s="20"/>
      <c r="O21" s="20"/>
    </row>
    <row r="22" spans="2:15" x14ac:dyDescent="0.25">
      <c r="B22" s="2">
        <f t="shared" si="5"/>
        <v>2036</v>
      </c>
      <c r="C22" s="170">
        <f t="shared" si="1"/>
        <v>5030156.25</v>
      </c>
      <c r="D22" s="171">
        <f t="shared" si="1"/>
        <v>5030156.25</v>
      </c>
      <c r="E22" s="399">
        <f t="shared" si="2"/>
        <v>0</v>
      </c>
      <c r="F22" s="170">
        <f t="shared" si="3"/>
        <v>223562.49999999977</v>
      </c>
      <c r="G22" s="171">
        <f t="shared" si="3"/>
        <v>167671.875</v>
      </c>
      <c r="H22" s="108">
        <f t="shared" si="4"/>
        <v>-55890.624999999767</v>
      </c>
      <c r="J22" s="170">
        <f>F22*'Annualized Operations'!$N$31</f>
        <v>1414778.3934374982</v>
      </c>
      <c r="K22" s="108">
        <f>G22*'Annualized Operations'!$N$31</f>
        <v>1061083.7950781249</v>
      </c>
      <c r="M22" s="45" t="s">
        <v>46</v>
      </c>
      <c r="N22" s="63">
        <f>N14*N10*N18+N15*N11*N19</f>
        <v>31.436159999999994</v>
      </c>
      <c r="O22" s="56"/>
    </row>
    <row r="23" spans="2:15" x14ac:dyDescent="0.25">
      <c r="B23" s="2">
        <f t="shared" si="5"/>
        <v>2037</v>
      </c>
      <c r="C23" s="170">
        <f t="shared" si="1"/>
        <v>5055250</v>
      </c>
      <c r="D23" s="171">
        <f t="shared" si="1"/>
        <v>5055250</v>
      </c>
      <c r="E23" s="399">
        <f t="shared" si="2"/>
        <v>0</v>
      </c>
      <c r="F23" s="170">
        <f t="shared" si="3"/>
        <v>224677.77777777775</v>
      </c>
      <c r="G23" s="171">
        <f t="shared" si="3"/>
        <v>168508.33333333326</v>
      </c>
      <c r="H23" s="108">
        <f t="shared" si="4"/>
        <v>-56169.444444444496</v>
      </c>
      <c r="J23" s="170">
        <f>F23*'Annualized Operations'!$N$31</f>
        <v>1421836.244833333</v>
      </c>
      <c r="K23" s="108">
        <f>G23*'Annualized Operations'!$N$31</f>
        <v>1066377.1836249994</v>
      </c>
      <c r="M23" s="50"/>
      <c r="N23" s="51"/>
      <c r="O23" s="51"/>
    </row>
    <row r="24" spans="2:15" x14ac:dyDescent="0.25">
      <c r="B24" s="2">
        <f t="shared" si="5"/>
        <v>2038</v>
      </c>
      <c r="C24" s="170">
        <f t="shared" si="1"/>
        <v>5080343.75</v>
      </c>
      <c r="D24" s="171">
        <f t="shared" si="1"/>
        <v>5080343.75</v>
      </c>
      <c r="E24" s="399">
        <f t="shared" si="2"/>
        <v>0</v>
      </c>
      <c r="F24" s="170">
        <f t="shared" si="3"/>
        <v>225793.05555555527</v>
      </c>
      <c r="G24" s="171">
        <f t="shared" si="3"/>
        <v>169344.79166666674</v>
      </c>
      <c r="H24" s="108">
        <f t="shared" si="4"/>
        <v>-56448.263888888527</v>
      </c>
      <c r="J24" s="170">
        <f>F24*'Annualized Operations'!$N$31</f>
        <v>1428894.0962291646</v>
      </c>
      <c r="K24" s="108">
        <f>G24*'Annualized Operations'!$N$31</f>
        <v>1071670.5721718753</v>
      </c>
      <c r="M24" s="50"/>
      <c r="N24" s="20"/>
      <c r="O24" s="20"/>
    </row>
    <row r="25" spans="2:15" ht="17.25" x14ac:dyDescent="0.25">
      <c r="B25" s="2">
        <f t="shared" si="5"/>
        <v>2039</v>
      </c>
      <c r="C25" s="170">
        <f t="shared" si="1"/>
        <v>5105437.5</v>
      </c>
      <c r="D25" s="171">
        <f t="shared" si="1"/>
        <v>5105437.5</v>
      </c>
      <c r="E25" s="399">
        <f t="shared" si="2"/>
        <v>0</v>
      </c>
      <c r="F25" s="170">
        <f t="shared" si="3"/>
        <v>226908.33333333326</v>
      </c>
      <c r="G25" s="171">
        <f t="shared" si="3"/>
        <v>170181.25</v>
      </c>
      <c r="H25" s="108">
        <f t="shared" si="4"/>
        <v>-56727.083333333256</v>
      </c>
      <c r="J25" s="170">
        <f>F25*'Annualized Operations'!$N$31</f>
        <v>1435951.9476249993</v>
      </c>
      <c r="K25" s="108">
        <f>G25*'Annualized Operations'!$N$31</f>
        <v>1076963.9607187498</v>
      </c>
      <c r="M25" s="22" t="s">
        <v>752</v>
      </c>
      <c r="N25" s="20"/>
      <c r="O25" s="20"/>
    </row>
    <row r="26" spans="2:15" x14ac:dyDescent="0.25">
      <c r="B26" s="2">
        <f t="shared" si="5"/>
        <v>2040</v>
      </c>
      <c r="C26" s="170">
        <f t="shared" si="1"/>
        <v>5130531.25</v>
      </c>
      <c r="D26" s="171">
        <f t="shared" si="1"/>
        <v>5130531.25</v>
      </c>
      <c r="E26" s="399">
        <f t="shared" si="2"/>
        <v>0</v>
      </c>
      <c r="F26" s="170">
        <f t="shared" si="3"/>
        <v>228023.61111111124</v>
      </c>
      <c r="G26" s="171">
        <f t="shared" si="3"/>
        <v>171017.70833333326</v>
      </c>
      <c r="H26" s="108">
        <f t="shared" si="4"/>
        <v>-57005.902777777985</v>
      </c>
      <c r="J26" s="170">
        <f>F26*'Annualized Operations'!$N$31</f>
        <v>1443009.799020834</v>
      </c>
      <c r="K26" s="108">
        <f>G26*'Annualized Operations'!$N$31</f>
        <v>1082257.3492656243</v>
      </c>
      <c r="M26" s="93" t="s">
        <v>63</v>
      </c>
      <c r="N26" s="93" t="s">
        <v>235</v>
      </c>
      <c r="O26" s="93" t="s">
        <v>236</v>
      </c>
    </row>
    <row r="27" spans="2:15" x14ac:dyDescent="0.25">
      <c r="B27" s="2">
        <f t="shared" si="5"/>
        <v>2041</v>
      </c>
      <c r="C27" s="170">
        <f t="shared" si="1"/>
        <v>5155625</v>
      </c>
      <c r="D27" s="171">
        <f t="shared" si="1"/>
        <v>5155625</v>
      </c>
      <c r="E27" s="399">
        <f t="shared" si="2"/>
        <v>0</v>
      </c>
      <c r="F27" s="170">
        <f t="shared" si="3"/>
        <v>229138.88888888876</v>
      </c>
      <c r="G27" s="171">
        <f t="shared" si="3"/>
        <v>171854.16666666674</v>
      </c>
      <c r="H27" s="108">
        <f t="shared" si="4"/>
        <v>-57284.722222222015</v>
      </c>
      <c r="J27" s="170">
        <f>F27*'Annualized Operations'!$N$31</f>
        <v>1450067.6504166657</v>
      </c>
      <c r="K27" s="108">
        <f>G27*'Annualized Operations'!$N$31</f>
        <v>1087550.7378125004</v>
      </c>
      <c r="M27" s="135">
        <f>Assumptions!C6</f>
        <v>2021</v>
      </c>
      <c r="N27" s="76">
        <f>AADTS!$B$20</f>
        <v>8500</v>
      </c>
      <c r="O27" s="76">
        <f>AADTS!$B$20</f>
        <v>8500</v>
      </c>
    </row>
    <row r="28" spans="2:15" x14ac:dyDescent="0.25">
      <c r="B28" s="2">
        <f t="shared" si="5"/>
        <v>2042</v>
      </c>
      <c r="C28" s="170">
        <f t="shared" si="1"/>
        <v>5180718.75</v>
      </c>
      <c r="D28" s="171">
        <f t="shared" si="1"/>
        <v>5180718.75</v>
      </c>
      <c r="E28" s="399">
        <f t="shared" si="2"/>
        <v>0</v>
      </c>
      <c r="F28" s="170">
        <f t="shared" si="3"/>
        <v>230254.16666666674</v>
      </c>
      <c r="G28" s="171">
        <f t="shared" si="3"/>
        <v>172690.625</v>
      </c>
      <c r="H28" s="108">
        <f t="shared" si="4"/>
        <v>-57563.541666666744</v>
      </c>
      <c r="J28" s="170">
        <f>F28*'Annualized Operations'!$N$31</f>
        <v>1457125.5018125002</v>
      </c>
      <c r="K28" s="108">
        <f>G28*'Annualized Operations'!$N$31</f>
        <v>1092844.126359375</v>
      </c>
      <c r="M28" s="135">
        <f>Assumptions!C11</f>
        <v>2046</v>
      </c>
      <c r="N28" s="76">
        <f>AADTS!$B$13</f>
        <v>9600</v>
      </c>
      <c r="O28" s="76">
        <f>AADTS!$B$13</f>
        <v>9600</v>
      </c>
    </row>
    <row r="29" spans="2:15" x14ac:dyDescent="0.25">
      <c r="B29" s="2">
        <f t="shared" si="5"/>
        <v>2043</v>
      </c>
      <c r="C29" s="170">
        <f t="shared" si="1"/>
        <v>5205812.5</v>
      </c>
      <c r="D29" s="171">
        <f t="shared" si="1"/>
        <v>5205812.5</v>
      </c>
      <c r="E29" s="399">
        <f t="shared" si="2"/>
        <v>0</v>
      </c>
      <c r="F29" s="170">
        <f t="shared" si="3"/>
        <v>231369.44444444426</v>
      </c>
      <c r="G29" s="171">
        <f t="shared" si="3"/>
        <v>173527.08333333326</v>
      </c>
      <c r="H29" s="108">
        <f t="shared" si="4"/>
        <v>-57842.361111111008</v>
      </c>
      <c r="J29" s="170">
        <f>F29*'Annualized Operations'!$N$31</f>
        <v>1464183.3532083321</v>
      </c>
      <c r="K29" s="108">
        <f>G29*'Annualized Operations'!$N$31</f>
        <v>1098137.5149062495</v>
      </c>
    </row>
    <row r="30" spans="2:15" ht="17.25" x14ac:dyDescent="0.25">
      <c r="B30" s="2">
        <f t="shared" si="5"/>
        <v>2044</v>
      </c>
      <c r="C30" s="170">
        <f t="shared" si="1"/>
        <v>5230906.25</v>
      </c>
      <c r="D30" s="171">
        <f t="shared" si="1"/>
        <v>5230906.25</v>
      </c>
      <c r="E30" s="399">
        <f t="shared" si="2"/>
        <v>0</v>
      </c>
      <c r="F30" s="170">
        <f t="shared" si="3"/>
        <v>232484.72222222225</v>
      </c>
      <c r="G30" s="171">
        <f t="shared" si="3"/>
        <v>174363.54166666674</v>
      </c>
      <c r="H30" s="108">
        <f t="shared" si="4"/>
        <v>-58121.180555555504</v>
      </c>
      <c r="J30" s="170">
        <f>F30*'Annualized Operations'!$N$31</f>
        <v>1471241.2046041666</v>
      </c>
      <c r="K30" s="108">
        <f>G30*'Annualized Operations'!$N$31</f>
        <v>1103430.9034531254</v>
      </c>
      <c r="M30" s="6" t="s">
        <v>753</v>
      </c>
    </row>
    <row r="31" spans="2:15" x14ac:dyDescent="0.25">
      <c r="B31" s="2">
        <f t="shared" si="5"/>
        <v>2045</v>
      </c>
      <c r="C31" s="170">
        <f t="shared" si="1"/>
        <v>5256000</v>
      </c>
      <c r="D31" s="171">
        <f t="shared" si="1"/>
        <v>5256000</v>
      </c>
      <c r="E31" s="399">
        <f t="shared" si="2"/>
        <v>0</v>
      </c>
      <c r="F31" s="170">
        <f t="shared" si="3"/>
        <v>233599.99999999977</v>
      </c>
      <c r="G31" s="171">
        <f t="shared" si="3"/>
        <v>175200</v>
      </c>
      <c r="H31" s="108">
        <f t="shared" si="4"/>
        <v>-58399.999999999767</v>
      </c>
      <c r="J31" s="170">
        <f>F31*'Annualized Operations'!$N$31</f>
        <v>1478299.0559999982</v>
      </c>
      <c r="K31" s="108">
        <f>G31*'Annualized Operations'!$N$31</f>
        <v>1108724.2919999999</v>
      </c>
      <c r="M31" s="135" t="s">
        <v>261</v>
      </c>
      <c r="N31" s="218">
        <f>'Air Quality'!J37*'Air Quality'!$J$42</f>
        <v>6.3283349999999992</v>
      </c>
      <c r="O31" s="135" t="s">
        <v>95</v>
      </c>
    </row>
    <row r="32" spans="2:15" ht="15.75" thickBot="1" x14ac:dyDescent="0.3">
      <c r="B32" s="3">
        <f t="shared" si="5"/>
        <v>2046</v>
      </c>
      <c r="C32" s="172">
        <f t="shared" si="1"/>
        <v>5281093.75</v>
      </c>
      <c r="D32" s="173">
        <f t="shared" si="1"/>
        <v>5281093.75</v>
      </c>
      <c r="E32" s="400">
        <f t="shared" si="2"/>
        <v>0</v>
      </c>
      <c r="F32" s="172">
        <f t="shared" si="3"/>
        <v>234715.27777777775</v>
      </c>
      <c r="G32" s="173">
        <f t="shared" si="3"/>
        <v>176036.45833333326</v>
      </c>
      <c r="H32" s="69">
        <f t="shared" si="4"/>
        <v>-58678.819444444496</v>
      </c>
      <c r="J32" s="172">
        <f>F32*'Annualized Operations'!$N$31</f>
        <v>1485356.9073958329</v>
      </c>
      <c r="K32" s="69">
        <f>G32*'Annualized Operations'!$N$31</f>
        <v>1114017.6805468744</v>
      </c>
    </row>
    <row r="33" spans="1:10" x14ac:dyDescent="0.25">
      <c r="B33" s="4"/>
      <c r="C33" s="4"/>
      <c r="D33" s="18"/>
      <c r="E33" s="5"/>
      <c r="F33" s="4"/>
    </row>
    <row r="34" spans="1:10" x14ac:dyDescent="0.25">
      <c r="J34" t="s">
        <v>1227</v>
      </c>
    </row>
    <row r="35" spans="1:10" x14ac:dyDescent="0.25">
      <c r="B35" s="6"/>
      <c r="F35" s="6"/>
    </row>
    <row r="36" spans="1:10" x14ac:dyDescent="0.25">
      <c r="A36" s="7"/>
      <c r="D36" s="60"/>
    </row>
    <row r="37" spans="1:10" ht="15" customHeight="1" x14ac:dyDescent="0.25">
      <c r="B37" s="484" t="s">
        <v>20</v>
      </c>
      <c r="C37" s="490" t="s">
        <v>689</v>
      </c>
      <c r="D37" s="490"/>
      <c r="E37" s="490"/>
      <c r="F37" s="490"/>
      <c r="G37" s="490"/>
    </row>
    <row r="38" spans="1:10" x14ac:dyDescent="0.25">
      <c r="B38" s="484"/>
      <c r="C38" s="490"/>
      <c r="D38" s="490"/>
      <c r="E38" s="490"/>
      <c r="F38" s="490"/>
      <c r="G38" s="490"/>
    </row>
    <row r="39" spans="1:10" x14ac:dyDescent="0.25">
      <c r="B39" s="484"/>
      <c r="C39" s="490"/>
      <c r="D39" s="490"/>
      <c r="E39" s="490"/>
      <c r="F39" s="490"/>
      <c r="G39" s="490"/>
    </row>
    <row r="40" spans="1:10" ht="15" customHeight="1" x14ac:dyDescent="0.25">
      <c r="B40" s="484" t="s">
        <v>19</v>
      </c>
      <c r="C40" s="503" t="s">
        <v>746</v>
      </c>
      <c r="D40" s="503"/>
      <c r="E40" s="503"/>
      <c r="F40" s="503"/>
      <c r="G40" s="503"/>
    </row>
    <row r="41" spans="1:10" x14ac:dyDescent="0.25">
      <c r="B41" s="484"/>
      <c r="C41" s="503"/>
      <c r="D41" s="503"/>
      <c r="E41" s="503"/>
      <c r="F41" s="503"/>
      <c r="G41" s="503"/>
      <c r="H41" s="19"/>
    </row>
    <row r="42" spans="1:10" x14ac:dyDescent="0.25">
      <c r="A42" s="7"/>
      <c r="B42" s="484"/>
      <c r="C42" s="503"/>
      <c r="D42" s="503"/>
      <c r="E42" s="503"/>
      <c r="F42" s="503"/>
      <c r="G42" s="503"/>
    </row>
    <row r="43" spans="1:10" x14ac:dyDescent="0.25">
      <c r="B43" s="484" t="s">
        <v>19</v>
      </c>
      <c r="C43" s="485" t="s">
        <v>1186</v>
      </c>
      <c r="D43" s="485"/>
      <c r="E43" s="485"/>
      <c r="F43" s="485"/>
      <c r="G43" s="485"/>
    </row>
    <row r="44" spans="1:10" x14ac:dyDescent="0.25">
      <c r="B44" s="484"/>
      <c r="C44" s="485"/>
      <c r="D44" s="485"/>
      <c r="E44" s="485"/>
      <c r="F44" s="485"/>
      <c r="G44" s="485"/>
    </row>
    <row r="45" spans="1:10" x14ac:dyDescent="0.25">
      <c r="B45" s="484"/>
      <c r="C45" s="485"/>
      <c r="D45" s="485"/>
      <c r="E45" s="485"/>
      <c r="F45" s="485"/>
      <c r="G45" s="485"/>
    </row>
    <row r="46" spans="1:10" ht="15" customHeight="1" x14ac:dyDescent="0.25">
      <c r="B46" s="484" t="s">
        <v>387</v>
      </c>
      <c r="C46" s="485" t="s">
        <v>690</v>
      </c>
      <c r="D46" s="485"/>
      <c r="E46" s="485"/>
      <c r="F46" s="485"/>
      <c r="G46" s="485"/>
    </row>
    <row r="47" spans="1:10" x14ac:dyDescent="0.25">
      <c r="B47" s="484"/>
      <c r="C47" s="485"/>
      <c r="D47" s="485"/>
      <c r="E47" s="485"/>
      <c r="F47" s="485"/>
      <c r="G47" s="485"/>
    </row>
    <row r="48" spans="1:10" x14ac:dyDescent="0.25">
      <c r="B48" s="484"/>
      <c r="C48" s="485"/>
      <c r="D48" s="485"/>
      <c r="E48" s="485"/>
      <c r="F48" s="485"/>
      <c r="G48" s="485"/>
    </row>
    <row r="49" spans="2:7" x14ac:dyDescent="0.25">
      <c r="B49" s="484"/>
      <c r="C49" s="485"/>
      <c r="D49" s="485"/>
      <c r="E49" s="485"/>
      <c r="F49" s="485"/>
      <c r="G49" s="485"/>
    </row>
    <row r="50" spans="2:7" x14ac:dyDescent="0.25">
      <c r="B50" s="484"/>
      <c r="C50" s="485"/>
      <c r="D50" s="485"/>
      <c r="E50" s="485"/>
      <c r="F50" s="485"/>
      <c r="G50" s="485"/>
    </row>
    <row r="51" spans="2:7" x14ac:dyDescent="0.25">
      <c r="B51" s="484"/>
      <c r="C51" s="485"/>
      <c r="D51" s="485"/>
      <c r="E51" s="485"/>
      <c r="F51" s="485"/>
      <c r="G51" s="485"/>
    </row>
    <row r="52" spans="2:7" ht="15" customHeight="1" x14ac:dyDescent="0.25">
      <c r="B52" s="484"/>
      <c r="C52" s="485"/>
      <c r="D52" s="485"/>
      <c r="E52" s="485"/>
      <c r="F52" s="485"/>
      <c r="G52" s="485"/>
    </row>
    <row r="53" spans="2:7" x14ac:dyDescent="0.25">
      <c r="B53" s="484"/>
      <c r="C53" s="485"/>
      <c r="D53" s="485"/>
      <c r="E53" s="485"/>
      <c r="F53" s="485"/>
      <c r="G53" s="485"/>
    </row>
    <row r="54" spans="2:7" x14ac:dyDescent="0.25">
      <c r="B54" s="484"/>
      <c r="C54" s="485"/>
      <c r="D54" s="485"/>
      <c r="E54" s="485"/>
      <c r="F54" s="485"/>
      <c r="G54" s="485"/>
    </row>
    <row r="58" spans="2:7" ht="15" customHeight="1" x14ac:dyDescent="0.25"/>
  </sheetData>
  <mergeCells count="24">
    <mergeCell ref="B43:B45"/>
    <mergeCell ref="C43:G45"/>
    <mergeCell ref="J11:J12"/>
    <mergeCell ref="K11:K12"/>
    <mergeCell ref="C46:G54"/>
    <mergeCell ref="B46:B54"/>
    <mergeCell ref="C37:G39"/>
    <mergeCell ref="B37:B39"/>
    <mergeCell ref="B40:B42"/>
    <mergeCell ref="B10:B12"/>
    <mergeCell ref="C10:E10"/>
    <mergeCell ref="D11:D12"/>
    <mergeCell ref="C11:C12"/>
    <mergeCell ref="E11:E12"/>
    <mergeCell ref="C40:G42"/>
    <mergeCell ref="C2:E2"/>
    <mergeCell ref="M17:N17"/>
    <mergeCell ref="M9:N9"/>
    <mergeCell ref="M13:N13"/>
    <mergeCell ref="J10:K10"/>
    <mergeCell ref="F2:H2"/>
    <mergeCell ref="F11:H11"/>
    <mergeCell ref="F10:H10"/>
    <mergeCell ref="F3:H3"/>
  </mergeCells>
  <pageMargins left="0.25" right="0.25" top="0.75" bottom="0.75" header="0.3" footer="0.3"/>
  <pageSetup paperSize="3"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7814E-2654-4909-B170-287683CA4473}">
  <sheetPr>
    <tabColor rgb="FF00B050"/>
    <pageSetUpPr fitToPage="1"/>
  </sheetPr>
  <dimension ref="A1:AX73"/>
  <sheetViews>
    <sheetView view="pageBreakPreview" zoomScale="85" zoomScaleNormal="85" zoomScaleSheetLayoutView="85" workbookViewId="0">
      <selection activeCell="G27" sqref="G27"/>
    </sheetView>
  </sheetViews>
  <sheetFormatPr defaultColWidth="9.140625" defaultRowHeight="15" x14ac:dyDescent="0.25"/>
  <cols>
    <col min="1" max="1" width="3.7109375" customWidth="1"/>
    <col min="2" max="2" width="12.140625" customWidth="1"/>
    <col min="3" max="3" width="13.28515625" bestFit="1" customWidth="1"/>
    <col min="4" max="4" width="14.7109375" bestFit="1" customWidth="1"/>
    <col min="5" max="5" width="9.7109375" bestFit="1" customWidth="1"/>
    <col min="6" max="6" width="13.42578125" bestFit="1" customWidth="1"/>
    <col min="7" max="7" width="14.140625" bestFit="1" customWidth="1"/>
    <col min="8" max="8" width="19.28515625" customWidth="1"/>
    <col min="9" max="9" width="5.140625" bestFit="1" customWidth="1"/>
    <col min="10" max="10" width="9" bestFit="1" customWidth="1"/>
    <col min="11" max="12" width="8" bestFit="1" customWidth="1"/>
    <col min="13" max="13" width="12.28515625" customWidth="1"/>
    <col min="14" max="14" width="12.42578125" bestFit="1" customWidth="1"/>
    <col min="15" max="17" width="6.140625" bestFit="1" customWidth="1"/>
    <col min="18" max="18" width="6.140625" customWidth="1"/>
    <col min="19" max="19" width="14.140625" bestFit="1" customWidth="1"/>
    <col min="20" max="20" width="12.42578125" bestFit="1" customWidth="1"/>
    <col min="21" max="21" width="15.5703125" bestFit="1" customWidth="1"/>
    <col min="22" max="22" width="22.140625" bestFit="1" customWidth="1"/>
    <col min="23" max="24" width="11.5703125" customWidth="1"/>
    <col min="25" max="25" width="11.5703125" bestFit="1" customWidth="1"/>
    <col min="26" max="26" width="17.85546875" bestFit="1" customWidth="1"/>
    <col min="27" max="27" width="11.5703125" bestFit="1" customWidth="1"/>
    <col min="28" max="28" width="14.28515625" bestFit="1" customWidth="1"/>
    <col min="29" max="29" width="12.85546875" bestFit="1" customWidth="1"/>
    <col min="30" max="30" width="11.28515625" bestFit="1" customWidth="1"/>
    <col min="31" max="31" width="8" customWidth="1"/>
    <col min="32" max="32" width="13.7109375" customWidth="1"/>
    <col min="33" max="33" width="7.85546875" customWidth="1"/>
    <col min="34" max="34" width="13.42578125" customWidth="1"/>
    <col min="35" max="36" width="12.5703125" bestFit="1" customWidth="1"/>
    <col min="37" max="39" width="11.5703125" bestFit="1" customWidth="1"/>
    <col min="40" max="40" width="12.5703125" bestFit="1" customWidth="1"/>
    <col min="41" max="41" width="12.5703125" customWidth="1"/>
    <col min="42" max="42" width="12.5703125" bestFit="1" customWidth="1"/>
    <col min="43" max="44" width="11.5703125" bestFit="1" customWidth="1"/>
    <col min="45" max="46" width="12.5703125" bestFit="1" customWidth="1"/>
    <col min="47" max="49" width="11.5703125" bestFit="1" customWidth="1"/>
    <col min="50" max="50" width="12.5703125" bestFit="1" customWidth="1"/>
  </cols>
  <sheetData>
    <row r="1" spans="2:39" ht="15.75" thickBot="1" x14ac:dyDescent="0.3"/>
    <row r="2" spans="2:39" ht="15.75" thickBot="1" x14ac:dyDescent="0.3">
      <c r="B2" s="6" t="s">
        <v>1183</v>
      </c>
      <c r="E2" s="6"/>
      <c r="F2" s="6"/>
      <c r="N2" s="506" t="s">
        <v>763</v>
      </c>
      <c r="O2" s="507"/>
      <c r="P2" s="507"/>
      <c r="Q2" s="507"/>
      <c r="R2" s="507"/>
      <c r="S2" s="507"/>
      <c r="T2" s="507"/>
      <c r="U2" s="507"/>
      <c r="V2" s="508"/>
      <c r="Z2" s="506" t="s">
        <v>773</v>
      </c>
      <c r="AA2" s="507"/>
      <c r="AB2" s="507"/>
      <c r="AC2" s="507"/>
      <c r="AD2" s="507"/>
      <c r="AE2" s="507"/>
      <c r="AF2" s="507"/>
      <c r="AG2" s="507"/>
      <c r="AH2" s="508"/>
    </row>
    <row r="3" spans="2:39" ht="15.75" thickBot="1" x14ac:dyDescent="0.3">
      <c r="B3" s="6"/>
      <c r="E3" s="6"/>
      <c r="F3" s="6"/>
      <c r="N3" s="30"/>
      <c r="O3" t="s">
        <v>760</v>
      </c>
      <c r="P3" t="s">
        <v>127</v>
      </c>
      <c r="Q3" t="s">
        <v>761</v>
      </c>
      <c r="R3" t="s">
        <v>762</v>
      </c>
      <c r="S3" t="s">
        <v>769</v>
      </c>
      <c r="T3" t="s">
        <v>770</v>
      </c>
      <c r="V3" s="31" t="s">
        <v>771</v>
      </c>
      <c r="Z3" s="28" t="s">
        <v>673</v>
      </c>
      <c r="AA3" s="300" t="s">
        <v>282</v>
      </c>
      <c r="AB3" s="300" t="s">
        <v>283</v>
      </c>
      <c r="AC3" s="300" t="s">
        <v>284</v>
      </c>
      <c r="AD3" s="300" t="s">
        <v>285</v>
      </c>
      <c r="AE3" s="300" t="s">
        <v>286</v>
      </c>
      <c r="AF3" s="300" t="s">
        <v>287</v>
      </c>
      <c r="AG3" s="300" t="s">
        <v>288</v>
      </c>
      <c r="AH3" s="29" t="s">
        <v>677</v>
      </c>
    </row>
    <row r="4" spans="2:39" ht="15.75" thickBot="1" x14ac:dyDescent="0.3">
      <c r="B4" s="506" t="s">
        <v>30</v>
      </c>
      <c r="C4" s="507"/>
      <c r="D4" s="507"/>
      <c r="E4" s="507"/>
      <c r="F4" s="507"/>
      <c r="G4" s="508"/>
      <c r="I4" s="511" t="s">
        <v>1179</v>
      </c>
      <c r="J4" s="511"/>
      <c r="K4" s="511"/>
      <c r="N4" s="30" t="s">
        <v>289</v>
      </c>
      <c r="O4">
        <v>2500</v>
      </c>
      <c r="P4">
        <v>2550</v>
      </c>
      <c r="Q4">
        <v>3150</v>
      </c>
      <c r="R4">
        <v>3150</v>
      </c>
      <c r="S4">
        <f>SUM(O4:R4)/2</f>
        <v>5675</v>
      </c>
      <c r="T4" s="147">
        <f>AH4</f>
        <v>3.3333333333333335</v>
      </c>
      <c r="U4" s="147"/>
      <c r="V4" s="408">
        <f>S4*T4/60/60*365</f>
        <v>1917.9398148148148</v>
      </c>
      <c r="Z4" s="30">
        <v>1</v>
      </c>
      <c r="AA4" t="s">
        <v>289</v>
      </c>
      <c r="AB4" t="s">
        <v>290</v>
      </c>
      <c r="AC4" t="s">
        <v>291</v>
      </c>
      <c r="AD4" t="s">
        <v>29</v>
      </c>
      <c r="AE4">
        <v>3.5</v>
      </c>
      <c r="AF4">
        <v>2.9</v>
      </c>
      <c r="AG4">
        <v>3.6</v>
      </c>
      <c r="AH4" s="303">
        <f>AVERAGE(AE4:AG4)</f>
        <v>3.3333333333333335</v>
      </c>
    </row>
    <row r="5" spans="2:39" ht="13.9" customHeight="1" x14ac:dyDescent="0.25">
      <c r="B5" s="491" t="s">
        <v>0</v>
      </c>
      <c r="C5" s="491" t="s">
        <v>670</v>
      </c>
      <c r="D5" s="499" t="s">
        <v>671</v>
      </c>
      <c r="E5" s="497" t="s">
        <v>49</v>
      </c>
      <c r="F5" s="497" t="s">
        <v>53</v>
      </c>
      <c r="G5" s="509" t="s">
        <v>1</v>
      </c>
      <c r="I5" s="45" t="s">
        <v>63</v>
      </c>
      <c r="J5" s="45" t="s">
        <v>29</v>
      </c>
      <c r="K5" s="45" t="s">
        <v>30</v>
      </c>
      <c r="N5" s="30" t="s">
        <v>766</v>
      </c>
      <c r="O5">
        <v>3150</v>
      </c>
      <c r="Q5">
        <v>8200</v>
      </c>
      <c r="R5">
        <v>3150</v>
      </c>
      <c r="S5">
        <f>SUM(O5:R5)/2</f>
        <v>7250</v>
      </c>
      <c r="T5" s="147">
        <f>AH5</f>
        <v>10.933333333333332</v>
      </c>
      <c r="U5" s="147"/>
      <c r="V5" s="408">
        <f>S5*T5/60/60*365</f>
        <v>8036.7592592592582</v>
      </c>
      <c r="Z5" s="30">
        <v>2</v>
      </c>
      <c r="AA5" t="s">
        <v>292</v>
      </c>
      <c r="AB5" t="s">
        <v>293</v>
      </c>
      <c r="AC5" t="s">
        <v>294</v>
      </c>
      <c r="AD5" t="s">
        <v>295</v>
      </c>
      <c r="AE5">
        <v>13.7</v>
      </c>
      <c r="AF5">
        <v>9.6</v>
      </c>
      <c r="AG5">
        <v>9.5</v>
      </c>
      <c r="AH5" s="303">
        <f t="shared" ref="AH5:AH11" si="0">AVERAGE(AE5:AG5)</f>
        <v>10.933333333333332</v>
      </c>
    </row>
    <row r="6" spans="2:39" ht="15.75" thickBot="1" x14ac:dyDescent="0.3">
      <c r="B6" s="493"/>
      <c r="C6" s="493"/>
      <c r="D6" s="500"/>
      <c r="E6" s="498"/>
      <c r="F6" s="498"/>
      <c r="G6" s="510"/>
      <c r="I6" s="45">
        <v>2019</v>
      </c>
      <c r="J6" s="417">
        <f>SUM(V4:V11)</f>
        <v>79395.864583333328</v>
      </c>
      <c r="K6" s="417">
        <f>SUM(V15:V22)</f>
        <v>79395.864583333328</v>
      </c>
      <c r="N6" s="30" t="s">
        <v>767</v>
      </c>
      <c r="O6">
        <v>3600</v>
      </c>
      <c r="P6">
        <v>3200</v>
      </c>
      <c r="Q6">
        <v>8200</v>
      </c>
      <c r="R6">
        <v>8200</v>
      </c>
      <c r="S6">
        <f t="shared" ref="S6:S9" si="1">SUM(O6:R6)/2</f>
        <v>11600</v>
      </c>
      <c r="T6" s="147">
        <f>AH6</f>
        <v>10.033333333333333</v>
      </c>
      <c r="U6" s="147"/>
      <c r="V6" s="408">
        <f t="shared" ref="V6:V11" si="2">S6*T6/60/60*365</f>
        <v>11800.314814814814</v>
      </c>
      <c r="Z6" s="30">
        <v>3</v>
      </c>
      <c r="AA6" t="s">
        <v>296</v>
      </c>
      <c r="AB6" t="s">
        <v>293</v>
      </c>
      <c r="AC6" t="s">
        <v>291</v>
      </c>
      <c r="AD6" t="s">
        <v>29</v>
      </c>
      <c r="AE6">
        <v>10.6</v>
      </c>
      <c r="AF6">
        <v>9.4</v>
      </c>
      <c r="AG6">
        <v>10.1</v>
      </c>
      <c r="AH6" s="303">
        <f t="shared" si="0"/>
        <v>10.033333333333333</v>
      </c>
    </row>
    <row r="7" spans="2:39" ht="18" customHeight="1" x14ac:dyDescent="0.25">
      <c r="B7" s="1">
        <f>Assumptions!C10</f>
        <v>2027</v>
      </c>
      <c r="C7" s="203">
        <f t="shared" ref="C7:C26" si="3">TREND($J$6:$J$7,$I$6:$I$7,B7)</f>
        <v>87645.967500746716</v>
      </c>
      <c r="D7" s="203">
        <f t="shared" ref="D7:D26" si="4">TREND($K$6:$K$7,$I$6:$I$7,B7)</f>
        <v>84485.564295646735</v>
      </c>
      <c r="E7" s="301">
        <f>$C7-D7</f>
        <v>3160.4032050999813</v>
      </c>
      <c r="F7" s="301">
        <f>E7*'Annualized Operations'!$N$22</f>
        <v>99350.940820035801</v>
      </c>
      <c r="G7" s="302">
        <f>F7*(1+0.07)^-(B7-2021)</f>
        <v>66201.726844285382</v>
      </c>
      <c r="I7" s="45">
        <v>2045</v>
      </c>
      <c r="J7" s="417">
        <f>SUM(V26:V33)</f>
        <v>106208.69906492704</v>
      </c>
      <c r="K7" s="417">
        <f>SUM(V37:V44)</f>
        <v>95937.388648352251</v>
      </c>
      <c r="L7" s="344"/>
      <c r="M7" s="344"/>
      <c r="N7" s="30" t="s">
        <v>768</v>
      </c>
      <c r="O7">
        <v>9800</v>
      </c>
      <c r="P7">
        <v>9500</v>
      </c>
      <c r="Q7">
        <v>9100</v>
      </c>
      <c r="R7">
        <v>8200</v>
      </c>
      <c r="S7">
        <f t="shared" si="1"/>
        <v>18300</v>
      </c>
      <c r="T7" s="147">
        <f>AH7</f>
        <v>20.3</v>
      </c>
      <c r="U7" s="147"/>
      <c r="V7" s="408">
        <f>S7*T7/60/60*365</f>
        <v>37664.958333333328</v>
      </c>
      <c r="Y7" s="344"/>
      <c r="Z7" s="30">
        <v>4</v>
      </c>
      <c r="AA7" t="s">
        <v>232</v>
      </c>
      <c r="AB7" t="s">
        <v>293</v>
      </c>
      <c r="AC7" t="s">
        <v>291</v>
      </c>
      <c r="AD7" t="s">
        <v>29</v>
      </c>
      <c r="AE7">
        <v>20.3</v>
      </c>
      <c r="AF7">
        <v>19</v>
      </c>
      <c r="AG7">
        <v>21.6</v>
      </c>
      <c r="AH7" s="303">
        <f t="shared" si="0"/>
        <v>20.3</v>
      </c>
      <c r="AI7" s="344"/>
      <c r="AJ7" s="344"/>
      <c r="AK7" s="344"/>
      <c r="AL7" s="344"/>
      <c r="AM7" s="344"/>
    </row>
    <row r="8" spans="2:39" x14ac:dyDescent="0.25">
      <c r="B8" s="2">
        <f>B7+1</f>
        <v>2028</v>
      </c>
      <c r="C8" s="202">
        <f t="shared" si="3"/>
        <v>88677.230365423486</v>
      </c>
      <c r="D8" s="202">
        <f t="shared" si="4"/>
        <v>85121.776759685948</v>
      </c>
      <c r="E8" s="304">
        <f t="shared" ref="E8:E26" si="5">$C8-D8</f>
        <v>3555.4536057375371</v>
      </c>
      <c r="F8" s="304">
        <f>E8*'Annualized Operations'!$N$22</f>
        <v>111769.80842254212</v>
      </c>
      <c r="G8" s="305">
        <f t="shared" ref="G8:G26" si="6">F8*(1+0.07)^-(B8-2021)</f>
        <v>69604.619345628293</v>
      </c>
      <c r="J8" s="344"/>
      <c r="K8" s="344"/>
      <c r="L8" s="344"/>
      <c r="M8" s="344"/>
      <c r="N8" s="30" t="s">
        <v>297</v>
      </c>
      <c r="O8">
        <v>2900</v>
      </c>
      <c r="P8">
        <v>2900</v>
      </c>
      <c r="Q8">
        <v>9100</v>
      </c>
      <c r="R8">
        <v>9100</v>
      </c>
      <c r="S8">
        <f t="shared" si="1"/>
        <v>12000</v>
      </c>
      <c r="T8" s="147">
        <v>6</v>
      </c>
      <c r="U8" s="147"/>
      <c r="V8" s="408">
        <f>S8*T8/60/60*365</f>
        <v>7300</v>
      </c>
      <c r="Y8" s="344"/>
      <c r="Z8" s="30">
        <v>5</v>
      </c>
      <c r="AA8" t="s">
        <v>297</v>
      </c>
      <c r="AB8" t="s">
        <v>298</v>
      </c>
      <c r="AC8" t="s">
        <v>290</v>
      </c>
      <c r="AD8" t="s">
        <v>295</v>
      </c>
      <c r="AE8">
        <v>5.2</v>
      </c>
      <c r="AF8">
        <v>6.6</v>
      </c>
      <c r="AG8">
        <v>6.2</v>
      </c>
      <c r="AH8" s="303">
        <f t="shared" si="0"/>
        <v>6</v>
      </c>
      <c r="AI8" s="344"/>
      <c r="AJ8" s="344"/>
      <c r="AK8" s="344"/>
      <c r="AL8" s="344"/>
      <c r="AM8" s="344"/>
    </row>
    <row r="9" spans="2:39" x14ac:dyDescent="0.25">
      <c r="B9" s="2">
        <f t="shared" ref="B9:B26" si="7">B8+1</f>
        <v>2029</v>
      </c>
      <c r="C9" s="202">
        <f t="shared" si="3"/>
        <v>89708.493230100023</v>
      </c>
      <c r="D9" s="202">
        <f t="shared" si="4"/>
        <v>85757.989223725162</v>
      </c>
      <c r="E9" s="304">
        <f t="shared" si="5"/>
        <v>3950.5040063748602</v>
      </c>
      <c r="F9" s="304">
        <f>E9*'Annualized Operations'!$N$22</f>
        <v>124188.6760250411</v>
      </c>
      <c r="G9" s="305">
        <f t="shared" si="6"/>
        <v>72278.940130451825</v>
      </c>
      <c r="J9" s="344"/>
      <c r="K9" s="344"/>
      <c r="L9" s="344"/>
      <c r="M9" s="344"/>
      <c r="N9" s="30" t="s">
        <v>299</v>
      </c>
      <c r="O9">
        <v>2050</v>
      </c>
      <c r="P9">
        <v>2050</v>
      </c>
      <c r="Q9">
        <v>9100</v>
      </c>
      <c r="R9">
        <v>9100</v>
      </c>
      <c r="S9">
        <f t="shared" si="1"/>
        <v>11150</v>
      </c>
      <c r="T9" s="147">
        <f>AH9</f>
        <v>1.4333333333333336</v>
      </c>
      <c r="U9" s="147"/>
      <c r="V9" s="408">
        <f t="shared" si="2"/>
        <v>1620.3634259259261</v>
      </c>
      <c r="Y9" s="344"/>
      <c r="Z9" s="30">
        <v>6</v>
      </c>
      <c r="AA9" t="s">
        <v>299</v>
      </c>
      <c r="AB9" t="s">
        <v>290</v>
      </c>
      <c r="AC9" t="s">
        <v>300</v>
      </c>
      <c r="AD9" t="s">
        <v>301</v>
      </c>
      <c r="AE9">
        <v>1.3</v>
      </c>
      <c r="AF9">
        <v>1.4</v>
      </c>
      <c r="AG9">
        <v>1.6</v>
      </c>
      <c r="AH9" s="303">
        <f t="shared" si="0"/>
        <v>1.4333333333333336</v>
      </c>
      <c r="AI9" s="344"/>
      <c r="AJ9" s="344"/>
      <c r="AK9" s="344"/>
      <c r="AL9" s="344"/>
      <c r="AM9" s="344"/>
    </row>
    <row r="10" spans="2:39" ht="14.25" customHeight="1" x14ac:dyDescent="0.25">
      <c r="B10" s="2">
        <f t="shared" si="7"/>
        <v>2030</v>
      </c>
      <c r="C10" s="202">
        <f t="shared" si="3"/>
        <v>90739.756094776792</v>
      </c>
      <c r="D10" s="202">
        <f t="shared" si="4"/>
        <v>86394.201687764376</v>
      </c>
      <c r="E10" s="304">
        <f t="shared" si="5"/>
        <v>4345.554407012416</v>
      </c>
      <c r="F10" s="304">
        <f>E10*'Annualized Operations'!$N$22</f>
        <v>136607.54362754742</v>
      </c>
      <c r="G10" s="305">
        <f t="shared" si="6"/>
        <v>74305.452470559161</v>
      </c>
      <c r="N10" s="30" t="s">
        <v>302</v>
      </c>
      <c r="O10">
        <v>1750</v>
      </c>
      <c r="Q10">
        <v>9500</v>
      </c>
      <c r="R10">
        <v>9100</v>
      </c>
      <c r="S10">
        <f>SUM(O10:R10)/2</f>
        <v>10175</v>
      </c>
      <c r="T10" s="147">
        <f>AH10</f>
        <v>1.1666666666666667</v>
      </c>
      <c r="U10" s="147"/>
      <c r="V10" s="408">
        <f t="shared" si="2"/>
        <v>1203.570601851852</v>
      </c>
      <c r="Z10" s="30">
        <v>7</v>
      </c>
      <c r="AA10" t="s">
        <v>302</v>
      </c>
      <c r="AB10" t="s">
        <v>290</v>
      </c>
      <c r="AC10" t="s">
        <v>291</v>
      </c>
      <c r="AD10" t="s">
        <v>29</v>
      </c>
      <c r="AE10">
        <v>1.1000000000000001</v>
      </c>
      <c r="AF10">
        <v>1.2</v>
      </c>
      <c r="AG10">
        <v>1.2</v>
      </c>
      <c r="AH10" s="303">
        <f>AVERAGE(AE10:AG10)</f>
        <v>1.1666666666666667</v>
      </c>
    </row>
    <row r="11" spans="2:39" ht="15.75" thickBot="1" x14ac:dyDescent="0.3">
      <c r="B11" s="2">
        <f t="shared" si="7"/>
        <v>2031</v>
      </c>
      <c r="C11" s="202">
        <f t="shared" si="3"/>
        <v>91771.018959453329</v>
      </c>
      <c r="D11" s="202">
        <f t="shared" si="4"/>
        <v>87030.41415180359</v>
      </c>
      <c r="E11" s="304">
        <f t="shared" si="5"/>
        <v>4740.6048076497391</v>
      </c>
      <c r="F11" s="304">
        <f>E11*'Annualized Operations'!$N$22</f>
        <v>149026.41123004639</v>
      </c>
      <c r="G11" s="305">
        <f t="shared" si="6"/>
        <v>75757.470658171442</v>
      </c>
      <c r="N11" s="32" t="s">
        <v>303</v>
      </c>
      <c r="O11" s="306">
        <v>4700</v>
      </c>
      <c r="P11" s="306">
        <v>4450</v>
      </c>
      <c r="Q11" s="306"/>
      <c r="R11" s="306">
        <v>9300</v>
      </c>
      <c r="S11" s="306">
        <f>SUM(O11:R11)/2</f>
        <v>9225</v>
      </c>
      <c r="T11" s="409">
        <f>AH11</f>
        <v>10.533333333333333</v>
      </c>
      <c r="U11" s="409"/>
      <c r="V11" s="410">
        <f t="shared" si="2"/>
        <v>9851.9583333333339</v>
      </c>
      <c r="W11" s="413">
        <f>SUM(V4:V11)</f>
        <v>79395.864583333328</v>
      </c>
      <c r="Z11" s="32">
        <v>8</v>
      </c>
      <c r="AA11" s="306" t="s">
        <v>303</v>
      </c>
      <c r="AB11" s="306" t="s">
        <v>293</v>
      </c>
      <c r="AC11" s="306" t="s">
        <v>291</v>
      </c>
      <c r="AD11" s="306" t="s">
        <v>29</v>
      </c>
      <c r="AE11" s="306">
        <v>10.7</v>
      </c>
      <c r="AF11" s="306">
        <v>10.3</v>
      </c>
      <c r="AG11" s="306">
        <v>10.6</v>
      </c>
      <c r="AH11" s="307">
        <f t="shared" si="0"/>
        <v>10.533333333333333</v>
      </c>
    </row>
    <row r="12" spans="2:39" ht="15.75" thickBot="1" x14ac:dyDescent="0.3">
      <c r="B12" s="2">
        <f t="shared" si="7"/>
        <v>2032</v>
      </c>
      <c r="C12" s="202">
        <f t="shared" si="3"/>
        <v>92802.281824130099</v>
      </c>
      <c r="D12" s="202">
        <f t="shared" si="4"/>
        <v>87666.626615842804</v>
      </c>
      <c r="E12" s="304">
        <f t="shared" si="5"/>
        <v>5135.655208287295</v>
      </c>
      <c r="F12" s="304">
        <f>E12*'Annualized Operations'!$N$22</f>
        <v>161445.27883255269</v>
      </c>
      <c r="G12" s="305">
        <f t="shared" si="6"/>
        <v>76701.488984131109</v>
      </c>
      <c r="AH12" s="147">
        <f>SUM(AH4:AH11)</f>
        <v>63.733333333333327</v>
      </c>
    </row>
    <row r="13" spans="2:39" ht="15.75" thickBot="1" x14ac:dyDescent="0.3">
      <c r="B13" s="2">
        <f t="shared" si="7"/>
        <v>2033</v>
      </c>
      <c r="C13" s="202">
        <f t="shared" si="3"/>
        <v>93833.544688806869</v>
      </c>
      <c r="D13" s="202">
        <f t="shared" si="4"/>
        <v>88302.839079882018</v>
      </c>
      <c r="E13" s="304">
        <f t="shared" si="5"/>
        <v>5530.7056089248508</v>
      </c>
      <c r="F13" s="304">
        <f>E13*'Annualized Operations'!$N$22</f>
        <v>173864.146435059</v>
      </c>
      <c r="G13" s="305">
        <f t="shared" si="6"/>
        <v>77197.760300348644</v>
      </c>
      <c r="M13" s="332"/>
      <c r="N13" s="506" t="s">
        <v>764</v>
      </c>
      <c r="O13" s="507"/>
      <c r="P13" s="507"/>
      <c r="Q13" s="507"/>
      <c r="R13" s="507"/>
      <c r="S13" s="507"/>
      <c r="T13" s="507"/>
      <c r="U13" s="507"/>
      <c r="V13" s="508"/>
      <c r="Z13" s="506" t="s">
        <v>759</v>
      </c>
      <c r="AA13" s="507"/>
      <c r="AB13" s="507"/>
      <c r="AC13" s="507"/>
      <c r="AD13" s="507"/>
      <c r="AE13" s="507"/>
      <c r="AF13" s="507"/>
      <c r="AG13" s="507"/>
      <c r="AH13" s="508"/>
      <c r="AJ13" s="405"/>
      <c r="AK13" s="405"/>
    </row>
    <row r="14" spans="2:39" ht="15" customHeight="1" x14ac:dyDescent="0.25">
      <c r="B14" s="2">
        <f t="shared" si="7"/>
        <v>2034</v>
      </c>
      <c r="C14" s="202">
        <f t="shared" si="3"/>
        <v>94864.807553483639</v>
      </c>
      <c r="D14" s="202">
        <f t="shared" si="4"/>
        <v>88939.051543920999</v>
      </c>
      <c r="E14" s="304">
        <f t="shared" si="5"/>
        <v>5925.7560095626395</v>
      </c>
      <c r="F14" s="304">
        <f>E14*'Annualized Operations'!$N$22</f>
        <v>186283.01403757263</v>
      </c>
      <c r="G14" s="305">
        <f t="shared" si="6"/>
        <v>77300.828071114025</v>
      </c>
      <c r="M14" s="332"/>
      <c r="N14" s="30"/>
      <c r="O14" t="s">
        <v>760</v>
      </c>
      <c r="P14" t="s">
        <v>127</v>
      </c>
      <c r="Q14" t="s">
        <v>761</v>
      </c>
      <c r="R14" t="s">
        <v>762</v>
      </c>
      <c r="S14" t="s">
        <v>769</v>
      </c>
      <c r="T14" t="s">
        <v>776</v>
      </c>
      <c r="V14" s="31" t="s">
        <v>775</v>
      </c>
      <c r="Z14" s="28" t="s">
        <v>673</v>
      </c>
      <c r="AA14" s="300" t="s">
        <v>282</v>
      </c>
      <c r="AB14" s="300" t="s">
        <v>283</v>
      </c>
      <c r="AC14" s="300" t="s">
        <v>284</v>
      </c>
      <c r="AD14" s="300" t="s">
        <v>285</v>
      </c>
      <c r="AE14" s="300" t="s">
        <v>286</v>
      </c>
      <c r="AF14" s="300" t="s">
        <v>287</v>
      </c>
      <c r="AG14" s="300" t="s">
        <v>288</v>
      </c>
      <c r="AH14" s="29" t="s">
        <v>677</v>
      </c>
      <c r="AJ14" s="405"/>
      <c r="AK14" s="405"/>
    </row>
    <row r="15" spans="2:39" x14ac:dyDescent="0.25">
      <c r="B15" s="2">
        <f t="shared" si="7"/>
        <v>2035</v>
      </c>
      <c r="C15" s="202">
        <f t="shared" si="3"/>
        <v>95896.070418159943</v>
      </c>
      <c r="D15" s="202">
        <f t="shared" si="4"/>
        <v>89575.264007960213</v>
      </c>
      <c r="E15" s="304">
        <f t="shared" si="5"/>
        <v>6320.8064101997297</v>
      </c>
      <c r="F15" s="304">
        <f>E15*'Annualized Operations'!$N$22</f>
        <v>198701.8816400643</v>
      </c>
      <c r="G15" s="305">
        <f t="shared" si="6"/>
        <v>77060.015522600777</v>
      </c>
      <c r="N15" s="30" t="s">
        <v>289</v>
      </c>
      <c r="O15">
        <v>2500</v>
      </c>
      <c r="P15">
        <v>2550</v>
      </c>
      <c r="Q15">
        <v>3150</v>
      </c>
      <c r="R15">
        <v>3150</v>
      </c>
      <c r="S15">
        <f t="shared" ref="S15:S22" si="8">S4</f>
        <v>5675</v>
      </c>
      <c r="T15" s="147">
        <v>3.3333333333333335</v>
      </c>
      <c r="U15" s="147"/>
      <c r="V15" s="408">
        <f>S15*T15/60/60*365</f>
        <v>1917.9398148148148</v>
      </c>
      <c r="Z15" s="30">
        <v>1</v>
      </c>
      <c r="AA15" t="s">
        <v>289</v>
      </c>
      <c r="AB15" t="s">
        <v>290</v>
      </c>
      <c r="AC15" t="s">
        <v>291</v>
      </c>
      <c r="AD15" t="s">
        <v>29</v>
      </c>
      <c r="AE15">
        <v>4.3</v>
      </c>
      <c r="AF15">
        <v>3.3</v>
      </c>
      <c r="AG15">
        <v>4.2</v>
      </c>
      <c r="AH15" s="303">
        <f>AVERAGE(AE15:AG15)</f>
        <v>3.9333333333333336</v>
      </c>
    </row>
    <row r="16" spans="2:39" x14ac:dyDescent="0.25">
      <c r="B16" s="2">
        <f t="shared" si="7"/>
        <v>2036</v>
      </c>
      <c r="C16" s="202">
        <f t="shared" si="3"/>
        <v>96927.333282836713</v>
      </c>
      <c r="D16" s="202">
        <f t="shared" si="4"/>
        <v>90211.476471999427</v>
      </c>
      <c r="E16" s="304">
        <f t="shared" si="5"/>
        <v>6715.8568108372856</v>
      </c>
      <c r="F16" s="304">
        <f>E16*'Annualized Operations'!$N$22</f>
        <v>211120.7492425706</v>
      </c>
      <c r="G16" s="305">
        <f>F16*(1+0.07)^-(B16-2021)</f>
        <v>76519.875226882432</v>
      </c>
      <c r="N16" s="30" t="s">
        <v>766</v>
      </c>
      <c r="O16">
        <v>3150</v>
      </c>
      <c r="Q16">
        <v>8200</v>
      </c>
      <c r="R16">
        <v>3150</v>
      </c>
      <c r="S16">
        <f t="shared" si="8"/>
        <v>7250</v>
      </c>
      <c r="T16" s="147">
        <v>10.933333333333332</v>
      </c>
      <c r="U16" s="147"/>
      <c r="V16" s="408">
        <f t="shared" ref="V16:V22" si="9">S16*T16/60/60*365</f>
        <v>8036.7592592592582</v>
      </c>
      <c r="Z16" s="30">
        <v>2</v>
      </c>
      <c r="AA16" t="s">
        <v>292</v>
      </c>
      <c r="AB16" t="s">
        <v>293</v>
      </c>
      <c r="AC16" t="s">
        <v>294</v>
      </c>
      <c r="AD16" t="s">
        <v>295</v>
      </c>
      <c r="AE16">
        <v>15.4</v>
      </c>
      <c r="AF16">
        <v>11.2</v>
      </c>
      <c r="AG16">
        <v>11.4</v>
      </c>
      <c r="AH16" s="303">
        <f t="shared" ref="AH16:AH22" si="10">AVERAGE(AE16:AG16)</f>
        <v>12.666666666666666</v>
      </c>
    </row>
    <row r="17" spans="1:50" x14ac:dyDescent="0.25">
      <c r="B17" s="2">
        <f t="shared" si="7"/>
        <v>2037</v>
      </c>
      <c r="C17" s="202">
        <f t="shared" si="3"/>
        <v>97958.596147513483</v>
      </c>
      <c r="D17" s="202">
        <f t="shared" si="4"/>
        <v>90847.688936038641</v>
      </c>
      <c r="E17" s="304">
        <f t="shared" si="5"/>
        <v>7110.9072114748415</v>
      </c>
      <c r="F17" s="304">
        <f>E17*'Annualized Operations'!$N$22</f>
        <v>223539.6168450769</v>
      </c>
      <c r="G17" s="305">
        <f t="shared" si="6"/>
        <v>75720.602203622722</v>
      </c>
      <c r="N17" s="30" t="s">
        <v>767</v>
      </c>
      <c r="O17">
        <v>3600</v>
      </c>
      <c r="P17">
        <v>3200</v>
      </c>
      <c r="Q17">
        <v>8200</v>
      </c>
      <c r="R17">
        <v>8200</v>
      </c>
      <c r="S17">
        <f t="shared" si="8"/>
        <v>11600</v>
      </c>
      <c r="T17" s="147">
        <v>10.033333333333333</v>
      </c>
      <c r="U17" s="147"/>
      <c r="V17" s="408">
        <f t="shared" si="9"/>
        <v>11800.314814814814</v>
      </c>
      <c r="Z17" s="30">
        <v>3</v>
      </c>
      <c r="AA17" t="s">
        <v>296</v>
      </c>
      <c r="AB17" t="s">
        <v>293</v>
      </c>
      <c r="AC17" t="s">
        <v>291</v>
      </c>
      <c r="AD17" t="s">
        <v>29</v>
      </c>
      <c r="AE17">
        <v>12.3</v>
      </c>
      <c r="AF17">
        <v>10.3</v>
      </c>
      <c r="AG17">
        <v>11.1</v>
      </c>
      <c r="AH17" s="303">
        <f t="shared" si="10"/>
        <v>11.233333333333334</v>
      </c>
    </row>
    <row r="18" spans="1:50" x14ac:dyDescent="0.25">
      <c r="B18" s="2">
        <f t="shared" si="7"/>
        <v>2038</v>
      </c>
      <c r="C18" s="202">
        <f t="shared" si="3"/>
        <v>98989.859012190253</v>
      </c>
      <c r="D18" s="202">
        <f t="shared" si="4"/>
        <v>91483.901400077855</v>
      </c>
      <c r="E18" s="304">
        <f t="shared" si="5"/>
        <v>7505.9576121123973</v>
      </c>
      <c r="F18" s="304">
        <f>E18*'Annualized Operations'!$N$22</f>
        <v>235958.48444758321</v>
      </c>
      <c r="G18" s="305">
        <f t="shared" si="6"/>
        <v>74698.413388828878</v>
      </c>
      <c r="N18" s="30" t="s">
        <v>768</v>
      </c>
      <c r="O18">
        <v>9800</v>
      </c>
      <c r="P18">
        <v>9500</v>
      </c>
      <c r="Q18">
        <v>9100</v>
      </c>
      <c r="R18">
        <v>8200</v>
      </c>
      <c r="S18">
        <f t="shared" si="8"/>
        <v>18300</v>
      </c>
      <c r="T18" s="147">
        <v>20.3</v>
      </c>
      <c r="U18" s="147"/>
      <c r="V18" s="408">
        <f t="shared" si="9"/>
        <v>37664.958333333328</v>
      </c>
      <c r="Z18" s="30">
        <v>4</v>
      </c>
      <c r="AA18" t="s">
        <v>232</v>
      </c>
      <c r="AB18" t="s">
        <v>293</v>
      </c>
      <c r="AC18" t="s">
        <v>291</v>
      </c>
      <c r="AD18" t="s">
        <v>29</v>
      </c>
      <c r="AE18">
        <v>25.5</v>
      </c>
      <c r="AF18">
        <v>22.4</v>
      </c>
      <c r="AG18">
        <v>27.9</v>
      </c>
      <c r="AH18" s="303">
        <f t="shared" si="10"/>
        <v>25.266666666666666</v>
      </c>
    </row>
    <row r="19" spans="1:50" x14ac:dyDescent="0.25">
      <c r="B19" s="2">
        <f t="shared" si="7"/>
        <v>2039</v>
      </c>
      <c r="C19" s="202">
        <f t="shared" si="3"/>
        <v>100021.12187686702</v>
      </c>
      <c r="D19" s="202">
        <f t="shared" si="4"/>
        <v>92120.113864117069</v>
      </c>
      <c r="E19" s="304">
        <f t="shared" si="5"/>
        <v>7901.0080127499532</v>
      </c>
      <c r="F19" s="304">
        <f>E19*'Annualized Operations'!$N$22</f>
        <v>248377.35205008951</v>
      </c>
      <c r="G19" s="305">
        <f t="shared" si="6"/>
        <v>73485.89610312783</v>
      </c>
      <c r="N19" s="30" t="s">
        <v>297</v>
      </c>
      <c r="O19">
        <v>2900</v>
      </c>
      <c r="P19">
        <v>2900</v>
      </c>
      <c r="Q19">
        <v>9100</v>
      </c>
      <c r="R19">
        <v>9100</v>
      </c>
      <c r="S19">
        <f t="shared" si="8"/>
        <v>12000</v>
      </c>
      <c r="T19" s="147">
        <v>6</v>
      </c>
      <c r="U19" s="147"/>
      <c r="V19" s="408">
        <f t="shared" si="9"/>
        <v>7300</v>
      </c>
      <c r="Z19" s="30">
        <v>5</v>
      </c>
      <c r="AA19" t="s">
        <v>297</v>
      </c>
      <c r="AB19" t="s">
        <v>298</v>
      </c>
      <c r="AC19" t="s">
        <v>290</v>
      </c>
      <c r="AD19" t="s">
        <v>295</v>
      </c>
      <c r="AE19">
        <v>6.4</v>
      </c>
      <c r="AF19">
        <v>7.4</v>
      </c>
      <c r="AG19">
        <v>6.9</v>
      </c>
      <c r="AH19" s="303">
        <f t="shared" si="10"/>
        <v>6.9000000000000012</v>
      </c>
    </row>
    <row r="20" spans="1:50" x14ac:dyDescent="0.25">
      <c r="B20" s="2">
        <f t="shared" si="7"/>
        <v>2040</v>
      </c>
      <c r="C20" s="202">
        <f t="shared" si="3"/>
        <v>101052.38474154379</v>
      </c>
      <c r="D20" s="202">
        <f t="shared" si="4"/>
        <v>92756.326328156283</v>
      </c>
      <c r="E20" s="304">
        <f t="shared" si="5"/>
        <v>8296.0584133875091</v>
      </c>
      <c r="F20" s="304">
        <f>E20*'Annualized Operations'!$N$22</f>
        <v>260796.21965259581</v>
      </c>
      <c r="G20" s="305">
        <f t="shared" si="6"/>
        <v>72112.327951668005</v>
      </c>
      <c r="N20" s="30" t="s">
        <v>299</v>
      </c>
      <c r="O20">
        <v>2050</v>
      </c>
      <c r="P20">
        <v>2050</v>
      </c>
      <c r="Q20">
        <v>9100</v>
      </c>
      <c r="R20">
        <v>9100</v>
      </c>
      <c r="S20">
        <f t="shared" si="8"/>
        <v>11150</v>
      </c>
      <c r="T20" s="147">
        <v>1.4333333333333336</v>
      </c>
      <c r="U20" s="147"/>
      <c r="V20" s="408">
        <f t="shared" si="9"/>
        <v>1620.3634259259261</v>
      </c>
      <c r="Z20" s="30">
        <v>6</v>
      </c>
      <c r="AA20" t="s">
        <v>299</v>
      </c>
      <c r="AB20" t="s">
        <v>290</v>
      </c>
      <c r="AC20" t="s">
        <v>300</v>
      </c>
      <c r="AD20" t="s">
        <v>301</v>
      </c>
      <c r="AE20">
        <v>1.5</v>
      </c>
      <c r="AF20">
        <v>1.6</v>
      </c>
      <c r="AG20">
        <v>1.8</v>
      </c>
      <c r="AH20" s="303">
        <f t="shared" si="10"/>
        <v>1.6333333333333335</v>
      </c>
    </row>
    <row r="21" spans="1:50" ht="14.25" customHeight="1" x14ac:dyDescent="0.25">
      <c r="B21" s="2">
        <f t="shared" si="7"/>
        <v>2041</v>
      </c>
      <c r="C21" s="202">
        <f t="shared" si="3"/>
        <v>102083.6476062201</v>
      </c>
      <c r="D21" s="202">
        <f t="shared" si="4"/>
        <v>93392.538792195497</v>
      </c>
      <c r="E21" s="304">
        <f t="shared" si="5"/>
        <v>8691.1088140245993</v>
      </c>
      <c r="F21" s="304">
        <f>E21*'Annualized Operations'!$N$22</f>
        <v>273215.08725508751</v>
      </c>
      <c r="G21" s="305">
        <f t="shared" si="6"/>
        <v>70603.970402163846</v>
      </c>
      <c r="N21" s="30" t="s">
        <v>302</v>
      </c>
      <c r="O21">
        <v>1750</v>
      </c>
      <c r="Q21">
        <v>9500</v>
      </c>
      <c r="R21">
        <v>9100</v>
      </c>
      <c r="S21">
        <f t="shared" si="8"/>
        <v>10175</v>
      </c>
      <c r="T21" s="147">
        <v>1.1666666666666667</v>
      </c>
      <c r="U21" s="147"/>
      <c r="V21" s="408">
        <f t="shared" si="9"/>
        <v>1203.570601851852</v>
      </c>
      <c r="Z21" s="30">
        <v>7</v>
      </c>
      <c r="AA21" t="s">
        <v>302</v>
      </c>
      <c r="AB21" t="s">
        <v>290</v>
      </c>
      <c r="AC21" t="s">
        <v>291</v>
      </c>
      <c r="AD21" t="s">
        <v>29</v>
      </c>
      <c r="AE21">
        <v>1.5</v>
      </c>
      <c r="AF21">
        <v>1.4</v>
      </c>
      <c r="AG21">
        <v>1.4</v>
      </c>
      <c r="AH21" s="303">
        <f t="shared" si="10"/>
        <v>1.4333333333333333</v>
      </c>
    </row>
    <row r="22" spans="1:50" ht="15.75" thickBot="1" x14ac:dyDescent="0.3">
      <c r="B22" s="2">
        <f t="shared" si="7"/>
        <v>2042</v>
      </c>
      <c r="C22" s="202">
        <f t="shared" si="3"/>
        <v>103114.91047089687</v>
      </c>
      <c r="D22" s="202">
        <f t="shared" si="4"/>
        <v>94028.751256234711</v>
      </c>
      <c r="E22" s="304">
        <f t="shared" si="5"/>
        <v>9086.1592146621551</v>
      </c>
      <c r="F22" s="304">
        <f>E22*'Annualized Operations'!$N$22</f>
        <v>285633.95485759381</v>
      </c>
      <c r="G22" s="305">
        <f t="shared" si="6"/>
        <v>68984.338115963532</v>
      </c>
      <c r="N22" s="32" t="s">
        <v>303</v>
      </c>
      <c r="O22" s="306">
        <v>4700</v>
      </c>
      <c r="P22" s="306">
        <v>4450</v>
      </c>
      <c r="Q22" s="306"/>
      <c r="R22" s="306">
        <v>9300</v>
      </c>
      <c r="S22" s="306">
        <f t="shared" si="8"/>
        <v>9225</v>
      </c>
      <c r="T22" s="409">
        <v>10.533333333333333</v>
      </c>
      <c r="U22" s="409"/>
      <c r="V22" s="410">
        <f t="shared" si="9"/>
        <v>9851.9583333333339</v>
      </c>
      <c r="W22" s="413">
        <f>SUM(V15:V22)</f>
        <v>79395.864583333328</v>
      </c>
      <c r="Z22" s="32">
        <v>8</v>
      </c>
      <c r="AA22" s="306" t="s">
        <v>303</v>
      </c>
      <c r="AB22" s="306" t="s">
        <v>293</v>
      </c>
      <c r="AC22" s="306" t="s">
        <v>291</v>
      </c>
      <c r="AD22" s="306" t="s">
        <v>29</v>
      </c>
      <c r="AE22" s="306">
        <v>11.9</v>
      </c>
      <c r="AF22" s="306">
        <v>11.5</v>
      </c>
      <c r="AG22" s="306">
        <v>12</v>
      </c>
      <c r="AH22" s="307">
        <f t="shared" si="10"/>
        <v>11.799999999999999</v>
      </c>
    </row>
    <row r="23" spans="1:50" ht="15.75" thickBot="1" x14ac:dyDescent="0.3">
      <c r="B23" s="2">
        <f t="shared" si="7"/>
        <v>2043</v>
      </c>
      <c r="C23" s="202">
        <f t="shared" si="3"/>
        <v>104146.17333557364</v>
      </c>
      <c r="D23" s="202">
        <f t="shared" si="4"/>
        <v>94664.963720273925</v>
      </c>
      <c r="E23" s="304">
        <f t="shared" si="5"/>
        <v>9481.209615299711</v>
      </c>
      <c r="F23" s="304">
        <f>E23*'Annualized Operations'!$N$22</f>
        <v>298052.82246010011</v>
      </c>
      <c r="G23" s="305">
        <f t="shared" si="6"/>
        <v>67274.445948116103</v>
      </c>
      <c r="AH23" s="147">
        <f>SUM(AH15:AH22)</f>
        <v>74.86666666666666</v>
      </c>
    </row>
    <row r="24" spans="1:50" ht="15.75" thickBot="1" x14ac:dyDescent="0.3">
      <c r="B24" s="2">
        <f t="shared" si="7"/>
        <v>2044</v>
      </c>
      <c r="C24" s="202">
        <f t="shared" si="3"/>
        <v>105177.43620025041</v>
      </c>
      <c r="D24" s="202">
        <f t="shared" si="4"/>
        <v>95301.176184312906</v>
      </c>
      <c r="E24" s="304">
        <f t="shared" si="5"/>
        <v>9876.2600159374997</v>
      </c>
      <c r="F24" s="304">
        <f>E24*'Annualized Operations'!$N$22</f>
        <v>310471.69006261375</v>
      </c>
      <c r="G24" s="305">
        <f t="shared" si="6"/>
        <v>65493.035385629031</v>
      </c>
      <c r="N24" s="506" t="s">
        <v>765</v>
      </c>
      <c r="O24" s="507"/>
      <c r="P24" s="507"/>
      <c r="Q24" s="507"/>
      <c r="R24" s="507"/>
      <c r="S24" s="507"/>
      <c r="T24" s="507"/>
      <c r="U24" s="507"/>
      <c r="V24" s="508"/>
      <c r="Z24" s="506" t="s">
        <v>672</v>
      </c>
      <c r="AA24" s="507"/>
      <c r="AB24" s="507"/>
      <c r="AC24" s="507"/>
      <c r="AD24" s="507"/>
      <c r="AE24" s="507"/>
      <c r="AF24" s="507"/>
      <c r="AG24" s="507"/>
      <c r="AH24" s="508"/>
    </row>
    <row r="25" spans="1:50" x14ac:dyDescent="0.25">
      <c r="B25" s="2">
        <f t="shared" si="7"/>
        <v>2045</v>
      </c>
      <c r="C25" s="202">
        <f t="shared" si="3"/>
        <v>106208.69906492718</v>
      </c>
      <c r="D25" s="202">
        <f t="shared" si="4"/>
        <v>95937.38864835212</v>
      </c>
      <c r="E25" s="304">
        <f t="shared" si="5"/>
        <v>10271.310416575056</v>
      </c>
      <c r="F25" s="304">
        <f>E25*'Annualized Operations'!$N$22</f>
        <v>322890.55766512005</v>
      </c>
      <c r="G25" s="305">
        <f t="shared" si="6"/>
        <v>63656.782057060344</v>
      </c>
      <c r="N25" s="30"/>
      <c r="O25" t="s">
        <v>760</v>
      </c>
      <c r="P25" t="s">
        <v>127</v>
      </c>
      <c r="Q25" t="s">
        <v>761</v>
      </c>
      <c r="R25" t="s">
        <v>762</v>
      </c>
      <c r="S25" t="s">
        <v>769</v>
      </c>
      <c r="U25" t="s">
        <v>759</v>
      </c>
      <c r="V25" s="31" t="s">
        <v>771</v>
      </c>
      <c r="Z25" s="28" t="s">
        <v>673</v>
      </c>
      <c r="AA25" s="300" t="s">
        <v>282</v>
      </c>
      <c r="AB25" s="300" t="s">
        <v>283</v>
      </c>
      <c r="AC25" s="300" t="s">
        <v>284</v>
      </c>
      <c r="AD25" s="300" t="s">
        <v>285</v>
      </c>
      <c r="AE25" s="300" t="s">
        <v>674</v>
      </c>
      <c r="AF25" s="300" t="s">
        <v>675</v>
      </c>
      <c r="AG25" s="300" t="s">
        <v>676</v>
      </c>
      <c r="AH25" s="29" t="s">
        <v>677</v>
      </c>
    </row>
    <row r="26" spans="1:50" ht="15" customHeight="1" thickBot="1" x14ac:dyDescent="0.3">
      <c r="B26" s="3">
        <f t="shared" si="7"/>
        <v>2046</v>
      </c>
      <c r="C26" s="350">
        <f t="shared" si="3"/>
        <v>107239.96192960348</v>
      </c>
      <c r="D26" s="350">
        <f t="shared" si="4"/>
        <v>96573.601112391334</v>
      </c>
      <c r="E26" s="415">
        <f t="shared" si="5"/>
        <v>10666.360817212146</v>
      </c>
      <c r="F26" s="415">
        <f>E26*'Annualized Operations'!$N$22</f>
        <v>335309.42526761169</v>
      </c>
      <c r="G26" s="416">
        <f t="shared" si="6"/>
        <v>61780.485821012306</v>
      </c>
      <c r="N26" s="30" t="s">
        <v>289</v>
      </c>
      <c r="O26">
        <v>2850</v>
      </c>
      <c r="P26">
        <v>2900</v>
      </c>
      <c r="Q26">
        <v>3600</v>
      </c>
      <c r="R26">
        <v>3600</v>
      </c>
      <c r="S26">
        <f t="shared" ref="S26:S33" si="11">SUM(O26:R26)/2</f>
        <v>6475</v>
      </c>
      <c r="T26" s="147"/>
      <c r="U26" s="147">
        <f>AH15*$W$26</f>
        <v>3.9333333333333336</v>
      </c>
      <c r="V26" s="408">
        <f>S26*U26/60/60*365</f>
        <v>2582.2060185185187</v>
      </c>
      <c r="W26">
        <v>1</v>
      </c>
      <c r="Z26" s="30">
        <v>1</v>
      </c>
      <c r="AA26" t="s">
        <v>289</v>
      </c>
      <c r="AB26" t="s">
        <v>290</v>
      </c>
      <c r="AC26" t="s">
        <v>291</v>
      </c>
      <c r="AD26" t="s">
        <v>29</v>
      </c>
      <c r="AE26">
        <f t="shared" ref="AE26:AG33" si="12">AE37-AE15</f>
        <v>0.40000000000000036</v>
      </c>
      <c r="AF26">
        <f t="shared" si="12"/>
        <v>0</v>
      </c>
      <c r="AG26">
        <f t="shared" si="12"/>
        <v>-0.30000000000000027</v>
      </c>
      <c r="AH26" s="406">
        <f>AVERAGE(AE26:AG26)</f>
        <v>3.3333333333333361E-2</v>
      </c>
      <c r="AQ26" s="505"/>
      <c r="AR26" s="505"/>
      <c r="AS26" s="505"/>
      <c r="AT26" s="505"/>
      <c r="AU26" s="505"/>
      <c r="AV26" s="505"/>
      <c r="AW26" s="505"/>
      <c r="AX26" s="505"/>
    </row>
    <row r="27" spans="1:50" ht="15" customHeight="1" thickBot="1" x14ac:dyDescent="0.3">
      <c r="B27" s="4"/>
      <c r="C27" s="48"/>
      <c r="D27" s="48"/>
      <c r="E27" s="48"/>
      <c r="F27" s="48"/>
      <c r="G27" s="111">
        <f>SUM(G7:G26)</f>
        <v>1436738.4749313658</v>
      </c>
      <c r="N27" s="30" t="s">
        <v>766</v>
      </c>
      <c r="O27">
        <v>3600</v>
      </c>
      <c r="Q27">
        <v>9300</v>
      </c>
      <c r="R27">
        <v>3600</v>
      </c>
      <c r="S27">
        <f t="shared" si="11"/>
        <v>8250</v>
      </c>
      <c r="T27" s="147"/>
      <c r="U27" s="147">
        <f t="shared" ref="U27:U33" si="13">AH16*$W$26</f>
        <v>12.666666666666666</v>
      </c>
      <c r="V27" s="408">
        <f t="shared" ref="V27:V33" si="14">S27*U27/60/60*365</f>
        <v>10595.138888888889</v>
      </c>
      <c r="Z27" s="30">
        <v>2</v>
      </c>
      <c r="AA27" t="s">
        <v>292</v>
      </c>
      <c r="AB27" t="s">
        <v>293</v>
      </c>
      <c r="AC27" t="s">
        <v>294</v>
      </c>
      <c r="AD27" t="s">
        <v>295</v>
      </c>
      <c r="AE27">
        <f t="shared" si="12"/>
        <v>-7.8000000000000007</v>
      </c>
      <c r="AF27">
        <f t="shared" si="12"/>
        <v>-5.9999999999999991</v>
      </c>
      <c r="AG27">
        <f t="shared" si="12"/>
        <v>-5.8000000000000007</v>
      </c>
      <c r="AH27" s="406">
        <f t="shared" ref="AH27:AH33" si="15">AVERAGE(AE27:AG27)</f>
        <v>-6.5333333333333341</v>
      </c>
    </row>
    <row r="28" spans="1:50" ht="15" customHeight="1" x14ac:dyDescent="0.25">
      <c r="N28" s="30" t="s">
        <v>767</v>
      </c>
      <c r="O28">
        <v>4100</v>
      </c>
      <c r="P28">
        <v>3650</v>
      </c>
      <c r="Q28">
        <v>9300</v>
      </c>
      <c r="R28">
        <v>9300</v>
      </c>
      <c r="S28">
        <f t="shared" si="11"/>
        <v>13175</v>
      </c>
      <c r="T28" s="147"/>
      <c r="U28" s="147">
        <f t="shared" si="13"/>
        <v>11.233333333333334</v>
      </c>
      <c r="V28" s="408">
        <f t="shared" si="14"/>
        <v>15005.471064814818</v>
      </c>
      <c r="Z28" s="30">
        <v>3</v>
      </c>
      <c r="AA28" t="s">
        <v>296</v>
      </c>
      <c r="AB28" t="s">
        <v>293</v>
      </c>
      <c r="AC28" t="s">
        <v>291</v>
      </c>
      <c r="AD28" t="s">
        <v>29</v>
      </c>
      <c r="AE28">
        <f t="shared" si="12"/>
        <v>-0.30000000000000071</v>
      </c>
      <c r="AF28">
        <f t="shared" si="12"/>
        <v>-0.70000000000000107</v>
      </c>
      <c r="AG28">
        <f t="shared" si="12"/>
        <v>-0.29999999999999893</v>
      </c>
      <c r="AH28" s="406">
        <f t="shared" si="15"/>
        <v>-0.43333333333333357</v>
      </c>
    </row>
    <row r="29" spans="1:50" ht="15" customHeight="1" x14ac:dyDescent="0.25">
      <c r="A29" s="21"/>
      <c r="N29" s="30" t="s">
        <v>768</v>
      </c>
      <c r="O29">
        <v>11100</v>
      </c>
      <c r="P29">
        <v>10800</v>
      </c>
      <c r="Q29">
        <v>10350</v>
      </c>
      <c r="R29">
        <v>9300</v>
      </c>
      <c r="S29">
        <f t="shared" si="11"/>
        <v>20775</v>
      </c>
      <c r="T29" s="147"/>
      <c r="U29" s="147">
        <f t="shared" si="13"/>
        <v>25.266666666666666</v>
      </c>
      <c r="V29" s="408">
        <f t="shared" si="14"/>
        <v>53220.548611111117</v>
      </c>
      <c r="Z29" s="30">
        <v>4</v>
      </c>
      <c r="AA29" t="s">
        <v>232</v>
      </c>
      <c r="AB29" t="s">
        <v>293</v>
      </c>
      <c r="AC29" t="s">
        <v>291</v>
      </c>
      <c r="AD29" t="s">
        <v>29</v>
      </c>
      <c r="AE29">
        <f t="shared" si="12"/>
        <v>-0.80000000000000071</v>
      </c>
      <c r="AF29">
        <f t="shared" si="12"/>
        <v>-9.9999999999997868E-2</v>
      </c>
      <c r="AG29">
        <f t="shared" si="12"/>
        <v>-9.9999999999997868E-2</v>
      </c>
      <c r="AH29" s="406">
        <f t="shared" si="15"/>
        <v>-0.33333333333333215</v>
      </c>
    </row>
    <row r="30" spans="1:50" ht="15" customHeight="1" x14ac:dyDescent="0.25">
      <c r="C30" s="6" t="s">
        <v>3</v>
      </c>
      <c r="D30" s="6"/>
      <c r="E30" s="6"/>
      <c r="N30" s="30" t="s">
        <v>297</v>
      </c>
      <c r="O30">
        <f>O19*(1+0.005)^20</f>
        <v>3204.1971738415095</v>
      </c>
      <c r="P30">
        <f t="shared" ref="P30:R30" si="16">P19*(1+0.005)^20</f>
        <v>3204.1971738415095</v>
      </c>
      <c r="Q30">
        <f>Q19*(1+0.005)^20</f>
        <v>10054.54975239922</v>
      </c>
      <c r="R30">
        <f t="shared" si="16"/>
        <v>10054.54975239922</v>
      </c>
      <c r="S30" s="54">
        <f t="shared" si="11"/>
        <v>13258.74692624073</v>
      </c>
      <c r="T30" s="147"/>
      <c r="U30" s="147">
        <f t="shared" si="13"/>
        <v>6.9000000000000012</v>
      </c>
      <c r="V30" s="408">
        <f>S30*U30/60/60*365</f>
        <v>9275.5983704825794</v>
      </c>
      <c r="Z30" s="30">
        <v>5</v>
      </c>
      <c r="AA30" t="s">
        <v>297</v>
      </c>
      <c r="AB30" t="s">
        <v>298</v>
      </c>
      <c r="AC30" t="s">
        <v>290</v>
      </c>
      <c r="AD30" t="s">
        <v>295</v>
      </c>
      <c r="AE30">
        <f t="shared" si="12"/>
        <v>-2.7</v>
      </c>
      <c r="AF30">
        <f t="shared" si="12"/>
        <v>-2.7</v>
      </c>
      <c r="AG30">
        <f t="shared" si="12"/>
        <v>-2.4000000000000004</v>
      </c>
      <c r="AH30" s="406">
        <f t="shared" si="15"/>
        <v>-2.6</v>
      </c>
    </row>
    <row r="31" spans="1:50" ht="14.45" customHeight="1" x14ac:dyDescent="0.25">
      <c r="B31" s="7" t="s">
        <v>20</v>
      </c>
      <c r="C31" s="503" t="s">
        <v>1184</v>
      </c>
      <c r="D31" s="503"/>
      <c r="E31" s="503"/>
      <c r="F31" s="503"/>
      <c r="G31" s="503"/>
      <c r="H31" s="503"/>
      <c r="N31" s="30" t="s">
        <v>299</v>
      </c>
      <c r="O31">
        <v>2350</v>
      </c>
      <c r="P31">
        <v>2350</v>
      </c>
      <c r="Q31">
        <v>10350</v>
      </c>
      <c r="R31">
        <v>10350</v>
      </c>
      <c r="S31">
        <f t="shared" si="11"/>
        <v>12700</v>
      </c>
      <c r="T31" s="147"/>
      <c r="U31" s="147">
        <f t="shared" si="13"/>
        <v>1.6333333333333335</v>
      </c>
      <c r="V31" s="408">
        <f t="shared" si="14"/>
        <v>2103.1435185185187</v>
      </c>
      <c r="Z31" s="30">
        <v>6</v>
      </c>
      <c r="AA31" t="s">
        <v>299</v>
      </c>
      <c r="AB31" t="s">
        <v>290</v>
      </c>
      <c r="AC31" t="s">
        <v>300</v>
      </c>
      <c r="AD31" t="s">
        <v>301</v>
      </c>
      <c r="AE31">
        <f t="shared" si="12"/>
        <v>0.30000000000000004</v>
      </c>
      <c r="AF31">
        <f t="shared" si="12"/>
        <v>9.9999999999999867E-2</v>
      </c>
      <c r="AG31">
        <f t="shared" si="12"/>
        <v>-0.10000000000000009</v>
      </c>
      <c r="AH31" s="406">
        <f t="shared" si="15"/>
        <v>9.9999999999999936E-2</v>
      </c>
    </row>
    <row r="32" spans="1:50" ht="15" customHeight="1" x14ac:dyDescent="0.25">
      <c r="C32" s="503"/>
      <c r="D32" s="503"/>
      <c r="E32" s="503"/>
      <c r="F32" s="503"/>
      <c r="G32" s="503"/>
      <c r="H32" s="503"/>
      <c r="N32" s="30" t="s">
        <v>302</v>
      </c>
      <c r="O32">
        <v>1750</v>
      </c>
      <c r="Q32">
        <v>10500</v>
      </c>
      <c r="R32">
        <v>10350</v>
      </c>
      <c r="S32">
        <f t="shared" si="11"/>
        <v>11300</v>
      </c>
      <c r="T32" s="147"/>
      <c r="U32" s="147">
        <f t="shared" si="13"/>
        <v>1.4333333333333333</v>
      </c>
      <c r="V32" s="408">
        <f t="shared" si="14"/>
        <v>1642.1620370370372</v>
      </c>
      <c r="Z32" s="30">
        <v>7</v>
      </c>
      <c r="AA32" t="s">
        <v>302</v>
      </c>
      <c r="AB32" t="s">
        <v>290</v>
      </c>
      <c r="AC32" t="s">
        <v>291</v>
      </c>
      <c r="AD32" t="s">
        <v>29</v>
      </c>
      <c r="AE32">
        <f t="shared" si="12"/>
        <v>0</v>
      </c>
      <c r="AF32">
        <f t="shared" si="12"/>
        <v>0</v>
      </c>
      <c r="AG32">
        <f t="shared" si="12"/>
        <v>0</v>
      </c>
      <c r="AH32" s="406">
        <f t="shared" si="15"/>
        <v>0</v>
      </c>
    </row>
    <row r="33" spans="2:34" ht="15" customHeight="1" thickBot="1" x14ac:dyDescent="0.3">
      <c r="B33" s="7" t="s">
        <v>19</v>
      </c>
      <c r="C33" s="504" t="s">
        <v>746</v>
      </c>
      <c r="D33" s="504"/>
      <c r="E33" s="504"/>
      <c r="F33" s="504"/>
      <c r="G33" s="504"/>
      <c r="H33" s="504"/>
      <c r="N33" s="32" t="s">
        <v>303</v>
      </c>
      <c r="O33" s="306">
        <v>4700</v>
      </c>
      <c r="P33" s="306">
        <v>4450</v>
      </c>
      <c r="Q33" s="306"/>
      <c r="R33" s="306">
        <v>10550</v>
      </c>
      <c r="S33" s="306">
        <f t="shared" si="11"/>
        <v>9850</v>
      </c>
      <c r="T33" s="409"/>
      <c r="U33" s="409">
        <f t="shared" si="13"/>
        <v>11.799999999999999</v>
      </c>
      <c r="V33" s="410">
        <f t="shared" si="14"/>
        <v>11784.430555555557</v>
      </c>
      <c r="W33" s="413">
        <f>SUM(V26:V33)</f>
        <v>106208.69906492704</v>
      </c>
      <c r="Z33" s="32">
        <v>8</v>
      </c>
      <c r="AA33" s="306" t="s">
        <v>303</v>
      </c>
      <c r="AB33" s="306" t="s">
        <v>293</v>
      </c>
      <c r="AC33" s="306" t="s">
        <v>291</v>
      </c>
      <c r="AD33" s="306" t="s">
        <v>29</v>
      </c>
      <c r="AE33" s="306">
        <f t="shared" si="12"/>
        <v>-9.9999999999999645E-2</v>
      </c>
      <c r="AF33" s="306">
        <f t="shared" si="12"/>
        <v>-0.19999999999999929</v>
      </c>
      <c r="AG33" s="306">
        <f t="shared" si="12"/>
        <v>0</v>
      </c>
      <c r="AH33" s="407">
        <f t="shared" si="15"/>
        <v>-9.9999999999999645E-2</v>
      </c>
    </row>
    <row r="34" spans="2:34" ht="15" customHeight="1" thickBot="1" x14ac:dyDescent="0.3">
      <c r="C34" s="504"/>
      <c r="D34" s="504"/>
      <c r="E34" s="504"/>
      <c r="F34" s="504"/>
      <c r="G34" s="504"/>
      <c r="H34" s="504"/>
      <c r="AH34" s="147">
        <f>SUM(AH26:AH33)</f>
        <v>-9.8666666666666671</v>
      </c>
    </row>
    <row r="35" spans="2:34" ht="15" customHeight="1" thickBot="1" x14ac:dyDescent="0.3">
      <c r="B35" s="7" t="s">
        <v>88</v>
      </c>
      <c r="C35" s="503" t="s">
        <v>1185</v>
      </c>
      <c r="D35" s="503"/>
      <c r="E35" s="503"/>
      <c r="F35" s="503"/>
      <c r="G35" s="503"/>
      <c r="H35" s="503"/>
      <c r="N35" s="506" t="s">
        <v>774</v>
      </c>
      <c r="O35" s="507"/>
      <c r="P35" s="507"/>
      <c r="Q35" s="507"/>
      <c r="R35" s="507"/>
      <c r="S35" s="507"/>
      <c r="T35" s="507"/>
      <c r="U35" s="507"/>
      <c r="V35" s="508"/>
      <c r="Z35" s="506" t="s">
        <v>772</v>
      </c>
      <c r="AA35" s="507"/>
      <c r="AB35" s="507"/>
      <c r="AC35" s="507"/>
      <c r="AD35" s="507"/>
      <c r="AE35" s="507"/>
      <c r="AF35" s="507"/>
      <c r="AG35" s="507"/>
      <c r="AH35" s="508"/>
    </row>
    <row r="36" spans="2:34" x14ac:dyDescent="0.25">
      <c r="B36" s="7"/>
      <c r="C36" s="503"/>
      <c r="D36" s="503"/>
      <c r="E36" s="503"/>
      <c r="F36" s="503"/>
      <c r="G36" s="503"/>
      <c r="H36" s="503"/>
      <c r="N36" s="30"/>
      <c r="O36" t="s">
        <v>760</v>
      </c>
      <c r="P36" t="s">
        <v>127</v>
      </c>
      <c r="Q36" t="s">
        <v>761</v>
      </c>
      <c r="R36" t="s">
        <v>762</v>
      </c>
      <c r="S36" t="s">
        <v>769</v>
      </c>
      <c r="U36" t="s">
        <v>772</v>
      </c>
      <c r="V36" s="31" t="s">
        <v>771</v>
      </c>
      <c r="Z36" s="28" t="s">
        <v>673</v>
      </c>
      <c r="AA36" s="300" t="s">
        <v>282</v>
      </c>
      <c r="AB36" s="300" t="s">
        <v>283</v>
      </c>
      <c r="AC36" s="300" t="s">
        <v>284</v>
      </c>
      <c r="AD36" s="300" t="s">
        <v>285</v>
      </c>
      <c r="AE36" s="300" t="s">
        <v>286</v>
      </c>
      <c r="AF36" s="300" t="s">
        <v>287</v>
      </c>
      <c r="AG36" s="300" t="s">
        <v>288</v>
      </c>
      <c r="AH36" s="308"/>
    </row>
    <row r="37" spans="2:34" ht="15" customHeight="1" x14ac:dyDescent="0.25">
      <c r="B37" s="7" t="s">
        <v>387</v>
      </c>
      <c r="C37" s="504" t="s">
        <v>758</v>
      </c>
      <c r="D37" s="504"/>
      <c r="E37" s="504"/>
      <c r="F37" s="504"/>
      <c r="G37" s="504"/>
      <c r="H37" s="504"/>
      <c r="N37" s="30" t="s">
        <v>289</v>
      </c>
      <c r="O37">
        <f t="shared" ref="O37:R40" si="17">O26</f>
        <v>2850</v>
      </c>
      <c r="P37">
        <f t="shared" si="17"/>
        <v>2900</v>
      </c>
      <c r="Q37">
        <f t="shared" si="17"/>
        <v>3600</v>
      </c>
      <c r="R37">
        <f t="shared" si="17"/>
        <v>3600</v>
      </c>
      <c r="S37">
        <f t="shared" ref="S37:S44" si="18">SUM(O37:R37)/2</f>
        <v>6475</v>
      </c>
      <c r="T37" s="147"/>
      <c r="U37" s="147">
        <f>AH37</f>
        <v>3.9666666666666668</v>
      </c>
      <c r="V37" s="408">
        <f>S37*U37/60/60*365</f>
        <v>2604.0891203703704</v>
      </c>
      <c r="Z37" s="30">
        <v>1</v>
      </c>
      <c r="AA37" t="s">
        <v>289</v>
      </c>
      <c r="AB37" t="s">
        <v>290</v>
      </c>
      <c r="AC37" t="s">
        <v>291</v>
      </c>
      <c r="AD37" t="s">
        <v>29</v>
      </c>
      <c r="AE37">
        <v>4.7</v>
      </c>
      <c r="AF37">
        <v>3.3</v>
      </c>
      <c r="AG37">
        <v>3.9</v>
      </c>
      <c r="AH37" s="303">
        <f>AVERAGE(AE37:AG37)</f>
        <v>3.9666666666666668</v>
      </c>
    </row>
    <row r="38" spans="2:34" ht="15" customHeight="1" x14ac:dyDescent="0.25">
      <c r="C38" s="504"/>
      <c r="D38" s="504"/>
      <c r="E38" s="504"/>
      <c r="F38" s="504"/>
      <c r="G38" s="504"/>
      <c r="H38" s="504"/>
      <c r="N38" s="30" t="s">
        <v>766</v>
      </c>
      <c r="O38">
        <f t="shared" si="17"/>
        <v>3600</v>
      </c>
      <c r="P38">
        <f t="shared" si="17"/>
        <v>0</v>
      </c>
      <c r="Q38">
        <f t="shared" si="17"/>
        <v>9300</v>
      </c>
      <c r="R38">
        <f t="shared" si="17"/>
        <v>3600</v>
      </c>
      <c r="S38">
        <f t="shared" si="18"/>
        <v>8250</v>
      </c>
      <c r="T38" s="147"/>
      <c r="U38" s="147">
        <f t="shared" ref="U38:U40" si="19">AH38</f>
        <v>6.1333333333333329</v>
      </c>
      <c r="V38" s="408">
        <f>S38*U38/60/60*365</f>
        <v>5130.2777777777774</v>
      </c>
      <c r="Z38" s="30">
        <v>2</v>
      </c>
      <c r="AA38" t="s">
        <v>292</v>
      </c>
      <c r="AB38" t="s">
        <v>293</v>
      </c>
      <c r="AC38" t="s">
        <v>294</v>
      </c>
      <c r="AD38" t="s">
        <v>295</v>
      </c>
      <c r="AE38">
        <v>7.6</v>
      </c>
      <c r="AF38">
        <v>5.2</v>
      </c>
      <c r="AG38">
        <v>5.6</v>
      </c>
      <c r="AH38" s="303">
        <f t="shared" ref="AH38:AH44" si="20">AVERAGE(AE38:AG38)</f>
        <v>6.1333333333333329</v>
      </c>
    </row>
    <row r="39" spans="2:34" ht="15" customHeight="1" x14ac:dyDescent="0.25">
      <c r="N39" s="30" t="s">
        <v>767</v>
      </c>
      <c r="O39">
        <f t="shared" si="17"/>
        <v>4100</v>
      </c>
      <c r="P39">
        <f t="shared" si="17"/>
        <v>3650</v>
      </c>
      <c r="Q39">
        <f t="shared" si="17"/>
        <v>9300</v>
      </c>
      <c r="R39">
        <f t="shared" si="17"/>
        <v>9300</v>
      </c>
      <c r="S39">
        <f t="shared" si="18"/>
        <v>13175</v>
      </c>
      <c r="T39" s="147"/>
      <c r="U39" s="147">
        <f t="shared" si="19"/>
        <v>10.800000000000002</v>
      </c>
      <c r="V39" s="408">
        <f t="shared" ref="V39:V44" si="21">S39*U39/60/60*365</f>
        <v>14426.625000000002</v>
      </c>
      <c r="Z39" s="30">
        <v>3</v>
      </c>
      <c r="AA39" t="s">
        <v>296</v>
      </c>
      <c r="AB39" t="s">
        <v>293</v>
      </c>
      <c r="AC39" t="s">
        <v>293</v>
      </c>
      <c r="AD39" t="s">
        <v>295</v>
      </c>
      <c r="AE39">
        <v>12</v>
      </c>
      <c r="AF39">
        <v>9.6</v>
      </c>
      <c r="AG39">
        <v>10.8</v>
      </c>
      <c r="AH39" s="303">
        <f t="shared" si="20"/>
        <v>10.800000000000002</v>
      </c>
    </row>
    <row r="40" spans="2:34" ht="15" customHeight="1" x14ac:dyDescent="0.25">
      <c r="B40" s="7"/>
      <c r="C40" s="423"/>
      <c r="D40" s="423"/>
      <c r="E40" s="423"/>
      <c r="F40" s="423"/>
      <c r="G40" s="423"/>
      <c r="H40" s="423"/>
      <c r="N40" s="30" t="s">
        <v>768</v>
      </c>
      <c r="O40">
        <f t="shared" si="17"/>
        <v>11100</v>
      </c>
      <c r="P40">
        <f t="shared" si="17"/>
        <v>10800</v>
      </c>
      <c r="Q40">
        <f t="shared" si="17"/>
        <v>10350</v>
      </c>
      <c r="R40">
        <f t="shared" si="17"/>
        <v>9300</v>
      </c>
      <c r="S40">
        <f t="shared" si="18"/>
        <v>20775</v>
      </c>
      <c r="T40" s="147"/>
      <c r="U40" s="147">
        <f t="shared" si="19"/>
        <v>24.933333333333334</v>
      </c>
      <c r="V40" s="408">
        <f t="shared" si="21"/>
        <v>52518.430555555547</v>
      </c>
      <c r="Z40" s="30">
        <v>4</v>
      </c>
      <c r="AA40" t="s">
        <v>232</v>
      </c>
      <c r="AB40" t="s">
        <v>293</v>
      </c>
      <c r="AC40" t="s">
        <v>293</v>
      </c>
      <c r="AD40" t="s">
        <v>295</v>
      </c>
      <c r="AE40">
        <v>24.7</v>
      </c>
      <c r="AF40">
        <v>22.3</v>
      </c>
      <c r="AG40">
        <v>27.8</v>
      </c>
      <c r="AH40" s="303">
        <f t="shared" si="20"/>
        <v>24.933333333333334</v>
      </c>
    </row>
    <row r="41" spans="2:34" x14ac:dyDescent="0.25">
      <c r="C41" s="423"/>
      <c r="D41" s="423"/>
      <c r="E41" s="423"/>
      <c r="F41" s="423"/>
      <c r="G41" s="423"/>
      <c r="H41" s="423"/>
      <c r="N41" s="30" t="s">
        <v>297</v>
      </c>
      <c r="O41">
        <f>O19*(1+0.005)^20</f>
        <v>3204.1971738415095</v>
      </c>
      <c r="P41">
        <f t="shared" ref="P41:R41" si="22">P19*(1+0.005)^20</f>
        <v>3204.1971738415095</v>
      </c>
      <c r="Q41">
        <f t="shared" si="22"/>
        <v>10054.54975239922</v>
      </c>
      <c r="R41">
        <f t="shared" si="22"/>
        <v>10054.54975239922</v>
      </c>
      <c r="S41" s="54">
        <f t="shared" ref="S41" si="23">SUM(O41:R41)/2</f>
        <v>13258.74692624073</v>
      </c>
      <c r="T41" s="147"/>
      <c r="U41" s="147">
        <v>4.3</v>
      </c>
      <c r="V41" s="408">
        <f>S41*U41/60/60*365</f>
        <v>5780.44536131523</v>
      </c>
      <c r="Z41" s="30">
        <v>5</v>
      </c>
      <c r="AA41" t="s">
        <v>297</v>
      </c>
      <c r="AB41" t="s">
        <v>298</v>
      </c>
      <c r="AC41" t="s">
        <v>290</v>
      </c>
      <c r="AD41" t="s">
        <v>295</v>
      </c>
      <c r="AE41">
        <v>3.7</v>
      </c>
      <c r="AF41">
        <v>4.7</v>
      </c>
      <c r="AG41">
        <v>4.5</v>
      </c>
      <c r="AH41" s="303">
        <f t="shared" si="20"/>
        <v>4.3</v>
      </c>
    </row>
    <row r="42" spans="2:34" x14ac:dyDescent="0.25">
      <c r="N42" s="30" t="s">
        <v>299</v>
      </c>
      <c r="O42">
        <f t="shared" ref="O42:R44" si="24">O31</f>
        <v>2350</v>
      </c>
      <c r="P42">
        <f t="shared" si="24"/>
        <v>2350</v>
      </c>
      <c r="Q42">
        <f t="shared" si="24"/>
        <v>10350</v>
      </c>
      <c r="R42">
        <f t="shared" si="24"/>
        <v>10350</v>
      </c>
      <c r="S42">
        <f t="shared" si="18"/>
        <v>12700</v>
      </c>
      <c r="T42" s="147"/>
      <c r="U42" s="147">
        <v>1.7</v>
      </c>
      <c r="V42" s="408">
        <f t="shared" si="21"/>
        <v>2188.9861111111109</v>
      </c>
      <c r="Z42" s="30">
        <v>6</v>
      </c>
      <c r="AA42" t="s">
        <v>299</v>
      </c>
      <c r="AB42" t="s">
        <v>290</v>
      </c>
      <c r="AC42" t="s">
        <v>300</v>
      </c>
      <c r="AD42" t="s">
        <v>301</v>
      </c>
      <c r="AE42">
        <v>1.8</v>
      </c>
      <c r="AF42">
        <v>1.7</v>
      </c>
      <c r="AG42">
        <v>1.7</v>
      </c>
      <c r="AH42" s="303">
        <f t="shared" si="20"/>
        <v>1.7333333333333334</v>
      </c>
    </row>
    <row r="43" spans="2:34" x14ac:dyDescent="0.25">
      <c r="N43" s="30" t="s">
        <v>302</v>
      </c>
      <c r="O43">
        <f t="shared" si="24"/>
        <v>1750</v>
      </c>
      <c r="P43">
        <f t="shared" si="24"/>
        <v>0</v>
      </c>
      <c r="Q43">
        <f t="shared" si="24"/>
        <v>10500</v>
      </c>
      <c r="R43">
        <f t="shared" si="24"/>
        <v>10350</v>
      </c>
      <c r="S43">
        <f t="shared" si="18"/>
        <v>11300</v>
      </c>
      <c r="T43" s="147"/>
      <c r="U43" s="147">
        <v>1.4</v>
      </c>
      <c r="V43" s="408">
        <f t="shared" si="21"/>
        <v>1603.9722222222219</v>
      </c>
      <c r="Z43" s="30">
        <v>7</v>
      </c>
      <c r="AA43" t="s">
        <v>302</v>
      </c>
      <c r="AB43" t="s">
        <v>290</v>
      </c>
      <c r="AC43" t="s">
        <v>291</v>
      </c>
      <c r="AD43" t="s">
        <v>29</v>
      </c>
      <c r="AE43">
        <v>1.5</v>
      </c>
      <c r="AF43">
        <v>1.4</v>
      </c>
      <c r="AG43">
        <v>1.4</v>
      </c>
      <c r="AH43" s="303">
        <f t="shared" si="20"/>
        <v>1.4333333333333333</v>
      </c>
    </row>
    <row r="44" spans="2:34" ht="15.75" thickBot="1" x14ac:dyDescent="0.3">
      <c r="C44" s="21"/>
      <c r="D44" s="21"/>
      <c r="E44" s="21"/>
      <c r="F44" s="21"/>
      <c r="G44" s="21"/>
      <c r="H44" s="21"/>
      <c r="N44" s="32" t="s">
        <v>303</v>
      </c>
      <c r="O44" s="306">
        <f t="shared" si="24"/>
        <v>4700</v>
      </c>
      <c r="P44" s="306">
        <f t="shared" si="24"/>
        <v>4450</v>
      </c>
      <c r="Q44" s="306">
        <f t="shared" si="24"/>
        <v>0</v>
      </c>
      <c r="R44" s="306">
        <f t="shared" si="24"/>
        <v>10550</v>
      </c>
      <c r="S44" s="306">
        <f t="shared" si="18"/>
        <v>9850</v>
      </c>
      <c r="T44" s="409"/>
      <c r="U44" s="409">
        <v>11.7</v>
      </c>
      <c r="V44" s="410">
        <f t="shared" si="21"/>
        <v>11684.562500000002</v>
      </c>
      <c r="W44" s="413">
        <f>SUM(V37:V44)</f>
        <v>95937.388648352251</v>
      </c>
      <c r="Z44" s="32">
        <v>8</v>
      </c>
      <c r="AA44" s="306" t="s">
        <v>303</v>
      </c>
      <c r="AB44" s="306" t="s">
        <v>293</v>
      </c>
      <c r="AC44" s="306" t="s">
        <v>291</v>
      </c>
      <c r="AD44" s="306" t="s">
        <v>301</v>
      </c>
      <c r="AE44" s="306">
        <v>11.8</v>
      </c>
      <c r="AF44" s="306">
        <v>11.3</v>
      </c>
      <c r="AG44" s="306">
        <v>12</v>
      </c>
      <c r="AH44" s="307">
        <f t="shared" si="20"/>
        <v>11.700000000000001</v>
      </c>
    </row>
    <row r="45" spans="2:34" x14ac:dyDescent="0.25">
      <c r="B45" s="7"/>
      <c r="C45" s="21"/>
      <c r="D45" s="21"/>
      <c r="E45" s="21"/>
      <c r="F45" s="21"/>
      <c r="G45" s="21"/>
      <c r="H45" s="21"/>
      <c r="AH45" s="147">
        <f>SUM(AH37:AH44)</f>
        <v>65</v>
      </c>
    </row>
    <row r="46" spans="2:34" x14ac:dyDescent="0.25">
      <c r="C46" s="21"/>
      <c r="D46" s="21"/>
      <c r="E46" s="21"/>
      <c r="F46" s="21"/>
      <c r="G46" s="21"/>
      <c r="H46" s="21"/>
    </row>
    <row r="63" spans="9:24" x14ac:dyDescent="0.25">
      <c r="I63" s="54"/>
      <c r="W63" s="54"/>
      <c r="X63" s="54"/>
    </row>
    <row r="64" spans="9:24" x14ac:dyDescent="0.25">
      <c r="I64" s="54"/>
      <c r="W64" s="54"/>
      <c r="X64" s="54"/>
    </row>
    <row r="65" spans="9:50" x14ac:dyDescent="0.25">
      <c r="I65" s="54"/>
      <c r="W65" s="54"/>
      <c r="X65" s="54"/>
    </row>
    <row r="66" spans="9:50" x14ac:dyDescent="0.25">
      <c r="I66" s="54"/>
      <c r="W66" s="54"/>
      <c r="X66" s="54"/>
      <c r="AQ66" s="505"/>
      <c r="AR66" s="505"/>
      <c r="AS66" s="505"/>
      <c r="AT66" s="505"/>
      <c r="AU66" s="505"/>
      <c r="AV66" s="505"/>
      <c r="AW66" s="505"/>
      <c r="AX66" s="505"/>
    </row>
    <row r="67" spans="9:50" x14ac:dyDescent="0.25">
      <c r="I67" s="54"/>
      <c r="N67" s="54"/>
      <c r="O67" s="54"/>
      <c r="P67" s="54"/>
      <c r="Q67" s="54"/>
      <c r="R67" s="54"/>
      <c r="S67" s="54"/>
      <c r="T67" s="54"/>
      <c r="U67" s="54"/>
      <c r="V67" s="54"/>
      <c r="W67" s="54"/>
      <c r="X67" s="54"/>
    </row>
    <row r="68" spans="9:50" x14ac:dyDescent="0.25">
      <c r="I68" s="54"/>
      <c r="N68" s="54"/>
      <c r="O68" s="54"/>
      <c r="P68" s="54"/>
      <c r="Q68" s="54"/>
      <c r="R68" s="54"/>
      <c r="S68" s="54"/>
      <c r="T68" s="54"/>
      <c r="U68" s="54"/>
      <c r="V68" s="54"/>
      <c r="W68" s="54"/>
      <c r="X68" s="54"/>
    </row>
    <row r="69" spans="9:50" x14ac:dyDescent="0.25">
      <c r="I69" s="54"/>
      <c r="N69" s="54"/>
      <c r="O69" s="54"/>
      <c r="P69" s="54"/>
      <c r="Q69" s="54"/>
      <c r="R69" s="54"/>
      <c r="S69" s="54"/>
      <c r="T69" s="54"/>
      <c r="U69" s="54"/>
      <c r="V69" s="54"/>
      <c r="W69" s="54"/>
      <c r="X69" s="54"/>
    </row>
    <row r="70" spans="9:50" x14ac:dyDescent="0.25">
      <c r="N70" s="54"/>
      <c r="O70" s="54"/>
      <c r="P70" s="54"/>
      <c r="Q70" s="54"/>
      <c r="R70" s="54"/>
      <c r="S70" s="54"/>
      <c r="T70" s="54"/>
      <c r="U70" s="54"/>
      <c r="V70" s="54"/>
    </row>
    <row r="71" spans="9:50" x14ac:dyDescent="0.25">
      <c r="N71" s="54"/>
      <c r="O71" s="54"/>
      <c r="P71" s="54"/>
      <c r="Q71" s="54"/>
      <c r="R71" s="54"/>
      <c r="S71" s="54"/>
      <c r="T71" s="54"/>
      <c r="U71" s="54"/>
      <c r="V71" s="54"/>
    </row>
    <row r="72" spans="9:50" x14ac:dyDescent="0.25">
      <c r="N72" s="54"/>
      <c r="O72" s="54"/>
      <c r="P72" s="54"/>
      <c r="Q72" s="54"/>
      <c r="R72" s="54"/>
      <c r="S72" s="54"/>
      <c r="T72" s="54"/>
      <c r="U72" s="54"/>
      <c r="V72" s="54"/>
    </row>
    <row r="73" spans="9:50" x14ac:dyDescent="0.25">
      <c r="N73" s="54"/>
      <c r="O73" s="54"/>
      <c r="P73" s="54"/>
      <c r="Q73" s="54"/>
      <c r="R73" s="54"/>
      <c r="S73" s="54"/>
      <c r="T73" s="54"/>
      <c r="U73" s="54"/>
      <c r="V73" s="54"/>
    </row>
  </sheetData>
  <mergeCells count="22">
    <mergeCell ref="AQ66:AX66"/>
    <mergeCell ref="Z2:AH2"/>
    <mergeCell ref="Z13:AH13"/>
    <mergeCell ref="Z35:AH35"/>
    <mergeCell ref="N24:V24"/>
    <mergeCell ref="N13:V13"/>
    <mergeCell ref="N2:V2"/>
    <mergeCell ref="N35:V35"/>
    <mergeCell ref="C37:H38"/>
    <mergeCell ref="AQ26:AX26"/>
    <mergeCell ref="Z24:AH24"/>
    <mergeCell ref="C33:H34"/>
    <mergeCell ref="B4:G4"/>
    <mergeCell ref="B5:B6"/>
    <mergeCell ref="C5:C6"/>
    <mergeCell ref="D5:D6"/>
    <mergeCell ref="E5:E6"/>
    <mergeCell ref="F5:F6"/>
    <mergeCell ref="G5:G6"/>
    <mergeCell ref="I4:K4"/>
    <mergeCell ref="C31:H32"/>
    <mergeCell ref="C35:H36"/>
  </mergeCells>
  <pageMargins left="0.25" right="0.25" top="0.75" bottom="0.75" header="0.3" footer="0.3"/>
  <pageSetup paperSize="119" scale="3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7E2D-5620-40BA-A8FD-6E43E25F0753}">
  <sheetPr>
    <tabColor rgb="FF00B050"/>
    <pageSetUpPr fitToPage="1"/>
  </sheetPr>
  <dimension ref="A2:L48"/>
  <sheetViews>
    <sheetView view="pageBreakPreview" zoomScale="85" zoomScaleNormal="85" zoomScaleSheetLayoutView="85" workbookViewId="0">
      <selection activeCell="J17" sqref="J17"/>
    </sheetView>
  </sheetViews>
  <sheetFormatPr defaultColWidth="9.140625" defaultRowHeight="15" x14ac:dyDescent="0.25"/>
  <cols>
    <col min="1" max="1" width="3.7109375" customWidth="1"/>
    <col min="2" max="8" width="15.7109375" customWidth="1"/>
    <col min="9" max="9" width="21.42578125" bestFit="1" customWidth="1"/>
    <col min="10" max="10" width="5.140625" bestFit="1" customWidth="1"/>
    <col min="11" max="11" width="24.85546875" bestFit="1" customWidth="1"/>
    <col min="12" max="12" width="3.7109375" bestFit="1" customWidth="1"/>
    <col min="13" max="13" width="5.140625" bestFit="1" customWidth="1"/>
    <col min="14" max="14" width="24.85546875" bestFit="1" customWidth="1"/>
    <col min="15" max="15" width="3.7109375" bestFit="1" customWidth="1"/>
  </cols>
  <sheetData>
    <row r="2" spans="2:12" x14ac:dyDescent="0.25">
      <c r="B2" s="6" t="s">
        <v>1181</v>
      </c>
      <c r="H2" s="6"/>
    </row>
    <row r="3" spans="2:12" ht="15.75" thickBot="1" x14ac:dyDescent="0.3">
      <c r="B3" s="6"/>
      <c r="H3" s="6"/>
    </row>
    <row r="4" spans="2:12" ht="15.75" thickBot="1" x14ac:dyDescent="0.3">
      <c r="B4" s="514" t="s">
        <v>709</v>
      </c>
      <c r="C4" s="515"/>
      <c r="D4" s="515"/>
      <c r="E4" s="515"/>
      <c r="F4" s="515"/>
      <c r="G4" s="516"/>
      <c r="J4" s="50"/>
      <c r="K4" s="50"/>
    </row>
    <row r="5" spans="2:12" ht="35.1" customHeight="1" x14ac:dyDescent="0.25">
      <c r="B5" s="491" t="s">
        <v>0</v>
      </c>
      <c r="C5" s="499" t="s">
        <v>707</v>
      </c>
      <c r="D5" s="497" t="s">
        <v>708</v>
      </c>
      <c r="E5" s="497" t="s">
        <v>49</v>
      </c>
      <c r="F5" s="497" t="s">
        <v>53</v>
      </c>
      <c r="G5" s="509" t="s">
        <v>1</v>
      </c>
      <c r="I5" s="50"/>
    </row>
    <row r="6" spans="2:12" ht="43.5" customHeight="1" thickBot="1" x14ac:dyDescent="0.3">
      <c r="B6" s="493"/>
      <c r="C6" s="500"/>
      <c r="D6" s="498"/>
      <c r="E6" s="498"/>
      <c r="F6" s="498"/>
      <c r="G6" s="510"/>
    </row>
    <row r="7" spans="2:12" ht="18" customHeight="1" x14ac:dyDescent="0.25">
      <c r="B7" s="1">
        <f>Assumptions!$C$10</f>
        <v>2027</v>
      </c>
      <c r="C7" s="203">
        <f>_xlfn.XLOOKUP(B7,'Annualized Operations'!$B$13:$B$32,'Annualized Operations'!$F$13:$F$32,0,0,1)</f>
        <v>213524.99999999977</v>
      </c>
      <c r="D7" s="345">
        <f>_xlfn.XLOOKUP(B7,'Annualized Operations'!$B$13:$B$32,'Annualized Operations'!$G$13:$G$32,0,0,1)</f>
        <v>160143.75</v>
      </c>
      <c r="E7" s="347">
        <f>C7-D7</f>
        <v>53381.249999999767</v>
      </c>
      <c r="F7" s="348">
        <f>E7*'Annualized Operations'!$N$22</f>
        <v>1678101.5159999924</v>
      </c>
      <c r="G7" s="103">
        <f>F7*(1+0.07)^-($B7-Assumptions!$C$6)</f>
        <v>1118189.8959612958</v>
      </c>
      <c r="I7" s="517" t="s">
        <v>1182</v>
      </c>
      <c r="J7" s="517"/>
      <c r="K7" s="517"/>
      <c r="L7" s="517"/>
    </row>
    <row r="8" spans="2:12" x14ac:dyDescent="0.25">
      <c r="B8" s="2">
        <f>B7+1</f>
        <v>2028</v>
      </c>
      <c r="C8" s="202">
        <f>_xlfn.XLOOKUP(B8,'Annualized Operations'!$B$13:$B$32,'Annualized Operations'!$F$13:$F$32,0,0,1)</f>
        <v>214640.27777777775</v>
      </c>
      <c r="D8" s="347">
        <f>_xlfn.XLOOKUP(B8,'Annualized Operations'!$B$13:$B$32,'Annualized Operations'!$G$13:$G$32,0,0,1)</f>
        <v>160980.20833333326</v>
      </c>
      <c r="E8" s="347">
        <f>C8-D8</f>
        <v>53660.069444444496</v>
      </c>
      <c r="F8" s="348">
        <f>E8*'Annualized Operations'!$N$22</f>
        <v>1686866.5286666679</v>
      </c>
      <c r="G8" s="346">
        <f>F8*(1+0.07)^-($B8-Assumptions!$C$6)</f>
        <v>1050495.6953209236</v>
      </c>
      <c r="I8" s="512" t="s">
        <v>678</v>
      </c>
      <c r="J8" s="513"/>
      <c r="K8" s="512" t="s">
        <v>679</v>
      </c>
      <c r="L8" s="513"/>
    </row>
    <row r="9" spans="2:12" x14ac:dyDescent="0.25">
      <c r="B9" s="2">
        <f t="shared" ref="B9:B26" si="0">B8+1</f>
        <v>2029</v>
      </c>
      <c r="C9" s="202">
        <f>_xlfn.XLOOKUP(B9,'Annualized Operations'!$B$13:$B$32,'Annualized Operations'!$F$13:$F$32,0,0,1)</f>
        <v>215755.55555555527</v>
      </c>
      <c r="D9" s="347">
        <f>_xlfn.XLOOKUP(B9,'Annualized Operations'!$B$13:$B$32,'Annualized Operations'!$G$13:$G$32,0,0,1)</f>
        <v>161816.66666666674</v>
      </c>
      <c r="E9" s="347">
        <f t="shared" ref="E9:E26" si="1">C9-D9</f>
        <v>53938.888888888527</v>
      </c>
      <c r="F9" s="348">
        <f>E9*'Annualized Operations'!$N$22</f>
        <v>1695631.5413333217</v>
      </c>
      <c r="G9" s="346">
        <f>F9*(1+0.07)^-($B9-Assumptions!$C$6)</f>
        <v>986872.99504364247</v>
      </c>
      <c r="H9" s="54"/>
      <c r="I9" s="45" t="s">
        <v>680</v>
      </c>
      <c r="J9" s="219">
        <v>1.5</v>
      </c>
      <c r="K9" s="219" t="s">
        <v>680</v>
      </c>
      <c r="L9" s="219">
        <v>1.5</v>
      </c>
    </row>
    <row r="10" spans="2:12" ht="14.25" customHeight="1" x14ac:dyDescent="0.25">
      <c r="B10" s="2">
        <f t="shared" si="0"/>
        <v>2030</v>
      </c>
      <c r="C10" s="202">
        <f>_xlfn.XLOOKUP(B10,'Annualized Operations'!$B$13:$B$32,'Annualized Operations'!$F$13:$F$32,0,0,1)</f>
        <v>216870.83333333326</v>
      </c>
      <c r="D10" s="347">
        <f>_xlfn.XLOOKUP(B10,'Annualized Operations'!$B$13:$B$32,'Annualized Operations'!$G$13:$G$32,0,0,1)</f>
        <v>162653.125</v>
      </c>
      <c r="E10" s="347">
        <f t="shared" si="1"/>
        <v>54217.708333333256</v>
      </c>
      <c r="F10" s="348">
        <f>E10*'Annualized Operations'!$N$22</f>
        <v>1704396.5539999972</v>
      </c>
      <c r="G10" s="346">
        <f>F10*(1+0.07)^-($B10-Assumptions!$C$6)</f>
        <v>927078.79646474344</v>
      </c>
      <c r="I10" s="45" t="s">
        <v>777</v>
      </c>
      <c r="J10" s="219">
        <f>J9/J11</f>
        <v>6.6666666666666666E-2</v>
      </c>
      <c r="K10" s="219" t="s">
        <v>777</v>
      </c>
      <c r="L10" s="219">
        <f>L9/L11</f>
        <v>0.05</v>
      </c>
    </row>
    <row r="11" spans="2:12" x14ac:dyDescent="0.25">
      <c r="B11" s="2">
        <f t="shared" si="0"/>
        <v>2031</v>
      </c>
      <c r="C11" s="202">
        <f>_xlfn.XLOOKUP(B11,'Annualized Operations'!$B$13:$B$32,'Annualized Operations'!$F$13:$F$32,0,0,1)</f>
        <v>217986.11111111124</v>
      </c>
      <c r="D11" s="347">
        <f>_xlfn.XLOOKUP(B11,'Annualized Operations'!$B$13:$B$32,'Annualized Operations'!$G$13:$G$32,0,0,1)</f>
        <v>163489.58333333326</v>
      </c>
      <c r="E11" s="347">
        <f t="shared" si="1"/>
        <v>54496.527777777985</v>
      </c>
      <c r="F11" s="348">
        <f>E11*'Annualized Operations'!$N$22</f>
        <v>1713161.5666666729</v>
      </c>
      <c r="G11" s="346">
        <f>F11*(1+0.07)^-($B11-Assumptions!$C$6)</f>
        <v>870884.46972740733</v>
      </c>
      <c r="I11" s="45" t="s">
        <v>1173</v>
      </c>
      <c r="J11" s="45">
        <v>22.5</v>
      </c>
      <c r="K11" s="45" t="s">
        <v>1172</v>
      </c>
      <c r="L11" s="45">
        <v>30</v>
      </c>
    </row>
    <row r="12" spans="2:12" x14ac:dyDescent="0.25">
      <c r="B12" s="2">
        <f t="shared" si="0"/>
        <v>2032</v>
      </c>
      <c r="C12" s="202">
        <f>_xlfn.XLOOKUP(B12,'Annualized Operations'!$B$13:$B$32,'Annualized Operations'!$F$13:$F$32,0,0,1)</f>
        <v>219101.38888888876</v>
      </c>
      <c r="D12" s="347">
        <f>_xlfn.XLOOKUP(B12,'Annualized Operations'!$B$13:$B$32,'Annualized Operations'!$G$13:$G$32,0,0,1)</f>
        <v>164326.04166666674</v>
      </c>
      <c r="E12" s="347">
        <f t="shared" si="1"/>
        <v>54775.347222222015</v>
      </c>
      <c r="F12" s="348">
        <f>E12*'Annualized Operations'!$N$22</f>
        <v>1721926.5793333265</v>
      </c>
      <c r="G12" s="346">
        <f>F12*(1+0.07)^-($B12-Assumptions!$C$6)</f>
        <v>818074.91374958167</v>
      </c>
    </row>
    <row r="13" spans="2:12" x14ac:dyDescent="0.25">
      <c r="B13" s="2">
        <f t="shared" si="0"/>
        <v>2033</v>
      </c>
      <c r="C13" s="202">
        <f>_xlfn.XLOOKUP(B13,'Annualized Operations'!$B$13:$B$32,'Annualized Operations'!$F$13:$F$32,0,0,1)</f>
        <v>220216.66666666674</v>
      </c>
      <c r="D13" s="347">
        <f>_xlfn.XLOOKUP(B13,'Annualized Operations'!$B$13:$B$32,'Annualized Operations'!$G$13:$G$32,0,0,1)</f>
        <v>165162.5</v>
      </c>
      <c r="E13" s="347">
        <f t="shared" si="1"/>
        <v>55054.166666666744</v>
      </c>
      <c r="F13" s="348">
        <f>E13*'Annualized Operations'!$N$22</f>
        <v>1730691.592000002</v>
      </c>
      <c r="G13" s="346">
        <f>F13*(1+0.07)^-($B13-Assumptions!$C$6)</f>
        <v>768447.76460538816</v>
      </c>
      <c r="I13" s="80" t="s">
        <v>1171</v>
      </c>
    </row>
    <row r="14" spans="2:12" ht="15" customHeight="1" x14ac:dyDescent="0.25">
      <c r="B14" s="2">
        <f t="shared" si="0"/>
        <v>2034</v>
      </c>
      <c r="C14" s="202">
        <f>_xlfn.XLOOKUP(B14,'Annualized Operations'!$B$13:$B$32,'Annualized Operations'!$F$13:$F$32,0,0,1)</f>
        <v>221331.94444444426</v>
      </c>
      <c r="D14" s="347">
        <f>_xlfn.XLOOKUP(B14,'Annualized Operations'!$B$13:$B$32,'Annualized Operations'!$G$13:$G$32,0,0,1)</f>
        <v>165998.95833333326</v>
      </c>
      <c r="E14" s="347">
        <f t="shared" si="1"/>
        <v>55332.986111111008</v>
      </c>
      <c r="F14" s="348">
        <f>E14*'Annualized Operations'!$N$22</f>
        <v>1739456.6046666631</v>
      </c>
      <c r="G14" s="346">
        <f>F14*(1+0.07)^-($B14-Assumptions!$C$6)</f>
        <v>721812.64958157204</v>
      </c>
      <c r="I14" s="323">
        <f>(J10-L10)*60*60</f>
        <v>59.999999999999986</v>
      </c>
    </row>
    <row r="15" spans="2:12" x14ac:dyDescent="0.25">
      <c r="B15" s="2">
        <f t="shared" si="0"/>
        <v>2035</v>
      </c>
      <c r="C15" s="202">
        <f>_xlfn.XLOOKUP(B15,'Annualized Operations'!$B$13:$B$32,'Annualized Operations'!$F$13:$F$32,0,0,1)</f>
        <v>222447.22222222225</v>
      </c>
      <c r="D15" s="347">
        <f>_xlfn.XLOOKUP(B15,'Annualized Operations'!$B$13:$B$32,'Annualized Operations'!$G$13:$G$32,0,0,1)</f>
        <v>166835.41666666674</v>
      </c>
      <c r="E15" s="347">
        <f t="shared" si="1"/>
        <v>55611.805555555504</v>
      </c>
      <c r="F15" s="348">
        <f>E15*'Annualized Operations'!$N$22</f>
        <v>1748221.6173333314</v>
      </c>
      <c r="G15" s="346">
        <f>F15*(1+0.07)^-($B15-Assumptions!$C$6)</f>
        <v>677990.48432105815</v>
      </c>
    </row>
    <row r="16" spans="2:12" x14ac:dyDescent="0.25">
      <c r="B16" s="2">
        <f t="shared" si="0"/>
        <v>2036</v>
      </c>
      <c r="C16" s="202">
        <f>_xlfn.XLOOKUP(B16,'Annualized Operations'!$B$13:$B$32,'Annualized Operations'!$F$13:$F$32,0,0,1)</f>
        <v>223562.49999999977</v>
      </c>
      <c r="D16" s="347">
        <f>_xlfn.XLOOKUP(B16,'Annualized Operations'!$B$13:$B$32,'Annualized Operations'!$G$13:$G$32,0,0,1)</f>
        <v>167671.875</v>
      </c>
      <c r="E16" s="347">
        <f t="shared" si="1"/>
        <v>55890.624999999767</v>
      </c>
      <c r="F16" s="348">
        <f>E16*'Annualized Operations'!$N$22</f>
        <v>1756986.6299999924</v>
      </c>
      <c r="G16" s="346">
        <f>F16*(1+0.07)^-($B16-Assumptions!$C$6)</f>
        <v>636812.81060834054</v>
      </c>
    </row>
    <row r="17" spans="1:9" x14ac:dyDescent="0.25">
      <c r="B17" s="2">
        <f t="shared" si="0"/>
        <v>2037</v>
      </c>
      <c r="C17" s="202">
        <f>_xlfn.XLOOKUP(B17,'Annualized Operations'!$B$13:$B$32,'Annualized Operations'!$F$13:$F$32,0,0,1)</f>
        <v>224677.77777777775</v>
      </c>
      <c r="D17" s="347">
        <f>_xlfn.XLOOKUP(B17,'Annualized Operations'!$B$13:$B$32,'Annualized Operations'!$G$13:$G$32,0,0,1)</f>
        <v>168508.33333333326</v>
      </c>
      <c r="E17" s="347">
        <f t="shared" si="1"/>
        <v>56169.444444444496</v>
      </c>
      <c r="F17" s="348">
        <f>E17*'Annualized Operations'!$N$22</f>
        <v>1765751.6426666679</v>
      </c>
      <c r="G17" s="346">
        <f>F17*(1+0.07)^-($B17-Assumptions!$C$6)</f>
        <v>598121.17248737579</v>
      </c>
    </row>
    <row r="18" spans="1:9" x14ac:dyDescent="0.25">
      <c r="B18" s="2">
        <f t="shared" si="0"/>
        <v>2038</v>
      </c>
      <c r="C18" s="202">
        <f>_xlfn.XLOOKUP(B18,'Annualized Operations'!$B$13:$B$32,'Annualized Operations'!$F$13:$F$32,0,0,1)</f>
        <v>225793.05555555527</v>
      </c>
      <c r="D18" s="347">
        <f>_xlfn.XLOOKUP(B18,'Annualized Operations'!$B$13:$B$32,'Annualized Operations'!$G$13:$G$32,0,0,1)</f>
        <v>169344.79166666674</v>
      </c>
      <c r="E18" s="347">
        <f t="shared" si="1"/>
        <v>56448.263888888527</v>
      </c>
      <c r="F18" s="348">
        <f>E18*'Annualized Operations'!$N$22</f>
        <v>1774516.6553333215</v>
      </c>
      <c r="G18" s="346">
        <f>F18*(1+0.07)^-($B18-Assumptions!$C$6)</f>
        <v>561766.52853055776</v>
      </c>
    </row>
    <row r="19" spans="1:9" x14ac:dyDescent="0.25">
      <c r="B19" s="2">
        <f t="shared" si="0"/>
        <v>2039</v>
      </c>
      <c r="C19" s="202">
        <f>_xlfn.XLOOKUP(B19,'Annualized Operations'!$B$13:$B$32,'Annualized Operations'!$F$13:$F$32,0,0,1)</f>
        <v>226908.33333333326</v>
      </c>
      <c r="D19" s="347">
        <f>_xlfn.XLOOKUP(B19,'Annualized Operations'!$B$13:$B$32,'Annualized Operations'!$G$13:$G$32,0,0,1)</f>
        <v>170181.25</v>
      </c>
      <c r="E19" s="347">
        <f t="shared" si="1"/>
        <v>56727.083333333256</v>
      </c>
      <c r="F19" s="348">
        <f>E19*'Annualized Operations'!$N$22</f>
        <v>1783281.6679999973</v>
      </c>
      <c r="G19" s="346">
        <f>F19*(1+0.07)^-($B19-Assumptions!$C$6)</f>
        <v>527608.69819899136</v>
      </c>
    </row>
    <row r="20" spans="1:9" x14ac:dyDescent="0.25">
      <c r="B20" s="2">
        <f t="shared" si="0"/>
        <v>2040</v>
      </c>
      <c r="C20" s="202">
        <f>_xlfn.XLOOKUP(B20,'Annualized Operations'!$B$13:$B$32,'Annualized Operations'!$F$13:$F$32,0,0,1)</f>
        <v>228023.61111111124</v>
      </c>
      <c r="D20" s="347">
        <f>_xlfn.XLOOKUP(B20,'Annualized Operations'!$B$13:$B$32,'Annualized Operations'!$G$13:$G$32,0,0,1)</f>
        <v>171017.70833333326</v>
      </c>
      <c r="E20" s="347">
        <f t="shared" si="1"/>
        <v>57005.902777777985</v>
      </c>
      <c r="F20" s="348">
        <f>E20*'Annualized Operations'!$N$22</f>
        <v>1792046.6806666728</v>
      </c>
      <c r="G20" s="346">
        <f>F20*(1+0.07)^-($B20-Assumptions!$C$6)</f>
        <v>495515.84034874989</v>
      </c>
    </row>
    <row r="21" spans="1:9" ht="14.25" customHeight="1" x14ac:dyDescent="0.25">
      <c r="B21" s="2">
        <f t="shared" si="0"/>
        <v>2041</v>
      </c>
      <c r="C21" s="202">
        <f>_xlfn.XLOOKUP(B21,'Annualized Operations'!$B$13:$B$32,'Annualized Operations'!$F$13:$F$32,0,0,1)</f>
        <v>229138.88888888876</v>
      </c>
      <c r="D21" s="347">
        <f>_xlfn.XLOOKUP(B21,'Annualized Operations'!$B$13:$B$32,'Annualized Operations'!$G$13:$G$32,0,0,1)</f>
        <v>171854.16666666674</v>
      </c>
      <c r="E21" s="347">
        <f t="shared" si="1"/>
        <v>57284.722222222015</v>
      </c>
      <c r="F21" s="348">
        <f>E21*'Annualized Operations'!$N$22</f>
        <v>1800811.6933333264</v>
      </c>
      <c r="G21" s="346">
        <f>F21*(1+0.07)^-($B21-Assumptions!$C$6)</f>
        <v>465363.96204675251</v>
      </c>
    </row>
    <row r="22" spans="1:9" x14ac:dyDescent="0.25">
      <c r="B22" s="2">
        <f t="shared" si="0"/>
        <v>2042</v>
      </c>
      <c r="C22" s="202">
        <f>_xlfn.XLOOKUP(B22,'Annualized Operations'!$B$13:$B$32,'Annualized Operations'!$F$13:$F$32,0,0,1)</f>
        <v>230254.16666666674</v>
      </c>
      <c r="D22" s="347">
        <f>_xlfn.XLOOKUP(B22,'Annualized Operations'!$B$13:$B$32,'Annualized Operations'!$G$13:$G$32,0,0,1)</f>
        <v>172690.625</v>
      </c>
      <c r="E22" s="347">
        <f t="shared" si="1"/>
        <v>57563.541666666744</v>
      </c>
      <c r="F22" s="348">
        <f>E22*'Annualized Operations'!$N$22</f>
        <v>1809576.7060000021</v>
      </c>
      <c r="G22" s="346">
        <f>F22*(1+0.07)^-($B22-Assumptions!$C$6)</f>
        <v>437036.45596236055</v>
      </c>
    </row>
    <row r="23" spans="1:9" x14ac:dyDescent="0.25">
      <c r="B23" s="2">
        <f t="shared" si="0"/>
        <v>2043</v>
      </c>
      <c r="C23" s="202">
        <f>_xlfn.XLOOKUP(B23,'Annualized Operations'!$B$13:$B$32,'Annualized Operations'!$F$13:$F$32,0,0,1)</f>
        <v>231369.44444444426</v>
      </c>
      <c r="D23" s="347">
        <f>_xlfn.XLOOKUP(B23,'Annualized Operations'!$B$13:$B$32,'Annualized Operations'!$G$13:$G$32,0,0,1)</f>
        <v>173527.08333333326</v>
      </c>
      <c r="E23" s="347">
        <f t="shared" si="1"/>
        <v>57842.361111111008</v>
      </c>
      <c r="F23" s="348">
        <f>E23*'Annualized Operations'!$N$22</f>
        <v>1818341.7186666632</v>
      </c>
      <c r="G23" s="346">
        <f>F23*(1+0.07)^-($B23-Assumptions!$C$6)</f>
        <v>410423.66469796078</v>
      </c>
    </row>
    <row r="24" spans="1:9" x14ac:dyDescent="0.25">
      <c r="B24" s="2">
        <f t="shared" si="0"/>
        <v>2044</v>
      </c>
      <c r="C24" s="202">
        <f>_xlfn.XLOOKUP(B24,'Annualized Operations'!$B$13:$B$32,'Annualized Operations'!$F$13:$F$32,0,0,1)</f>
        <v>232484.72222222225</v>
      </c>
      <c r="D24" s="347">
        <f>_xlfn.XLOOKUP(B24,'Annualized Operations'!$B$13:$B$32,'Annualized Operations'!$G$13:$G$32,0,0,1)</f>
        <v>174363.54166666674</v>
      </c>
      <c r="E24" s="347">
        <f t="shared" si="1"/>
        <v>58121.180555555504</v>
      </c>
      <c r="F24" s="348">
        <f>E24*'Annualized Operations'!$N$22</f>
        <v>1827106.7313333314</v>
      </c>
      <c r="G24" s="346">
        <f>F24*(1+0.07)^-($B24-Assumptions!$C$6)</f>
        <v>385422.47051382408</v>
      </c>
    </row>
    <row r="25" spans="1:9" x14ac:dyDescent="0.25">
      <c r="B25" s="2">
        <f t="shared" si="0"/>
        <v>2045</v>
      </c>
      <c r="C25" s="202">
        <f>_xlfn.XLOOKUP(B25,'Annualized Operations'!$B$13:$B$32,'Annualized Operations'!$F$13:$F$32,0,0,1)</f>
        <v>233599.99999999977</v>
      </c>
      <c r="D25" s="347">
        <f>_xlfn.XLOOKUP(B25,'Annualized Operations'!$B$13:$B$32,'Annualized Operations'!$G$13:$G$32,0,0,1)</f>
        <v>175200</v>
      </c>
      <c r="E25" s="347">
        <f t="shared" si="1"/>
        <v>58399.999999999767</v>
      </c>
      <c r="F25" s="348">
        <f>E25*'Annualized Operations'!$N$22</f>
        <v>1835871.7439999923</v>
      </c>
      <c r="G25" s="346">
        <f>F25*(1+0.07)^-($B25-Assumptions!$C$6)</f>
        <v>361935.90898910048</v>
      </c>
    </row>
    <row r="26" spans="1:9" ht="15" customHeight="1" thickBot="1" x14ac:dyDescent="0.3">
      <c r="B26" s="3">
        <f t="shared" si="0"/>
        <v>2046</v>
      </c>
      <c r="C26" s="350">
        <f>_xlfn.XLOOKUP(B26,'Annualized Operations'!$B$13:$B$32,'Annualized Operations'!$F$13:$F$32,0,0,1)</f>
        <v>234715.27777777775</v>
      </c>
      <c r="D26" s="351">
        <f>_xlfn.XLOOKUP(B26,'Annualized Operations'!$B$13:$B$32,'Annualized Operations'!$G$13:$G$32,0,0,1)</f>
        <v>176036.45833333326</v>
      </c>
      <c r="E26" s="351">
        <f t="shared" si="1"/>
        <v>58678.819444444496</v>
      </c>
      <c r="F26" s="352">
        <f>E26*'Annualized Operations'!$N$22</f>
        <v>1844636.756666668</v>
      </c>
      <c r="G26" s="349">
        <f>F26*(1+0.07)^-($B26-Assumptions!$C$6)</f>
        <v>339872.80524312513</v>
      </c>
    </row>
    <row r="27" spans="1:9" ht="15" customHeight="1" thickBot="1" x14ac:dyDescent="0.3">
      <c r="B27" s="4"/>
      <c r="C27" s="354"/>
      <c r="D27" s="48"/>
      <c r="E27" s="48"/>
      <c r="F27" s="353" t="s">
        <v>2</v>
      </c>
      <c r="G27" s="355">
        <f>SUM(G7:G26)</f>
        <v>13159727.982402749</v>
      </c>
    </row>
    <row r="28" spans="1:9" ht="15" customHeight="1" x14ac:dyDescent="0.25">
      <c r="H28" s="20"/>
      <c r="I28" s="20"/>
    </row>
    <row r="29" spans="1:9" x14ac:dyDescent="0.25">
      <c r="B29" s="6" t="s">
        <v>3</v>
      </c>
      <c r="G29" s="21"/>
    </row>
    <row r="30" spans="1:9" ht="15" customHeight="1" x14ac:dyDescent="0.25">
      <c r="A30" s="7" t="s">
        <v>20</v>
      </c>
      <c r="B30" s="503" t="s">
        <v>1187</v>
      </c>
      <c r="C30" s="503"/>
      <c r="D30" s="503"/>
      <c r="E30" s="503"/>
      <c r="F30" s="503"/>
      <c r="G30" s="503"/>
      <c r="H30" s="21"/>
      <c r="I30" s="21"/>
    </row>
    <row r="31" spans="1:9" ht="15" customHeight="1" x14ac:dyDescent="0.25">
      <c r="B31" s="503"/>
      <c r="C31" s="503"/>
      <c r="D31" s="503"/>
      <c r="E31" s="503"/>
      <c r="F31" s="503"/>
      <c r="G31" s="503"/>
      <c r="H31" s="21"/>
      <c r="I31" s="21"/>
    </row>
    <row r="32" spans="1:9" ht="15" customHeight="1" x14ac:dyDescent="0.25">
      <c r="B32" s="503"/>
      <c r="C32" s="503"/>
      <c r="D32" s="503"/>
      <c r="E32" s="503"/>
      <c r="F32" s="503"/>
      <c r="G32" s="503"/>
      <c r="H32" s="21"/>
      <c r="I32" s="21"/>
    </row>
    <row r="33" spans="1:9" ht="15" customHeight="1" x14ac:dyDescent="0.25">
      <c r="A33" t="s">
        <v>19</v>
      </c>
      <c r="B33" s="503" t="s">
        <v>1180</v>
      </c>
      <c r="C33" s="503"/>
      <c r="D33" s="503"/>
      <c r="E33" s="503"/>
      <c r="F33" s="503"/>
      <c r="G33" s="503"/>
      <c r="H33" s="21"/>
      <c r="I33" s="21"/>
    </row>
    <row r="34" spans="1:9" ht="15" customHeight="1" x14ac:dyDescent="0.25">
      <c r="B34" s="503"/>
      <c r="C34" s="503"/>
      <c r="D34" s="503"/>
      <c r="E34" s="503"/>
      <c r="F34" s="503"/>
      <c r="G34" s="503"/>
      <c r="H34" s="21"/>
      <c r="I34" s="21"/>
    </row>
    <row r="35" spans="1:9" ht="15" customHeight="1" x14ac:dyDescent="0.25">
      <c r="B35" s="21"/>
      <c r="C35" s="21"/>
      <c r="D35" s="21"/>
      <c r="E35" s="21"/>
      <c r="F35" s="21"/>
      <c r="G35" s="21"/>
      <c r="H35" s="21"/>
      <c r="I35" s="21"/>
    </row>
    <row r="36" spans="1:9" ht="15" customHeight="1" x14ac:dyDescent="0.25">
      <c r="B36" s="21"/>
      <c r="C36" s="21"/>
      <c r="D36" s="21"/>
      <c r="E36" s="21"/>
      <c r="F36" s="21"/>
      <c r="G36" s="21"/>
      <c r="H36" s="21"/>
      <c r="I36" s="21"/>
    </row>
    <row r="37" spans="1:9" ht="15" customHeight="1" x14ac:dyDescent="0.25">
      <c r="B37" s="21"/>
      <c r="C37" s="21"/>
      <c r="D37" s="21"/>
      <c r="E37" s="21"/>
      <c r="F37" s="21"/>
      <c r="G37" s="21"/>
      <c r="H37" s="21"/>
      <c r="I37" s="21"/>
    </row>
    <row r="38" spans="1:9" x14ac:dyDescent="0.25">
      <c r="B38" s="21"/>
      <c r="C38" s="21"/>
      <c r="D38" s="21"/>
      <c r="E38" s="21"/>
      <c r="F38" s="21"/>
      <c r="G38" s="21"/>
      <c r="H38" s="21"/>
      <c r="I38" s="21"/>
    </row>
    <row r="39" spans="1:9" ht="15" customHeight="1" x14ac:dyDescent="0.25">
      <c r="B39" s="21"/>
      <c r="C39" s="21"/>
      <c r="D39" s="21"/>
      <c r="E39" s="21"/>
      <c r="F39" s="21"/>
      <c r="G39" s="21"/>
      <c r="H39" s="21"/>
      <c r="I39" s="21"/>
    </row>
    <row r="40" spans="1:9" ht="15" customHeight="1" x14ac:dyDescent="0.25">
      <c r="B40" s="21"/>
      <c r="C40" s="21"/>
      <c r="D40" s="21"/>
      <c r="E40" s="21"/>
      <c r="F40" s="21"/>
      <c r="G40" s="21"/>
      <c r="H40" s="21"/>
      <c r="I40" s="21"/>
    </row>
    <row r="41" spans="1:9" ht="15" customHeight="1" x14ac:dyDescent="0.25">
      <c r="B41" s="21"/>
      <c r="C41" s="21"/>
      <c r="D41" s="21"/>
      <c r="E41" s="21"/>
      <c r="F41" s="21"/>
      <c r="G41" s="21"/>
      <c r="H41" s="21"/>
      <c r="I41" s="21"/>
    </row>
    <row r="42" spans="1:9" ht="15" customHeight="1" x14ac:dyDescent="0.25">
      <c r="B42" s="21"/>
      <c r="C42" s="21"/>
      <c r="D42" s="21"/>
      <c r="E42" s="21"/>
      <c r="F42" s="21"/>
      <c r="G42" s="21"/>
      <c r="H42" s="21"/>
      <c r="I42" s="21"/>
    </row>
    <row r="43" spans="1:9" x14ac:dyDescent="0.25">
      <c r="B43" s="21"/>
      <c r="C43" s="21"/>
      <c r="D43" s="21"/>
      <c r="E43" s="21"/>
      <c r="F43" s="21"/>
      <c r="G43" s="21"/>
      <c r="H43" s="21"/>
      <c r="I43" s="21"/>
    </row>
    <row r="44" spans="1:9" x14ac:dyDescent="0.25">
      <c r="B44" s="21"/>
      <c r="C44" s="21"/>
      <c r="D44" s="21"/>
      <c r="E44" s="21"/>
      <c r="F44" s="21"/>
      <c r="G44" s="21"/>
      <c r="H44" s="21"/>
      <c r="I44" s="21"/>
    </row>
    <row r="45" spans="1:9" ht="15" customHeight="1" x14ac:dyDescent="0.25">
      <c r="A45" s="7"/>
      <c r="B45" s="21"/>
      <c r="C45" s="21"/>
      <c r="D45" s="21"/>
      <c r="E45" s="21"/>
      <c r="F45" s="21"/>
      <c r="G45" s="21"/>
      <c r="H45" s="21"/>
      <c r="I45" s="21"/>
    </row>
    <row r="46" spans="1:9" x14ac:dyDescent="0.25">
      <c r="B46" s="21"/>
      <c r="C46" s="21"/>
      <c r="D46" s="21"/>
      <c r="E46" s="21"/>
      <c r="F46" s="21"/>
      <c r="G46" s="21"/>
      <c r="H46" s="21"/>
      <c r="I46" s="21"/>
    </row>
    <row r="48" spans="1:9" x14ac:dyDescent="0.25">
      <c r="A48" s="7"/>
    </row>
  </sheetData>
  <mergeCells count="12">
    <mergeCell ref="B33:G34"/>
    <mergeCell ref="K8:L8"/>
    <mergeCell ref="B30:G32"/>
    <mergeCell ref="B4:G4"/>
    <mergeCell ref="I8:J8"/>
    <mergeCell ref="I7:L7"/>
    <mergeCell ref="B5:B6"/>
    <mergeCell ref="C5:C6"/>
    <mergeCell ref="D5:D6"/>
    <mergeCell ref="E5:E6"/>
    <mergeCell ref="F5:F6"/>
    <mergeCell ref="G5:G6"/>
  </mergeCells>
  <pageMargins left="0.25" right="0.25" top="0.75" bottom="0.75" header="0.3" footer="0.3"/>
  <pageSetup paperSize="119"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7A868-7967-4386-A2BF-B35513743EA9}">
  <sheetPr>
    <tabColor rgb="FF00B050"/>
    <pageSetUpPr fitToPage="1"/>
  </sheetPr>
  <dimension ref="A1:AU55"/>
  <sheetViews>
    <sheetView view="pageBreakPreview" topLeftCell="C5" zoomScale="85" zoomScaleNormal="40" zoomScaleSheetLayoutView="85" workbookViewId="0">
      <selection activeCell="G25" sqref="G6:G25"/>
    </sheetView>
  </sheetViews>
  <sheetFormatPr defaultRowHeight="15" x14ac:dyDescent="0.25"/>
  <cols>
    <col min="1" max="1" width="3.7109375" customWidth="1"/>
    <col min="2" max="8" width="20.7109375" customWidth="1"/>
    <col min="9" max="10" width="5.7109375" customWidth="1"/>
    <col min="11" max="11" width="44" customWidth="1"/>
    <col min="12" max="12" width="11.140625" bestFit="1" customWidth="1"/>
    <col min="13" max="14" width="21.85546875" customWidth="1"/>
    <col min="15" max="16" width="10.85546875" customWidth="1"/>
    <col min="17" max="17" width="12.5703125" customWidth="1"/>
    <col min="18" max="18" width="18" bestFit="1" customWidth="1"/>
    <col min="19" max="19" width="22.7109375" bestFit="1" customWidth="1"/>
    <col min="20" max="20" width="34.140625" bestFit="1" customWidth="1"/>
    <col min="21" max="22" width="16" bestFit="1" customWidth="1"/>
    <col min="36" max="36" width="21.7109375" customWidth="1"/>
    <col min="37" max="37" width="14.85546875" customWidth="1"/>
    <col min="48" max="48" width="10.85546875" bestFit="1" customWidth="1"/>
    <col min="49" max="49" width="27.28515625" customWidth="1"/>
    <col min="50" max="50" width="11" bestFit="1" customWidth="1"/>
    <col min="51" max="51" width="11.5703125" bestFit="1" customWidth="1"/>
  </cols>
  <sheetData>
    <row r="1" spans="2:14" x14ac:dyDescent="0.25">
      <c r="B1" s="20">
        <v>1</v>
      </c>
      <c r="C1" s="20">
        <v>2</v>
      </c>
      <c r="D1" s="20">
        <v>3</v>
      </c>
      <c r="E1" s="20">
        <v>4</v>
      </c>
      <c r="F1" s="20">
        <v>5</v>
      </c>
      <c r="G1" s="20">
        <v>6</v>
      </c>
      <c r="H1" s="20">
        <v>7</v>
      </c>
    </row>
    <row r="2" spans="2:14" x14ac:dyDescent="0.25">
      <c r="B2" s="6" t="s">
        <v>710</v>
      </c>
    </row>
    <row r="3" spans="2:14" ht="15.75" customHeight="1" thickBot="1" x14ac:dyDescent="0.3">
      <c r="K3" s="50"/>
    </row>
    <row r="4" spans="2:14" ht="35.1" customHeight="1" x14ac:dyDescent="0.25">
      <c r="B4" s="491" t="s">
        <v>0</v>
      </c>
      <c r="C4" s="491" t="s">
        <v>718</v>
      </c>
      <c r="D4" s="521" t="s">
        <v>719</v>
      </c>
      <c r="E4" s="491" t="s">
        <v>720</v>
      </c>
      <c r="F4" s="491" t="s">
        <v>721</v>
      </c>
      <c r="G4" s="523" t="s">
        <v>722</v>
      </c>
      <c r="H4" s="525" t="s">
        <v>1</v>
      </c>
      <c r="K4" s="50"/>
    </row>
    <row r="5" spans="2:14" ht="43.5" customHeight="1" thickBot="1" x14ac:dyDescent="0.3">
      <c r="B5" s="493"/>
      <c r="C5" s="493"/>
      <c r="D5" s="522"/>
      <c r="E5" s="493"/>
      <c r="F5" s="493"/>
      <c r="G5" s="524"/>
      <c r="H5" s="526"/>
      <c r="K5" s="6" t="s">
        <v>754</v>
      </c>
      <c r="L5" s="55" t="s">
        <v>29</v>
      </c>
      <c r="M5" s="358" t="s">
        <v>30</v>
      </c>
      <c r="N5" s="358"/>
    </row>
    <row r="6" spans="2:14" x14ac:dyDescent="0.25">
      <c r="B6" s="1">
        <f>Assumptions!C10</f>
        <v>2027</v>
      </c>
      <c r="C6" s="311">
        <f>_xlfn.XLOOKUP(B6,'Annualized Operations'!$B$13:$B$32,'Annualized Operations'!C$13:C$32)</f>
        <v>4804312.5</v>
      </c>
      <c r="D6" s="361">
        <f>_xlfn.XLOOKUP(B6,'Annualized Operations'!$B$13:$B$32,'Annualized Operations'!C$13:C$32)</f>
        <v>4804312.5</v>
      </c>
      <c r="E6" s="310">
        <f>C6*$L$17</f>
        <v>213416.41655880003</v>
      </c>
      <c r="F6" s="309">
        <f>D6*$M$17</f>
        <v>0</v>
      </c>
      <c r="G6" s="362">
        <f>(E6-F6)</f>
        <v>213416.41655880003</v>
      </c>
      <c r="H6" s="309">
        <f>G6*(1+0.07)^-(B6-Assumptions!$C$6)</f>
        <v>142208.36960874201</v>
      </c>
      <c r="K6" s="61" t="s">
        <v>727</v>
      </c>
      <c r="L6" s="62">
        <f>R54</f>
        <v>4.2549640000000014E-2</v>
      </c>
      <c r="M6" s="62">
        <v>0</v>
      </c>
      <c r="N6" s="207"/>
    </row>
    <row r="7" spans="2:14" x14ac:dyDescent="0.25">
      <c r="B7" s="2">
        <f t="shared" ref="B7:B25" si="0">B6+1</f>
        <v>2028</v>
      </c>
      <c r="C7" s="311">
        <f>_xlfn.XLOOKUP(B7,'Annualized Operations'!$B$13:$B$32,'Annualized Operations'!C$13:C$32)</f>
        <v>4829406.25</v>
      </c>
      <c r="D7" s="361">
        <f>_xlfn.XLOOKUP(B7,'Annualized Operations'!$B$13:$B$32,'Annualized Operations'!C$13:C$32)</f>
        <v>4829406.25</v>
      </c>
      <c r="E7" s="310">
        <f>C7*$L$17</f>
        <v>214531.12718660003</v>
      </c>
      <c r="F7" s="310">
        <f>D7*$M$17</f>
        <v>0</v>
      </c>
      <c r="G7" s="362">
        <f>(E7-F7)</f>
        <v>214531.12718660003</v>
      </c>
      <c r="H7" s="310">
        <f>G7*(1+0.07)^-(B7-Assumptions!$C$6)</f>
        <v>133599.20408166555</v>
      </c>
      <c r="K7" s="61" t="s">
        <v>729</v>
      </c>
      <c r="L7" s="62">
        <f>R55</f>
        <v>8.9354719999999901E-2</v>
      </c>
      <c r="M7" s="62">
        <v>0</v>
      </c>
      <c r="N7" s="207"/>
    </row>
    <row r="8" spans="2:14" x14ac:dyDescent="0.25">
      <c r="B8" s="2">
        <f t="shared" si="0"/>
        <v>2029</v>
      </c>
      <c r="C8" s="311">
        <f>_xlfn.XLOOKUP(B8,'Annualized Operations'!$B$13:$B$32,'Annualized Operations'!C$13:C$32)</f>
        <v>4854500</v>
      </c>
      <c r="D8" s="361">
        <f>_xlfn.XLOOKUP(B8,'Annualized Operations'!$B$13:$B$32,'Annualized Operations'!C$13:C$32)</f>
        <v>4854500</v>
      </c>
      <c r="E8" s="310">
        <f t="shared" ref="E8:E25" si="1">C8*$L$17</f>
        <v>215645.83781440003</v>
      </c>
      <c r="F8" s="310">
        <f>D8*$M$17</f>
        <v>0</v>
      </c>
      <c r="G8" s="362">
        <f t="shared" ref="G8:G25" si="2">(E8-F8)</f>
        <v>215645.83781440003</v>
      </c>
      <c r="H8" s="310">
        <f>G8*(1+0.07)^-(B8-Assumptions!$C$6)</f>
        <v>125507.84096953645</v>
      </c>
      <c r="J8" s="54"/>
      <c r="K8" s="50" t="s">
        <v>755</v>
      </c>
      <c r="L8" s="56"/>
      <c r="M8" s="20"/>
      <c r="N8" s="20"/>
    </row>
    <row r="9" spans="2:14" ht="14.25" customHeight="1" x14ac:dyDescent="0.25">
      <c r="B9" s="2">
        <f t="shared" si="0"/>
        <v>2030</v>
      </c>
      <c r="C9" s="311">
        <f>_xlfn.XLOOKUP(B9,'Annualized Operations'!$B$13:$B$32,'Annualized Operations'!C$13:C$32)</f>
        <v>4879593.75</v>
      </c>
      <c r="D9" s="361">
        <f>_xlfn.XLOOKUP(B9,'Annualized Operations'!$B$13:$B$32,'Annualized Operations'!C$13:C$32)</f>
        <v>4879593.75</v>
      </c>
      <c r="E9" s="310">
        <f t="shared" si="1"/>
        <v>216760.54844220003</v>
      </c>
      <c r="F9" s="310">
        <f>D9*$M$17</f>
        <v>0</v>
      </c>
      <c r="G9" s="362">
        <f t="shared" si="2"/>
        <v>216760.54844220003</v>
      </c>
      <c r="H9" s="310">
        <f>G9*(1+0.07)^-(B9-Assumptions!$C$6)</f>
        <v>117903.37635875838</v>
      </c>
      <c r="J9" s="54"/>
      <c r="K9" s="404"/>
      <c r="L9" s="56"/>
      <c r="M9" s="20"/>
      <c r="N9" s="20"/>
    </row>
    <row r="10" spans="2:14" x14ac:dyDescent="0.25">
      <c r="B10" s="2">
        <f t="shared" si="0"/>
        <v>2031</v>
      </c>
      <c r="C10" s="311">
        <f>_xlfn.XLOOKUP(B10,'Annualized Operations'!$B$13:$B$32,'Annualized Operations'!C$13:C$32)</f>
        <v>4904687.5</v>
      </c>
      <c r="D10" s="361">
        <f>_xlfn.XLOOKUP(B10,'Annualized Operations'!$B$13:$B$32,'Annualized Operations'!C$13:C$32)</f>
        <v>4904687.5</v>
      </c>
      <c r="E10" s="310">
        <f t="shared" si="1"/>
        <v>217875.25907000003</v>
      </c>
      <c r="F10" s="310">
        <f>D10*$M$17</f>
        <v>0</v>
      </c>
      <c r="G10" s="362">
        <f t="shared" si="2"/>
        <v>217875.25907000003</v>
      </c>
      <c r="H10" s="310">
        <f>G10*(1+0.07)^-(B10-Assumptions!$C$6)</f>
        <v>110756.73372190277</v>
      </c>
      <c r="K10" s="363"/>
    </row>
    <row r="11" spans="2:14" x14ac:dyDescent="0.25">
      <c r="B11" s="2">
        <f t="shared" si="0"/>
        <v>2032</v>
      </c>
      <c r="C11" s="311">
        <f>_xlfn.XLOOKUP(B11,'Annualized Operations'!$B$13:$B$32,'Annualized Operations'!C$13:C$32)</f>
        <v>4929781.25</v>
      </c>
      <c r="D11" s="369">
        <f>_xlfn.XLOOKUP(B11,'Annualized Operations'!$B$13:$B$32,'Annualized Operations'!C$13:C$32)</f>
        <v>4929781.25</v>
      </c>
      <c r="E11" s="370">
        <f t="shared" si="1"/>
        <v>218989.96969780003</v>
      </c>
      <c r="F11" s="370">
        <f t="shared" ref="F11:F25" si="3">D11*$M$17</f>
        <v>0</v>
      </c>
      <c r="G11" s="371">
        <f t="shared" si="2"/>
        <v>218989.96969780003</v>
      </c>
      <c r="H11" s="370">
        <f>G11*(1+0.07)^-(B11-Assumptions!$C$6)</f>
        <v>104040.55708456069</v>
      </c>
    </row>
    <row r="12" spans="2:14" ht="17.25" x14ac:dyDescent="0.25">
      <c r="B12" s="2">
        <f t="shared" si="0"/>
        <v>2033</v>
      </c>
      <c r="C12" s="311">
        <f>_xlfn.XLOOKUP(B12,'Annualized Operations'!$B$13:$B$32,'Annualized Operations'!C$13:C$32)</f>
        <v>4954875</v>
      </c>
      <c r="D12" s="378">
        <f>_xlfn.XLOOKUP(B12,'Annualized Operations'!$B$13:$B$32,'Annualized Operations'!C$13:C$32)</f>
        <v>4954875</v>
      </c>
      <c r="E12" s="370">
        <f t="shared" si="1"/>
        <v>220104.68032560003</v>
      </c>
      <c r="F12" s="370">
        <f>D12*$M$17</f>
        <v>0</v>
      </c>
      <c r="G12" s="371">
        <f t="shared" si="2"/>
        <v>220104.68032560003</v>
      </c>
      <c r="H12" s="370">
        <f>G12*(1+0.07)^-(B12-Assumptions!$C$6)</f>
        <v>97729.110349425391</v>
      </c>
      <c r="K12" s="474" t="s">
        <v>747</v>
      </c>
      <c r="L12" s="474"/>
    </row>
    <row r="13" spans="2:14" ht="15" customHeight="1" x14ac:dyDescent="0.25">
      <c r="B13" s="2">
        <f t="shared" si="0"/>
        <v>2034</v>
      </c>
      <c r="C13" s="311">
        <f>_xlfn.XLOOKUP(B13,'Annualized Operations'!$B$13:$B$32,'Annualized Operations'!C$13:C$32)</f>
        <v>4979968.75</v>
      </c>
      <c r="D13" s="378">
        <f>_xlfn.XLOOKUP(B13,'Annualized Operations'!$B$13:$B$32,'Annualized Operations'!C$13:C$32)</f>
        <v>4979968.75</v>
      </c>
      <c r="E13" s="370">
        <f t="shared" si="1"/>
        <v>221219.39095340003</v>
      </c>
      <c r="F13" s="370">
        <f t="shared" si="3"/>
        <v>0</v>
      </c>
      <c r="G13" s="371">
        <f t="shared" si="2"/>
        <v>221219.39095340003</v>
      </c>
      <c r="H13" s="370">
        <f>G13*(1+0.07)^-(B13-Assumptions!$C$6)</f>
        <v>91798.182429216191</v>
      </c>
      <c r="K13" s="61" t="s">
        <v>43</v>
      </c>
      <c r="L13" s="58">
        <f>1-L14</f>
        <v>0.96</v>
      </c>
      <c r="M13" s="58">
        <f>1-M14</f>
        <v>0.96</v>
      </c>
      <c r="N13" s="208"/>
    </row>
    <row r="14" spans="2:14" x14ac:dyDescent="0.25">
      <c r="B14" s="2">
        <f t="shared" si="0"/>
        <v>2035</v>
      </c>
      <c r="C14" s="311">
        <f>_xlfn.XLOOKUP(B14,'Annualized Operations'!$B$13:$B$32,'Annualized Operations'!C$13:C$32)</f>
        <v>5005062.5</v>
      </c>
      <c r="D14" s="378">
        <f>_xlfn.XLOOKUP(B14,'Annualized Operations'!$B$13:$B$32,'Annualized Operations'!C$13:C$32)</f>
        <v>5005062.5</v>
      </c>
      <c r="E14" s="370">
        <f t="shared" si="1"/>
        <v>222334.10158120003</v>
      </c>
      <c r="F14" s="370">
        <f t="shared" si="3"/>
        <v>0</v>
      </c>
      <c r="G14" s="371">
        <f t="shared" si="2"/>
        <v>222334.10158120003</v>
      </c>
      <c r="H14" s="370">
        <f>G14*(1+0.07)^-(B14-Assumptions!$C$6)</f>
        <v>86224.997859286654</v>
      </c>
      <c r="K14" s="61" t="s">
        <v>44</v>
      </c>
      <c r="L14" s="58">
        <f>'Annualized Operations'!$N$15</f>
        <v>0.04</v>
      </c>
      <c r="M14" s="58">
        <f>'Annualized Operations'!$N$15</f>
        <v>0.04</v>
      </c>
      <c r="N14" s="208"/>
    </row>
    <row r="15" spans="2:14" x14ac:dyDescent="0.25">
      <c r="B15" s="2">
        <f t="shared" si="0"/>
        <v>2036</v>
      </c>
      <c r="C15" s="311">
        <f>_xlfn.XLOOKUP(B15,'Annualized Operations'!$B$13:$B$32,'Annualized Operations'!C$13:C$32)</f>
        <v>5030156.25</v>
      </c>
      <c r="D15" s="378">
        <f>_xlfn.XLOOKUP(B15,'Annualized Operations'!$B$13:$B$32,'Annualized Operations'!C$13:C$32)</f>
        <v>5030156.25</v>
      </c>
      <c r="E15" s="370">
        <f t="shared" si="1"/>
        <v>223448.81220900003</v>
      </c>
      <c r="F15" s="370">
        <f t="shared" si="3"/>
        <v>0</v>
      </c>
      <c r="G15" s="371">
        <f t="shared" si="2"/>
        <v>223448.81220900003</v>
      </c>
      <c r="H15" s="370">
        <f>G15*(1+0.07)^-(B15-Assumptions!$C$6)</f>
        <v>80988.13257896516</v>
      </c>
      <c r="K15" s="50"/>
      <c r="L15" s="51"/>
    </row>
    <row r="16" spans="2:14" x14ac:dyDescent="0.25">
      <c r="B16" s="2">
        <f t="shared" si="0"/>
        <v>2037</v>
      </c>
      <c r="C16" s="311">
        <f>_xlfn.XLOOKUP(B16,'Annualized Operations'!$B$13:$B$32,'Annualized Operations'!C$13:C$32)</f>
        <v>5055250</v>
      </c>
      <c r="D16" s="378">
        <f>_xlfn.XLOOKUP(B16,'Annualized Operations'!$B$13:$B$32,'Annualized Operations'!C$13:C$32)</f>
        <v>5055250</v>
      </c>
      <c r="E16" s="370">
        <f t="shared" si="1"/>
        <v>224563.52283680002</v>
      </c>
      <c r="F16" s="370">
        <f t="shared" si="3"/>
        <v>0</v>
      </c>
      <c r="G16" s="371">
        <f t="shared" si="2"/>
        <v>224563.52283680002</v>
      </c>
      <c r="H16" s="370">
        <f>G16*(1+0.07)^-(B16-Assumptions!$C$6)</f>
        <v>76067.434587910582</v>
      </c>
      <c r="K16" s="22" t="s">
        <v>736</v>
      </c>
      <c r="L16" s="20"/>
    </row>
    <row r="17" spans="1:47" x14ac:dyDescent="0.25">
      <c r="B17" s="2">
        <f t="shared" si="0"/>
        <v>2038</v>
      </c>
      <c r="C17" s="311">
        <f>_xlfn.XLOOKUP(B17,'Annualized Operations'!$B$13:$B$32,'Annualized Operations'!C$13:C$32)</f>
        <v>5080343.75</v>
      </c>
      <c r="D17" s="378">
        <f>_xlfn.XLOOKUP(B17,'Annualized Operations'!$B$13:$B$32,'Annualized Operations'!C$13:C$32)</f>
        <v>5080343.75</v>
      </c>
      <c r="E17" s="370">
        <f t="shared" si="1"/>
        <v>225678.23346460002</v>
      </c>
      <c r="F17" s="370">
        <f t="shared" si="3"/>
        <v>0</v>
      </c>
      <c r="G17" s="371">
        <f t="shared" si="2"/>
        <v>225678.23346460002</v>
      </c>
      <c r="H17" s="370">
        <f>G17*(1+0.07)^-(B17-Assumptions!$C$6)</f>
        <v>71443.949200072908</v>
      </c>
      <c r="K17" s="343" t="s">
        <v>737</v>
      </c>
      <c r="L17" s="385">
        <f>(L6*L13)+(L7*L14)</f>
        <v>4.4421843200000005E-2</v>
      </c>
      <c r="M17" s="385">
        <f>(M6*M13)+(M7*M14)</f>
        <v>0</v>
      </c>
      <c r="N17" s="386"/>
    </row>
    <row r="18" spans="1:47" x14ac:dyDescent="0.25">
      <c r="B18" s="2">
        <f t="shared" si="0"/>
        <v>2039</v>
      </c>
      <c r="C18" s="311">
        <f>_xlfn.XLOOKUP(B18,'Annualized Operations'!$B$13:$B$32,'Annualized Operations'!C$13:C$32)</f>
        <v>5105437.5</v>
      </c>
      <c r="D18" s="378">
        <f>_xlfn.XLOOKUP(B18,'Annualized Operations'!$B$13:$B$32,'Annualized Operations'!C$13:C$32)</f>
        <v>5105437.5</v>
      </c>
      <c r="E18" s="370">
        <f t="shared" si="1"/>
        <v>226792.94409240002</v>
      </c>
      <c r="F18" s="370">
        <f t="shared" si="3"/>
        <v>0</v>
      </c>
      <c r="G18" s="371">
        <f t="shared" si="2"/>
        <v>226792.94409240002</v>
      </c>
      <c r="H18" s="370">
        <f>G18*(1+0.07)^-(B18-Assumptions!$C$6)</f>
        <v>67099.848633282745</v>
      </c>
      <c r="K18" s="50"/>
      <c r="L18" s="51"/>
      <c r="AU18" s="259"/>
    </row>
    <row r="19" spans="1:47" x14ac:dyDescent="0.25">
      <c r="B19" s="2">
        <f t="shared" si="0"/>
        <v>2040</v>
      </c>
      <c r="C19" s="311">
        <f>_xlfn.XLOOKUP(B19,'Annualized Operations'!$B$13:$B$32,'Annualized Operations'!C$13:C$32)</f>
        <v>5130531.25</v>
      </c>
      <c r="D19" s="378">
        <f>_xlfn.XLOOKUP(B19,'Annualized Operations'!$B$13:$B$32,'Annualized Operations'!C$13:C$32)</f>
        <v>5130531.25</v>
      </c>
      <c r="E19" s="370">
        <f t="shared" si="1"/>
        <v>227907.65472020002</v>
      </c>
      <c r="F19" s="370">
        <f t="shared" si="3"/>
        <v>0</v>
      </c>
      <c r="G19" s="371">
        <f t="shared" si="2"/>
        <v>227907.65472020002</v>
      </c>
      <c r="H19" s="370">
        <f>G19*(1+0.07)^-(B19-Assumptions!$C$6)</f>
        <v>63018.36568709249</v>
      </c>
      <c r="K19" s="22" t="s">
        <v>756</v>
      </c>
      <c r="L19" s="401"/>
      <c r="O19" s="6" t="s">
        <v>738</v>
      </c>
      <c r="AQ19" s="259"/>
    </row>
    <row r="20" spans="1:47" ht="14.25" customHeight="1" x14ac:dyDescent="0.25">
      <c r="B20" s="2">
        <f t="shared" si="0"/>
        <v>2041</v>
      </c>
      <c r="C20" s="311">
        <f>_xlfn.XLOOKUP(B20,'Annualized Operations'!$B$13:$B$32,'Annualized Operations'!C$13:C$32)</f>
        <v>5155625</v>
      </c>
      <c r="D20" s="378">
        <f>_xlfn.XLOOKUP(B20,'Annualized Operations'!$B$13:$B$32,'Annualized Operations'!C$13:C$32)</f>
        <v>5155625</v>
      </c>
      <c r="E20" s="370">
        <f t="shared" si="1"/>
        <v>229022.36534800002</v>
      </c>
      <c r="F20" s="370">
        <f>D20*$M$17</f>
        <v>0</v>
      </c>
      <c r="G20" s="371">
        <f t="shared" si="2"/>
        <v>229022.36534800002</v>
      </c>
      <c r="H20" s="370">
        <f>G20*(1+0.07)^-(B20-Assumptions!$C$6)</f>
        <v>59183.731275303682</v>
      </c>
      <c r="K20" s="402" t="s">
        <v>63</v>
      </c>
      <c r="L20" s="402" t="s">
        <v>757</v>
      </c>
      <c r="O20" s="6" t="s">
        <v>739</v>
      </c>
    </row>
    <row r="21" spans="1:47" x14ac:dyDescent="0.25">
      <c r="B21" s="2">
        <f t="shared" si="0"/>
        <v>2042</v>
      </c>
      <c r="C21" s="311">
        <f>_xlfn.XLOOKUP(B21,'Annualized Operations'!$B$13:$B$32,'Annualized Operations'!C$13:C$32)</f>
        <v>5180718.75</v>
      </c>
      <c r="D21" s="378">
        <f>_xlfn.XLOOKUP(B21,'Annualized Operations'!$B$13:$B$32,'Annualized Operations'!C$13:C$32)</f>
        <v>5180718.75</v>
      </c>
      <c r="E21" s="370">
        <f t="shared" si="1"/>
        <v>230137.07597580002</v>
      </c>
      <c r="F21" s="370">
        <f t="shared" si="3"/>
        <v>0</v>
      </c>
      <c r="G21" s="371">
        <f t="shared" si="2"/>
        <v>230137.07597580002</v>
      </c>
      <c r="H21" s="370">
        <f>G21*(1+0.07)^-(B21-Assumptions!$C$6)</f>
        <v>55581.115592678296</v>
      </c>
      <c r="K21" s="403">
        <v>2003</v>
      </c>
      <c r="L21" s="403">
        <v>1.44</v>
      </c>
      <c r="O21" s="393" t="s">
        <v>740</v>
      </c>
      <c r="AQ21" s="387"/>
      <c r="AR21" s="388"/>
      <c r="AS21" s="388"/>
    </row>
    <row r="22" spans="1:47" x14ac:dyDescent="0.25">
      <c r="B22" s="2">
        <f t="shared" si="0"/>
        <v>2043</v>
      </c>
      <c r="C22" s="311">
        <f>_xlfn.XLOOKUP(B22,'Annualized Operations'!$B$13:$B$32,'Annualized Operations'!C$13:C$32)</f>
        <v>5205812.5</v>
      </c>
      <c r="D22" s="378">
        <f>_xlfn.XLOOKUP(B22,'Annualized Operations'!$B$13:$B$32,'Annualized Operations'!C$13:C$32)</f>
        <v>5205812.5</v>
      </c>
      <c r="E22" s="370">
        <f t="shared" si="1"/>
        <v>231251.78660360002</v>
      </c>
      <c r="F22" s="370">
        <f t="shared" si="3"/>
        <v>0</v>
      </c>
      <c r="G22" s="371">
        <f t="shared" si="2"/>
        <v>231251.78660360002</v>
      </c>
      <c r="H22" s="370">
        <f>G22*(1+0.07)^-(B22-Assumptions!$C$6)</f>
        <v>52196.572707684405</v>
      </c>
      <c r="K22" s="403">
        <v>2004</v>
      </c>
      <c r="L22" s="403">
        <v>1.4</v>
      </c>
      <c r="AQ22" s="387"/>
      <c r="AR22" s="389"/>
      <c r="AS22" s="389"/>
    </row>
    <row r="23" spans="1:47" x14ac:dyDescent="0.25">
      <c r="B23" s="2">
        <f t="shared" si="0"/>
        <v>2044</v>
      </c>
      <c r="C23" s="311">
        <f>_xlfn.XLOOKUP(B23,'Annualized Operations'!$B$13:$B$32,'Annualized Operations'!C$13:C$32)</f>
        <v>5230906.25</v>
      </c>
      <c r="D23" s="378">
        <f>_xlfn.XLOOKUP(B23,'Annualized Operations'!$B$13:$B$32,'Annualized Operations'!C$13:C$32)</f>
        <v>5230906.25</v>
      </c>
      <c r="E23" s="370">
        <f t="shared" si="1"/>
        <v>232366.49723140002</v>
      </c>
      <c r="F23" s="370">
        <f t="shared" si="3"/>
        <v>0</v>
      </c>
      <c r="G23" s="371">
        <f t="shared" si="2"/>
        <v>232366.49723140002</v>
      </c>
      <c r="H23" s="370">
        <f>G23*(1+0.07)^-(B23-Assumptions!$C$6)</f>
        <v>49016.988384807693</v>
      </c>
      <c r="K23" s="403">
        <v>2005</v>
      </c>
      <c r="L23" s="403">
        <v>1.36</v>
      </c>
      <c r="R23" s="6"/>
      <c r="AQ23" s="387"/>
      <c r="AR23" s="389"/>
      <c r="AS23" s="389"/>
    </row>
    <row r="24" spans="1:47" x14ac:dyDescent="0.25">
      <c r="B24" s="2">
        <f t="shared" si="0"/>
        <v>2045</v>
      </c>
      <c r="C24" s="311">
        <f>_xlfn.XLOOKUP(B24,'Annualized Operations'!$B$13:$B$32,'Annualized Operations'!C$13:C$32)</f>
        <v>5256000</v>
      </c>
      <c r="D24" s="378">
        <f>_xlfn.XLOOKUP(B24,'Annualized Operations'!$B$13:$B$32,'Annualized Operations'!C$13:C$32)</f>
        <v>5256000</v>
      </c>
      <c r="E24" s="370">
        <f t="shared" si="1"/>
        <v>233481.20785920002</v>
      </c>
      <c r="F24" s="370">
        <f t="shared" si="3"/>
        <v>0</v>
      </c>
      <c r="G24" s="371">
        <f t="shared" si="2"/>
        <v>233481.20785920002</v>
      </c>
      <c r="H24" s="370">
        <f>G24*(1+0.07)^-(B24-Assumptions!$C$6)</f>
        <v>46030.030951003631</v>
      </c>
      <c r="K24" s="403">
        <v>2006</v>
      </c>
      <c r="L24" s="403">
        <v>1.32</v>
      </c>
      <c r="R24" s="6"/>
    </row>
    <row r="25" spans="1:47" ht="15" customHeight="1" thickBot="1" x14ac:dyDescent="0.3">
      <c r="B25" s="3">
        <f t="shared" si="0"/>
        <v>2046</v>
      </c>
      <c r="C25" s="312">
        <f>_xlfn.XLOOKUP(B25,'Annualized Operations'!$B$13:$B$32,'Annualized Operations'!C$13:C$32)</f>
        <v>5281093.75</v>
      </c>
      <c r="D25" s="390">
        <f>_xlfn.XLOOKUP(B25,'Annualized Operations'!$B$13:$B$32,'Annualized Operations'!C$13:C$32)</f>
        <v>5281093.75</v>
      </c>
      <c r="E25" s="391">
        <f t="shared" si="1"/>
        <v>234595.91848700002</v>
      </c>
      <c r="F25" s="391">
        <f t="shared" si="3"/>
        <v>0</v>
      </c>
      <c r="G25" s="392">
        <f t="shared" si="2"/>
        <v>234595.91848700002</v>
      </c>
      <c r="H25" s="391">
        <f>G25*(1+0.07)^-(B25-Assumptions!$C$6)</f>
        <v>43224.105031304112</v>
      </c>
      <c r="K25" s="403">
        <v>2007</v>
      </c>
      <c r="L25" s="403">
        <v>1.28</v>
      </c>
      <c r="R25" s="21"/>
      <c r="S25" s="21"/>
      <c r="T25" s="21"/>
      <c r="U25" s="21"/>
      <c r="V25" s="21"/>
      <c r="W25" s="21"/>
      <c r="X25" s="21"/>
      <c r="Y25" s="21"/>
      <c r="Z25" s="21"/>
      <c r="AA25" s="21"/>
      <c r="AB25" s="21"/>
    </row>
    <row r="26" spans="1:47" ht="15" customHeight="1" thickBot="1" x14ac:dyDescent="0.3">
      <c r="B26" s="4"/>
      <c r="C26" s="48"/>
      <c r="D26" s="48"/>
      <c r="E26" s="48"/>
      <c r="F26" s="48"/>
      <c r="G26" s="187" t="s">
        <v>2</v>
      </c>
      <c r="H26" s="85">
        <f>SUM(H6:H25)</f>
        <v>1673618.6470931997</v>
      </c>
      <c r="K26" s="403">
        <v>2008</v>
      </c>
      <c r="L26" s="403">
        <v>1.26</v>
      </c>
      <c r="R26" s="21"/>
      <c r="S26" s="21"/>
      <c r="T26" s="21"/>
      <c r="U26" s="21"/>
      <c r="V26" s="21"/>
      <c r="W26" s="21"/>
      <c r="X26" s="21"/>
      <c r="Y26" s="21"/>
      <c r="Z26" s="21"/>
      <c r="AA26" s="21"/>
      <c r="AB26" s="21"/>
    </row>
    <row r="27" spans="1:47" x14ac:dyDescent="0.25">
      <c r="G27" s="20"/>
      <c r="H27" s="20"/>
      <c r="I27" s="20"/>
      <c r="K27" s="403">
        <v>2009</v>
      </c>
      <c r="L27" s="403">
        <v>1.25</v>
      </c>
      <c r="R27" s="393"/>
    </row>
    <row r="28" spans="1:47" x14ac:dyDescent="0.25">
      <c r="B28" s="6" t="s">
        <v>3</v>
      </c>
      <c r="K28" s="403">
        <v>2010</v>
      </c>
      <c r="L28" s="403">
        <v>1.21</v>
      </c>
    </row>
    <row r="29" spans="1:47" ht="15" customHeight="1" x14ac:dyDescent="0.25">
      <c r="A29" s="7" t="s">
        <v>20</v>
      </c>
      <c r="B29" s="503" t="s">
        <v>1190</v>
      </c>
      <c r="C29" s="503"/>
      <c r="D29" s="503"/>
      <c r="E29" s="503"/>
      <c r="F29" s="503"/>
      <c r="G29" s="503"/>
      <c r="K29" s="403">
        <v>2011</v>
      </c>
      <c r="L29" s="403">
        <v>1.19</v>
      </c>
    </row>
    <row r="30" spans="1:47" x14ac:dyDescent="0.25">
      <c r="B30" s="503"/>
      <c r="C30" s="503"/>
      <c r="D30" s="503"/>
      <c r="E30" s="503"/>
      <c r="F30" s="503"/>
      <c r="G30" s="503"/>
      <c r="I30" s="21"/>
      <c r="J30" s="37"/>
      <c r="K30" s="403">
        <v>2012</v>
      </c>
      <c r="L30" s="403">
        <v>1.17</v>
      </c>
      <c r="AF30" s="393"/>
    </row>
    <row r="31" spans="1:47" x14ac:dyDescent="0.25">
      <c r="B31" s="503"/>
      <c r="C31" s="503"/>
      <c r="D31" s="503"/>
      <c r="E31" s="503"/>
      <c r="F31" s="503"/>
      <c r="G31" s="503"/>
      <c r="I31" s="21"/>
      <c r="J31" s="60"/>
      <c r="K31" s="403">
        <v>2013</v>
      </c>
      <c r="L31" s="403">
        <v>1.1499999999999999</v>
      </c>
    </row>
    <row r="32" spans="1:47" x14ac:dyDescent="0.25">
      <c r="A32" s="7" t="s">
        <v>19</v>
      </c>
      <c r="B32" s="503" t="s">
        <v>746</v>
      </c>
      <c r="C32" s="503"/>
      <c r="D32" s="503"/>
      <c r="E32" s="503"/>
      <c r="F32" s="503"/>
      <c r="G32" s="503"/>
      <c r="J32" s="21"/>
      <c r="K32" s="403">
        <v>2014</v>
      </c>
      <c r="L32" s="403">
        <v>1.1399999999999999</v>
      </c>
    </row>
    <row r="33" spans="1:18" ht="15" customHeight="1" x14ac:dyDescent="0.25">
      <c r="A33" s="7"/>
      <c r="B33" s="503"/>
      <c r="C33" s="503"/>
      <c r="D33" s="503"/>
      <c r="E33" s="503"/>
      <c r="F33" s="503"/>
      <c r="G33" s="503"/>
      <c r="J33" s="21"/>
      <c r="K33" s="403">
        <v>2015</v>
      </c>
      <c r="L33" s="403">
        <v>1.1200000000000001</v>
      </c>
    </row>
    <row r="34" spans="1:18" ht="15" customHeight="1" x14ac:dyDescent="0.25">
      <c r="A34" s="7" t="s">
        <v>387</v>
      </c>
      <c r="B34" s="503" t="s">
        <v>1191</v>
      </c>
      <c r="C34" s="503"/>
      <c r="D34" s="503"/>
      <c r="E34" s="503"/>
      <c r="F34" s="503"/>
      <c r="G34" s="503"/>
      <c r="J34" s="21"/>
      <c r="K34" s="403">
        <v>2016</v>
      </c>
      <c r="L34" s="403">
        <v>1.1200000000000001</v>
      </c>
    </row>
    <row r="35" spans="1:18" ht="15" customHeight="1" x14ac:dyDescent="0.25">
      <c r="B35" s="503"/>
      <c r="C35" s="503"/>
      <c r="D35" s="503"/>
      <c r="E35" s="503"/>
      <c r="F35" s="503"/>
      <c r="G35" s="503"/>
      <c r="J35" s="21"/>
      <c r="K35" s="403">
        <v>2017</v>
      </c>
      <c r="L35" s="403">
        <v>1.1000000000000001</v>
      </c>
    </row>
    <row r="36" spans="1:18" ht="15" customHeight="1" x14ac:dyDescent="0.25">
      <c r="A36" s="7" t="s">
        <v>89</v>
      </c>
      <c r="B36" s="503" t="s">
        <v>741</v>
      </c>
      <c r="C36" s="503"/>
      <c r="D36" s="503"/>
      <c r="E36" s="503"/>
      <c r="F36" s="503"/>
      <c r="G36" s="503"/>
      <c r="J36" s="21"/>
      <c r="K36" s="403">
        <v>2018</v>
      </c>
      <c r="L36" s="403">
        <v>1.08</v>
      </c>
    </row>
    <row r="37" spans="1:18" x14ac:dyDescent="0.25">
      <c r="B37" s="503"/>
      <c r="C37" s="503"/>
      <c r="D37" s="503"/>
      <c r="E37" s="503"/>
      <c r="F37" s="503"/>
      <c r="G37" s="503"/>
      <c r="J37" s="21"/>
      <c r="K37" s="403">
        <v>2019</v>
      </c>
      <c r="L37" s="403">
        <v>1.06</v>
      </c>
    </row>
    <row r="38" spans="1:18" x14ac:dyDescent="0.25">
      <c r="B38" s="503"/>
      <c r="C38" s="503"/>
      <c r="D38" s="503"/>
      <c r="E38" s="503"/>
      <c r="F38" s="503"/>
      <c r="G38" s="503"/>
      <c r="J38" s="21"/>
      <c r="K38" s="403">
        <v>2020</v>
      </c>
      <c r="L38" s="403">
        <v>1.04</v>
      </c>
    </row>
    <row r="39" spans="1:18" ht="15" customHeight="1" x14ac:dyDescent="0.25">
      <c r="B39" s="503"/>
      <c r="C39" s="503"/>
      <c r="D39" s="503"/>
      <c r="E39" s="503"/>
      <c r="F39" s="503"/>
      <c r="G39" s="503"/>
      <c r="J39" s="21"/>
      <c r="K39" s="403">
        <v>2021</v>
      </c>
      <c r="L39" s="403">
        <v>1</v>
      </c>
    </row>
    <row r="40" spans="1:18" ht="15" customHeight="1" x14ac:dyDescent="0.25">
      <c r="K40" s="401"/>
      <c r="O40" s="6" t="s">
        <v>738</v>
      </c>
    </row>
    <row r="41" spans="1:18" ht="15" customHeight="1" x14ac:dyDescent="0.25">
      <c r="K41" s="401"/>
      <c r="O41" s="6" t="s">
        <v>739</v>
      </c>
    </row>
    <row r="42" spans="1:18" ht="15" customHeight="1" x14ac:dyDescent="0.25">
      <c r="A42" s="7"/>
    </row>
    <row r="43" spans="1:18" x14ac:dyDescent="0.25">
      <c r="B43" s="21"/>
      <c r="C43" s="21"/>
      <c r="D43" s="21"/>
      <c r="E43" s="21"/>
      <c r="F43" s="21"/>
      <c r="G43" s="21"/>
    </row>
    <row r="44" spans="1:18" x14ac:dyDescent="0.25">
      <c r="B44" s="21"/>
      <c r="C44" s="21"/>
      <c r="D44" s="21"/>
      <c r="E44" s="21"/>
      <c r="F44" s="21"/>
      <c r="G44" s="21"/>
    </row>
    <row r="45" spans="1:18" x14ac:dyDescent="0.25">
      <c r="B45" s="21"/>
      <c r="C45" s="21"/>
      <c r="D45" s="21"/>
      <c r="E45" s="21"/>
      <c r="F45" s="21"/>
      <c r="G45" s="21"/>
    </row>
    <row r="46" spans="1:18" ht="15" customHeight="1" x14ac:dyDescent="0.25">
      <c r="B46" s="519" t="s">
        <v>711</v>
      </c>
      <c r="C46" s="519" t="s">
        <v>712</v>
      </c>
      <c r="D46" s="520" t="s">
        <v>713</v>
      </c>
      <c r="E46" s="511" t="s">
        <v>714</v>
      </c>
      <c r="F46" s="511"/>
      <c r="G46" s="511"/>
      <c r="H46" s="511"/>
      <c r="I46" s="511"/>
      <c r="K46" s="511" t="s">
        <v>715</v>
      </c>
      <c r="L46" s="511"/>
      <c r="M46" s="511"/>
      <c r="N46" s="511"/>
      <c r="O46" s="511"/>
      <c r="P46" s="357" t="s">
        <v>716</v>
      </c>
      <c r="Q46" s="520" t="s">
        <v>717</v>
      </c>
      <c r="R46" s="520"/>
    </row>
    <row r="47" spans="1:18" x14ac:dyDescent="0.25">
      <c r="B47" s="519"/>
      <c r="C47" s="519"/>
      <c r="D47" s="520"/>
      <c r="E47" s="511" t="s">
        <v>723</v>
      </c>
      <c r="F47" s="511"/>
      <c r="G47" s="511"/>
      <c r="H47" s="511"/>
      <c r="I47" s="511"/>
      <c r="K47" s="511" t="s">
        <v>723</v>
      </c>
      <c r="L47" s="511"/>
      <c r="M47" s="511"/>
      <c r="N47" s="511"/>
      <c r="O47" s="511"/>
      <c r="P47" s="135" t="s">
        <v>724</v>
      </c>
      <c r="Q47" s="135" t="s">
        <v>724</v>
      </c>
      <c r="R47" s="135" t="s">
        <v>725</v>
      </c>
    </row>
    <row r="48" spans="1:18" ht="15" customHeight="1" x14ac:dyDescent="0.25">
      <c r="B48" s="519"/>
      <c r="C48" s="519"/>
      <c r="D48" s="520"/>
      <c r="E48" s="57">
        <v>2</v>
      </c>
      <c r="F48" s="57">
        <v>3</v>
      </c>
      <c r="G48" s="57">
        <v>4</v>
      </c>
      <c r="H48" s="57">
        <v>5</v>
      </c>
      <c r="I48" s="57">
        <v>6</v>
      </c>
      <c r="K48" s="57">
        <v>2</v>
      </c>
      <c r="L48" s="57">
        <v>3</v>
      </c>
      <c r="M48" s="57">
        <v>4</v>
      </c>
      <c r="N48" s="57">
        <v>5</v>
      </c>
      <c r="O48" s="57">
        <v>6</v>
      </c>
      <c r="P48" s="135" t="s">
        <v>726</v>
      </c>
      <c r="Q48" s="135"/>
      <c r="R48" s="135"/>
    </row>
    <row r="49" spans="2:22" x14ac:dyDescent="0.25">
      <c r="B49" s="518" t="s">
        <v>745</v>
      </c>
      <c r="C49" s="45" t="s">
        <v>728</v>
      </c>
      <c r="D49" s="323">
        <f>8.8*1.6*($L$29/$L$39)</f>
        <v>16.755200000000002</v>
      </c>
      <c r="E49" s="45">
        <v>1.02</v>
      </c>
      <c r="F49" s="45">
        <v>1.03</v>
      </c>
      <c r="G49" s="45">
        <v>1.07</v>
      </c>
      <c r="H49" s="45">
        <v>1.1399999999999999</v>
      </c>
      <c r="I49" s="45">
        <v>1.21</v>
      </c>
      <c r="K49" s="323">
        <f t="shared" ref="K49:O55" si="4">$D49*E49</f>
        <v>17.090304000000003</v>
      </c>
      <c r="L49" s="323">
        <f t="shared" si="4"/>
        <v>17.257856000000004</v>
      </c>
      <c r="M49" s="359">
        <f t="shared" si="4"/>
        <v>17.928064000000003</v>
      </c>
      <c r="N49" s="359">
        <f t="shared" si="4"/>
        <v>19.100928</v>
      </c>
      <c r="O49" s="359">
        <f t="shared" si="4"/>
        <v>20.273792</v>
      </c>
      <c r="P49" s="218">
        <f>AVERAGE(O49)</f>
        <v>20.273792</v>
      </c>
      <c r="Q49" s="218">
        <f t="shared" ref="Q49:Q55" si="5">P49-D49</f>
        <v>3.5185919999999982</v>
      </c>
      <c r="R49" s="360">
        <f t="shared" ref="R49:R55" si="6">Q49/100</f>
        <v>3.5185919999999982E-2</v>
      </c>
    </row>
    <row r="50" spans="2:22" x14ac:dyDescent="0.25">
      <c r="B50" s="518"/>
      <c r="C50" s="45" t="s">
        <v>730</v>
      </c>
      <c r="D50" s="323">
        <f>10*1.6*($L$29/$L$39)</f>
        <v>19.04</v>
      </c>
      <c r="E50" s="45">
        <v>1.01</v>
      </c>
      <c r="F50" s="45">
        <v>1.01</v>
      </c>
      <c r="G50" s="45">
        <v>1.04</v>
      </c>
      <c r="H50" s="45">
        <v>1.1000000000000001</v>
      </c>
      <c r="I50" s="45">
        <v>1.1599999999999999</v>
      </c>
      <c r="K50" s="323">
        <f t="shared" si="4"/>
        <v>19.230399999999999</v>
      </c>
      <c r="L50" s="323">
        <f t="shared" si="4"/>
        <v>19.230399999999999</v>
      </c>
      <c r="M50" s="359">
        <f t="shared" si="4"/>
        <v>19.801600000000001</v>
      </c>
      <c r="N50" s="359">
        <f t="shared" si="4"/>
        <v>20.943999999999999</v>
      </c>
      <c r="O50" s="359">
        <f t="shared" si="4"/>
        <v>22.086399999999998</v>
      </c>
      <c r="P50" s="218">
        <f t="shared" ref="P50:P53" si="7">AVERAGE(O50)</f>
        <v>22.086399999999998</v>
      </c>
      <c r="Q50" s="218">
        <f t="shared" si="5"/>
        <v>3.0463999999999984</v>
      </c>
      <c r="R50" s="360">
        <f t="shared" si="6"/>
        <v>3.0463999999999984E-2</v>
      </c>
    </row>
    <row r="51" spans="2:22" x14ac:dyDescent="0.25">
      <c r="B51" s="518"/>
      <c r="C51" s="45" t="s">
        <v>731</v>
      </c>
      <c r="D51" s="323">
        <f>10.2*1.6*($L$29/$L$39)</f>
        <v>19.4208</v>
      </c>
      <c r="E51" s="45">
        <v>1.01</v>
      </c>
      <c r="F51" s="45">
        <v>1.03</v>
      </c>
      <c r="G51" s="45">
        <v>1.08</v>
      </c>
      <c r="H51" s="45">
        <v>1.18</v>
      </c>
      <c r="I51" s="45">
        <v>1.29</v>
      </c>
      <c r="K51" s="323">
        <f t="shared" si="4"/>
        <v>19.615008</v>
      </c>
      <c r="L51" s="323">
        <f t="shared" si="4"/>
        <v>20.003423999999999</v>
      </c>
      <c r="M51" s="359">
        <f t="shared" si="4"/>
        <v>20.974464000000001</v>
      </c>
      <c r="N51" s="359">
        <f t="shared" si="4"/>
        <v>22.916543999999998</v>
      </c>
      <c r="O51" s="359">
        <f t="shared" si="4"/>
        <v>25.052832000000002</v>
      </c>
      <c r="P51" s="218">
        <f t="shared" si="7"/>
        <v>25.052832000000002</v>
      </c>
      <c r="Q51" s="218">
        <f t="shared" si="5"/>
        <v>5.6320320000000024</v>
      </c>
      <c r="R51" s="360">
        <f t="shared" si="6"/>
        <v>5.6320320000000021E-2</v>
      </c>
    </row>
    <row r="52" spans="2:22" x14ac:dyDescent="0.25">
      <c r="B52" s="518"/>
      <c r="C52" s="45" t="s">
        <v>732</v>
      </c>
      <c r="D52" s="323">
        <f>14.9*1.6*($L$29/$L$39)</f>
        <v>28.369600000000002</v>
      </c>
      <c r="E52" s="45">
        <v>1.01</v>
      </c>
      <c r="F52" s="45">
        <v>1.01</v>
      </c>
      <c r="G52" s="45">
        <v>1.04</v>
      </c>
      <c r="H52" s="45">
        <v>1.1000000000000001</v>
      </c>
      <c r="I52" s="45">
        <v>1.17</v>
      </c>
      <c r="K52" s="323">
        <f t="shared" si="4"/>
        <v>28.653296000000001</v>
      </c>
      <c r="L52" s="323">
        <f t="shared" si="4"/>
        <v>28.653296000000001</v>
      </c>
      <c r="M52" s="359">
        <f t="shared" si="4"/>
        <v>29.504384000000002</v>
      </c>
      <c r="N52" s="359">
        <f t="shared" si="4"/>
        <v>31.206560000000003</v>
      </c>
      <c r="O52" s="359">
        <f t="shared" si="4"/>
        <v>33.192432000000004</v>
      </c>
      <c r="P52" s="218">
        <f t="shared" si="7"/>
        <v>33.192432000000004</v>
      </c>
      <c r="Q52" s="218">
        <f t="shared" si="5"/>
        <v>4.8228320000000018</v>
      </c>
      <c r="R52" s="360">
        <f t="shared" si="6"/>
        <v>4.8228320000000019E-2</v>
      </c>
    </row>
    <row r="53" spans="2:22" ht="15.75" thickBot="1" x14ac:dyDescent="0.3">
      <c r="B53" s="518"/>
      <c r="C53" s="364" t="s">
        <v>733</v>
      </c>
      <c r="D53" s="323">
        <f>36.1*1.6*($L$29/$L$39)</f>
        <v>68.734400000000008</v>
      </c>
      <c r="E53" s="364">
        <v>1.01</v>
      </c>
      <c r="F53" s="364">
        <v>1.02</v>
      </c>
      <c r="G53" s="364">
        <v>1.04</v>
      </c>
      <c r="H53" s="364">
        <v>1.08</v>
      </c>
      <c r="I53" s="364">
        <v>1.1299999999999999</v>
      </c>
      <c r="K53" s="365">
        <f t="shared" si="4"/>
        <v>69.421744000000004</v>
      </c>
      <c r="L53" s="365">
        <f t="shared" si="4"/>
        <v>70.109088000000014</v>
      </c>
      <c r="M53" s="366">
        <f t="shared" si="4"/>
        <v>71.483776000000006</v>
      </c>
      <c r="N53" s="366">
        <f t="shared" si="4"/>
        <v>74.233152000000018</v>
      </c>
      <c r="O53" s="366">
        <f t="shared" si="4"/>
        <v>77.669871999999998</v>
      </c>
      <c r="P53" s="367">
        <f t="shared" si="7"/>
        <v>77.669871999999998</v>
      </c>
      <c r="Q53" s="367">
        <f t="shared" si="5"/>
        <v>8.9354719999999901</v>
      </c>
      <c r="R53" s="368">
        <f t="shared" si="6"/>
        <v>8.9354719999999901E-2</v>
      </c>
    </row>
    <row r="54" spans="2:22" x14ac:dyDescent="0.25">
      <c r="B54" s="372"/>
      <c r="C54" s="318" t="s">
        <v>734</v>
      </c>
      <c r="D54" s="374">
        <f>AVERAGE(D49:D52)</f>
        <v>20.8964</v>
      </c>
      <c r="E54" s="319">
        <f>AVERAGE(E49:E52)</f>
        <v>1.0125</v>
      </c>
      <c r="F54" s="319">
        <f t="shared" ref="F54:I54" si="8">AVERAGE(F49:F52)</f>
        <v>1.02</v>
      </c>
      <c r="G54" s="319">
        <f t="shared" si="8"/>
        <v>1.0575000000000001</v>
      </c>
      <c r="H54" s="319">
        <f t="shared" si="8"/>
        <v>1.1299999999999999</v>
      </c>
      <c r="I54" s="319">
        <f t="shared" si="8"/>
        <v>1.2075</v>
      </c>
      <c r="J54" s="373"/>
      <c r="K54" s="374">
        <f t="shared" si="4"/>
        <v>21.157605</v>
      </c>
      <c r="L54" s="374">
        <f t="shared" si="4"/>
        <v>21.314328</v>
      </c>
      <c r="M54" s="375">
        <f t="shared" si="4"/>
        <v>22.097943000000001</v>
      </c>
      <c r="N54" s="375">
        <f t="shared" si="4"/>
        <v>23.612931999999997</v>
      </c>
      <c r="O54" s="375">
        <f t="shared" si="4"/>
        <v>25.232403000000001</v>
      </c>
      <c r="P54" s="376">
        <f>AVERAGE(P49:P52)</f>
        <v>25.151364000000001</v>
      </c>
      <c r="Q54" s="376">
        <f t="shared" si="5"/>
        <v>4.2549640000000011</v>
      </c>
      <c r="R54" s="377">
        <f t="shared" si="6"/>
        <v>4.2549640000000014E-2</v>
      </c>
      <c r="V54" s="394"/>
    </row>
    <row r="55" spans="2:22" ht="15.75" thickBot="1" x14ac:dyDescent="0.3">
      <c r="B55" s="372"/>
      <c r="C55" s="379" t="s">
        <v>735</v>
      </c>
      <c r="D55" s="381">
        <f>D53</f>
        <v>68.734400000000008</v>
      </c>
      <c r="E55" s="380">
        <f>E53</f>
        <v>1.01</v>
      </c>
      <c r="F55" s="380">
        <f t="shared" ref="F55:I55" si="9">F53</f>
        <v>1.02</v>
      </c>
      <c r="G55" s="380">
        <f t="shared" si="9"/>
        <v>1.04</v>
      </c>
      <c r="H55" s="380">
        <f t="shared" si="9"/>
        <v>1.08</v>
      </c>
      <c r="I55" s="380">
        <f t="shared" si="9"/>
        <v>1.1299999999999999</v>
      </c>
      <c r="J55" s="189"/>
      <c r="K55" s="381">
        <f t="shared" si="4"/>
        <v>69.421744000000004</v>
      </c>
      <c r="L55" s="381">
        <f t="shared" si="4"/>
        <v>70.109088000000014</v>
      </c>
      <c r="M55" s="382">
        <f t="shared" si="4"/>
        <v>71.483776000000006</v>
      </c>
      <c r="N55" s="382">
        <f t="shared" si="4"/>
        <v>74.233152000000018</v>
      </c>
      <c r="O55" s="382">
        <f t="shared" si="4"/>
        <v>77.669871999999998</v>
      </c>
      <c r="P55" s="383">
        <f>P53</f>
        <v>77.669871999999998</v>
      </c>
      <c r="Q55" s="383">
        <f t="shared" si="5"/>
        <v>8.9354719999999901</v>
      </c>
      <c r="R55" s="384">
        <f t="shared" si="6"/>
        <v>8.9354719999999901E-2</v>
      </c>
      <c r="V55" s="394"/>
    </row>
  </sheetData>
  <mergeCells count="21">
    <mergeCell ref="Q46:R46"/>
    <mergeCell ref="B4:B5"/>
    <mergeCell ref="C4:C5"/>
    <mergeCell ref="D4:D5"/>
    <mergeCell ref="E4:E5"/>
    <mergeCell ref="F4:F5"/>
    <mergeCell ref="G4:G5"/>
    <mergeCell ref="H4:H5"/>
    <mergeCell ref="E47:I47"/>
    <mergeCell ref="K47:O47"/>
    <mergeCell ref="B49:B53"/>
    <mergeCell ref="K12:L12"/>
    <mergeCell ref="B46:B48"/>
    <mergeCell ref="C46:C48"/>
    <mergeCell ref="D46:D48"/>
    <mergeCell ref="E46:I46"/>
    <mergeCell ref="K46:O46"/>
    <mergeCell ref="B32:G33"/>
    <mergeCell ref="B29:G31"/>
    <mergeCell ref="B34:G35"/>
    <mergeCell ref="B36:G39"/>
  </mergeCells>
  <hyperlinks>
    <hyperlink ref="O21" r:id="rId1" xr:uid="{EF17EDD8-1450-4D44-A1F2-6D8093E52184}"/>
  </hyperlinks>
  <pageMargins left="0.25" right="0.25" top="0.75" bottom="0.75" header="0.3" footer="0.3"/>
  <pageSetup scale="3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AC454-F568-4BCA-A449-5F3EC32327F3}">
  <sheetPr>
    <tabColor rgb="FF00B050"/>
  </sheetPr>
  <dimension ref="A2:J36"/>
  <sheetViews>
    <sheetView view="pageBreakPreview" zoomScaleNormal="70" zoomScaleSheetLayoutView="100" workbookViewId="0">
      <selection activeCell="B31" sqref="B31:F33"/>
    </sheetView>
  </sheetViews>
  <sheetFormatPr defaultRowHeight="15" x14ac:dyDescent="0.25"/>
  <cols>
    <col min="1" max="1" width="4.28515625" customWidth="1"/>
    <col min="2" max="2" width="11.42578125" bestFit="1" customWidth="1"/>
    <col min="3" max="3" width="25.85546875" bestFit="1" customWidth="1"/>
    <col min="5" max="5" width="10.28515625" bestFit="1" customWidth="1"/>
    <col min="9" max="9" width="16.28515625" bestFit="1" customWidth="1"/>
  </cols>
  <sheetData>
    <row r="2" spans="2:10" ht="15.75" customHeight="1" x14ac:dyDescent="0.25"/>
    <row r="3" spans="2:10" ht="15.75" customHeight="1" thickBot="1" x14ac:dyDescent="0.3">
      <c r="I3" s="527" t="s">
        <v>705</v>
      </c>
      <c r="J3" s="527"/>
    </row>
    <row r="4" spans="2:10" ht="15.75" customHeight="1" thickBot="1" x14ac:dyDescent="0.3">
      <c r="B4" s="506" t="s">
        <v>703</v>
      </c>
      <c r="C4" s="507"/>
      <c r="D4" s="507"/>
      <c r="E4" s="508"/>
      <c r="F4" s="13"/>
      <c r="I4" s="61" t="s">
        <v>43</v>
      </c>
      <c r="J4" s="58">
        <f>1-J5</f>
        <v>0.96</v>
      </c>
    </row>
    <row r="5" spans="2:10" ht="15.75" customHeight="1" x14ac:dyDescent="0.25">
      <c r="B5" s="528" t="s">
        <v>0</v>
      </c>
      <c r="C5" s="491" t="s">
        <v>780</v>
      </c>
      <c r="D5" s="491" t="s">
        <v>703</v>
      </c>
      <c r="E5" s="530">
        <v>7.0000000000000007E-2</v>
      </c>
      <c r="F5" s="13"/>
      <c r="I5" s="61" t="s">
        <v>44</v>
      </c>
      <c r="J5" s="58">
        <v>0.04</v>
      </c>
    </row>
    <row r="6" spans="2:10" ht="15.75" customHeight="1" thickBot="1" x14ac:dyDescent="0.3">
      <c r="B6" s="529"/>
      <c r="C6" s="492"/>
      <c r="D6" s="492"/>
      <c r="E6" s="492"/>
      <c r="F6" s="13"/>
    </row>
    <row r="7" spans="2:10" ht="15.75" customHeight="1" x14ac:dyDescent="0.25">
      <c r="B7" s="1">
        <f>Assumptions!$C$10</f>
        <v>2027</v>
      </c>
      <c r="C7" s="313">
        <f>'Air Quality'!F5</f>
        <v>337814.43271874846</v>
      </c>
      <c r="D7" s="313">
        <f>C7*$J$10</f>
        <v>162826.55657043675</v>
      </c>
      <c r="E7" s="313">
        <f>D7*(1+0.07)^-(B7-2021)</f>
        <v>108498.20980153</v>
      </c>
      <c r="F7" s="13"/>
      <c r="I7" s="527" t="s">
        <v>706</v>
      </c>
      <c r="J7" s="527"/>
    </row>
    <row r="8" spans="2:10" ht="15.75" customHeight="1" x14ac:dyDescent="0.25">
      <c r="B8" s="2">
        <f t="shared" ref="B8:B26" si="0">+B7+1</f>
        <v>2028</v>
      </c>
      <c r="C8" s="190">
        <f>'Air Quality'!F6</f>
        <v>339578.89556770859</v>
      </c>
      <c r="D8" s="190">
        <f>C8*$J$10</f>
        <v>163677.02766363553</v>
      </c>
      <c r="E8" s="190">
        <f>D8*(1+0.07)^-(B8-2021)</f>
        <v>101929.82672996609</v>
      </c>
      <c r="F8" s="13"/>
      <c r="I8" s="45" t="s">
        <v>700</v>
      </c>
      <c r="J8" s="45">
        <v>0.46</v>
      </c>
    </row>
    <row r="9" spans="2:10" ht="15.75" customHeight="1" x14ac:dyDescent="0.25">
      <c r="B9" s="2">
        <f t="shared" si="0"/>
        <v>2029</v>
      </c>
      <c r="C9" s="190">
        <f>'Air Quality'!F7</f>
        <v>341343.35841666436</v>
      </c>
      <c r="D9" s="190">
        <f t="shared" ref="D9:D26" si="1">C9*$J$10</f>
        <v>164527.49875683221</v>
      </c>
      <c r="E9" s="190">
        <f t="shared" ref="E9:E26" si="2">D9*(1+0.07)^-(B9-2021)</f>
        <v>95756.502227789388</v>
      </c>
      <c r="F9" s="13"/>
      <c r="I9" s="45" t="s">
        <v>701</v>
      </c>
      <c r="J9" s="45">
        <v>1.01</v>
      </c>
    </row>
    <row r="10" spans="2:10" ht="15.75" customHeight="1" x14ac:dyDescent="0.25">
      <c r="B10" s="2">
        <f t="shared" si="0"/>
        <v>2030</v>
      </c>
      <c r="C10" s="190">
        <f>'Air Quality'!F8</f>
        <v>343107.82126562449</v>
      </c>
      <c r="D10" s="190">
        <f t="shared" si="1"/>
        <v>165377.96985003099</v>
      </c>
      <c r="E10" s="190">
        <f t="shared" si="2"/>
        <v>89954.658081495756</v>
      </c>
      <c r="F10" s="13"/>
      <c r="I10" s="45" t="s">
        <v>702</v>
      </c>
      <c r="J10" s="342">
        <f>J5*J9+J4*J8</f>
        <v>0.48199999999999998</v>
      </c>
    </row>
    <row r="11" spans="2:10" ht="15.75" customHeight="1" x14ac:dyDescent="0.25">
      <c r="B11" s="2">
        <f t="shared" si="0"/>
        <v>2031</v>
      </c>
      <c r="C11" s="190">
        <f>'Air Quality'!F9</f>
        <v>344872.28411458462</v>
      </c>
      <c r="D11" s="190">
        <f>C11*$J$10</f>
        <v>166228.44094322977</v>
      </c>
      <c r="E11" s="190">
        <f t="shared" si="2"/>
        <v>84502.1102861486</v>
      </c>
      <c r="F11" s="13"/>
    </row>
    <row r="12" spans="2:10" ht="15.75" customHeight="1" x14ac:dyDescent="0.25">
      <c r="B12" s="2">
        <f t="shared" si="0"/>
        <v>2032</v>
      </c>
      <c r="C12" s="190">
        <f>'Air Quality'!F10</f>
        <v>346636.74696354032</v>
      </c>
      <c r="D12" s="190">
        <f t="shared" si="1"/>
        <v>167078.91203642642</v>
      </c>
      <c r="E12" s="190">
        <f t="shared" si="2"/>
        <v>79377.987536781438</v>
      </c>
      <c r="F12" s="13"/>
    </row>
    <row r="13" spans="2:10" ht="15.75" customHeight="1" x14ac:dyDescent="0.25">
      <c r="B13" s="2">
        <f t="shared" si="0"/>
        <v>2033</v>
      </c>
      <c r="C13" s="190">
        <f>'Air Quality'!F11</f>
        <v>348401.20981250046</v>
      </c>
      <c r="D13" s="190">
        <f t="shared" si="1"/>
        <v>167929.3831296252</v>
      </c>
      <c r="E13" s="190">
        <f t="shared" si="2"/>
        <v>74562.654417472964</v>
      </c>
      <c r="F13" s="13"/>
    </row>
    <row r="14" spans="2:10" ht="15.75" customHeight="1" x14ac:dyDescent="0.25">
      <c r="B14" s="2">
        <f t="shared" si="0"/>
        <v>2034</v>
      </c>
      <c r="C14" s="190">
        <f>'Air Quality'!F12</f>
        <v>350165.67266145762</v>
      </c>
      <c r="D14" s="190">
        <f t="shared" si="1"/>
        <v>168779.85422282256</v>
      </c>
      <c r="E14" s="190">
        <f t="shared" si="2"/>
        <v>70037.639022281423</v>
      </c>
      <c r="F14" s="13"/>
    </row>
    <row r="15" spans="2:10" ht="15.75" customHeight="1" x14ac:dyDescent="0.25">
      <c r="B15" s="2">
        <f t="shared" si="0"/>
        <v>2035</v>
      </c>
      <c r="C15" s="190">
        <f>'Air Quality'!F13</f>
        <v>351930.13551041629</v>
      </c>
      <c r="D15" s="190">
        <f t="shared" si="1"/>
        <v>169630.32531602064</v>
      </c>
      <c r="E15" s="190">
        <f t="shared" si="2"/>
        <v>65785.564756930398</v>
      </c>
      <c r="F15" s="13"/>
    </row>
    <row r="16" spans="2:10" ht="15.75" customHeight="1" x14ac:dyDescent="0.25">
      <c r="B16" s="2">
        <f t="shared" si="0"/>
        <v>2036</v>
      </c>
      <c r="C16" s="190">
        <f>'Air Quality'!F14</f>
        <v>353694.59835937346</v>
      </c>
      <c r="D16" s="190">
        <f t="shared" si="1"/>
        <v>170480.79640921799</v>
      </c>
      <c r="E16" s="190">
        <f t="shared" si="2"/>
        <v>61790.086083980546</v>
      </c>
      <c r="F16" s="13"/>
    </row>
    <row r="17" spans="1:6" ht="15.75" customHeight="1" x14ac:dyDescent="0.25">
      <c r="B17" s="2">
        <f t="shared" si="0"/>
        <v>2037</v>
      </c>
      <c r="C17" s="190">
        <f>'Air Quality'!F15</f>
        <v>355459.06120833359</v>
      </c>
      <c r="D17" s="190">
        <f t="shared" si="1"/>
        <v>171331.26750241677</v>
      </c>
      <c r="E17" s="190">
        <f t="shared" si="2"/>
        <v>58035.827987412464</v>
      </c>
      <c r="F17" s="13"/>
    </row>
    <row r="18" spans="1:6" ht="15.75" customHeight="1" x14ac:dyDescent="0.25">
      <c r="B18" s="2">
        <f t="shared" si="0"/>
        <v>2038</v>
      </c>
      <c r="C18" s="190">
        <f>'Air Quality'!F16</f>
        <v>357223.52405728935</v>
      </c>
      <c r="D18" s="190">
        <f t="shared" si="1"/>
        <v>172181.73859561345</v>
      </c>
      <c r="E18" s="190">
        <f t="shared" si="2"/>
        <v>54508.32894495708</v>
      </c>
      <c r="F18" s="13"/>
    </row>
    <row r="19" spans="1:6" ht="15.75" customHeight="1" x14ac:dyDescent="0.25">
      <c r="B19" s="2">
        <f t="shared" si="0"/>
        <v>2039</v>
      </c>
      <c r="C19" s="190">
        <f>'Air Quality'!F17</f>
        <v>358987.98690624948</v>
      </c>
      <c r="D19" s="190">
        <f t="shared" si="1"/>
        <v>173032.20968881223</v>
      </c>
      <c r="E19" s="190">
        <f t="shared" si="2"/>
        <v>51193.987208311984</v>
      </c>
      <c r="F19" s="13"/>
    </row>
    <row r="20" spans="1:6" ht="15.75" customHeight="1" x14ac:dyDescent="0.25">
      <c r="B20" s="2">
        <f t="shared" si="0"/>
        <v>2040</v>
      </c>
      <c r="C20" s="190">
        <f>'Air Quality'!F18</f>
        <v>360752.44975520961</v>
      </c>
      <c r="D20" s="190">
        <f t="shared" si="1"/>
        <v>173882.68078201104</v>
      </c>
      <c r="E20" s="190">
        <f t="shared" si="2"/>
        <v>48080.010202489808</v>
      </c>
      <c r="F20" s="13"/>
    </row>
    <row r="21" spans="1:6" ht="15.75" customHeight="1" x14ac:dyDescent="0.25">
      <c r="B21" s="2">
        <f t="shared" si="0"/>
        <v>2041</v>
      </c>
      <c r="C21" s="190">
        <f>'Air Quality'!F19</f>
        <v>362516.91260416532</v>
      </c>
      <c r="D21" s="190">
        <f t="shared" si="1"/>
        <v>174733.15187520767</v>
      </c>
      <c r="E21" s="190">
        <f t="shared" si="2"/>
        <v>45154.366866115437</v>
      </c>
      <c r="F21" s="13"/>
    </row>
    <row r="22" spans="1:6" ht="15.75" customHeight="1" x14ac:dyDescent="0.25">
      <c r="B22" s="2">
        <f t="shared" si="0"/>
        <v>2042</v>
      </c>
      <c r="C22" s="190">
        <f>'Air Quality'!F20</f>
        <v>364281.37545312545</v>
      </c>
      <c r="D22" s="190">
        <f t="shared" si="1"/>
        <v>175583.62296840647</v>
      </c>
      <c r="E22" s="190">
        <f t="shared" si="2"/>
        <v>42405.742764431678</v>
      </c>
      <c r="F22" s="13"/>
    </row>
    <row r="23" spans="1:6" ht="15.75" customHeight="1" x14ac:dyDescent="0.25">
      <c r="B23" s="2">
        <f t="shared" si="0"/>
        <v>2043</v>
      </c>
      <c r="C23" s="190">
        <f>'Air Quality'!F21</f>
        <v>366045.83830208261</v>
      </c>
      <c r="D23" s="190">
        <f t="shared" si="1"/>
        <v>176434.09406160383</v>
      </c>
      <c r="E23" s="190">
        <f t="shared" si="2"/>
        <v>39823.497816200521</v>
      </c>
      <c r="F23" s="13"/>
    </row>
    <row r="24" spans="1:6" x14ac:dyDescent="0.25">
      <c r="B24" s="2">
        <f t="shared" si="0"/>
        <v>2044</v>
      </c>
      <c r="C24" s="190">
        <f>'Air Quality'!F22</f>
        <v>367810.30115104129</v>
      </c>
      <c r="D24" s="190">
        <f t="shared" si="1"/>
        <v>177284.56515480191</v>
      </c>
      <c r="E24" s="190">
        <f t="shared" si="2"/>
        <v>37397.626484616652</v>
      </c>
    </row>
    <row r="25" spans="1:6" x14ac:dyDescent="0.25">
      <c r="B25" s="2">
        <f t="shared" si="0"/>
        <v>2045</v>
      </c>
      <c r="C25" s="190">
        <f>'Air Quality'!F23</f>
        <v>369574.76399999845</v>
      </c>
      <c r="D25" s="190">
        <f t="shared" si="1"/>
        <v>178135.03624799926</v>
      </c>
      <c r="E25" s="190">
        <f t="shared" si="2"/>
        <v>35118.720290749377</v>
      </c>
    </row>
    <row r="26" spans="1:6" ht="15.75" thickBot="1" x14ac:dyDescent="0.3">
      <c r="B26" s="3">
        <f t="shared" si="0"/>
        <v>2046</v>
      </c>
      <c r="C26" s="196">
        <f>'Air Quality'!F24</f>
        <v>371339.22684895858</v>
      </c>
      <c r="D26" s="196">
        <f t="shared" si="1"/>
        <v>178985.50734119804</v>
      </c>
      <c r="E26" s="196">
        <f t="shared" si="2"/>
        <v>32977.93251601651</v>
      </c>
    </row>
    <row r="27" spans="1:6" x14ac:dyDescent="0.25">
      <c r="D27" s="281"/>
      <c r="E27" s="281">
        <f>SUM(E7:E26)</f>
        <v>1276891.2800256782</v>
      </c>
    </row>
    <row r="31" spans="1:6" x14ac:dyDescent="0.25">
      <c r="A31" s="484" t="s">
        <v>20</v>
      </c>
      <c r="B31" s="490" t="s">
        <v>1192</v>
      </c>
      <c r="C31" s="490"/>
      <c r="D31" s="490"/>
      <c r="E31" s="490"/>
      <c r="F31" s="490"/>
    </row>
    <row r="32" spans="1:6" x14ac:dyDescent="0.25">
      <c r="A32" s="484"/>
      <c r="B32" s="490"/>
      <c r="C32" s="490"/>
      <c r="D32" s="490"/>
      <c r="E32" s="490"/>
      <c r="F32" s="490"/>
    </row>
    <row r="33" spans="1:6" x14ac:dyDescent="0.25">
      <c r="A33" s="484"/>
      <c r="B33" s="490"/>
      <c r="C33" s="490"/>
      <c r="D33" s="490"/>
      <c r="E33" s="490"/>
      <c r="F33" s="490"/>
    </row>
    <row r="34" spans="1:6" x14ac:dyDescent="0.25">
      <c r="A34" s="484" t="s">
        <v>19</v>
      </c>
      <c r="B34" s="503" t="s">
        <v>746</v>
      </c>
      <c r="C34" s="503"/>
      <c r="D34" s="503"/>
      <c r="E34" s="503"/>
      <c r="F34" s="503"/>
    </row>
    <row r="35" spans="1:6" x14ac:dyDescent="0.25">
      <c r="A35" s="484"/>
      <c r="B35" s="503"/>
      <c r="C35" s="503"/>
      <c r="D35" s="503"/>
      <c r="E35" s="503"/>
      <c r="F35" s="503"/>
    </row>
    <row r="36" spans="1:6" x14ac:dyDescent="0.25">
      <c r="A36" s="484"/>
      <c r="B36" s="503"/>
      <c r="C36" s="503"/>
      <c r="D36" s="503"/>
      <c r="E36" s="503"/>
      <c r="F36" s="503"/>
    </row>
  </sheetData>
  <mergeCells count="11">
    <mergeCell ref="A34:A36"/>
    <mergeCell ref="B34:F36"/>
    <mergeCell ref="B5:B6"/>
    <mergeCell ref="D5:D6"/>
    <mergeCell ref="E5:E6"/>
    <mergeCell ref="I7:J7"/>
    <mergeCell ref="I3:J3"/>
    <mergeCell ref="C5:C6"/>
    <mergeCell ref="B4:E4"/>
    <mergeCell ref="A31:A33"/>
    <mergeCell ref="B31:F33"/>
  </mergeCells>
  <pageMargins left="0.7" right="0.7" top="0.75" bottom="0.75" header="0.3" footer="0.3"/>
  <pageSetup paperSize="1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68D17-E94B-4768-865C-B3361C482DC7}">
  <sheetPr>
    <tabColor rgb="FF00B050"/>
    <pageSetUpPr fitToPage="1"/>
  </sheetPr>
  <dimension ref="B2:W115"/>
  <sheetViews>
    <sheetView view="pageBreakPreview" zoomScale="70" zoomScaleNormal="40" zoomScaleSheetLayoutView="70" workbookViewId="0">
      <selection activeCell="U111" sqref="U111"/>
    </sheetView>
  </sheetViews>
  <sheetFormatPr defaultRowHeight="15" x14ac:dyDescent="0.25"/>
  <cols>
    <col min="2" max="2" width="22.5703125" bestFit="1" customWidth="1"/>
    <col min="3" max="3" width="17.42578125" bestFit="1" customWidth="1"/>
    <col min="4" max="4" width="16.85546875" bestFit="1" customWidth="1"/>
    <col min="5" max="5" width="27.140625" bestFit="1" customWidth="1"/>
    <col min="6" max="6" width="16.7109375" bestFit="1" customWidth="1"/>
    <col min="7" max="7" width="14.140625" bestFit="1" customWidth="1"/>
    <col min="8" max="8" width="11.7109375" bestFit="1" customWidth="1"/>
    <col min="9" max="9" width="27.140625" bestFit="1" customWidth="1"/>
    <col min="10" max="10" width="10.28515625" bestFit="1" customWidth="1"/>
    <col min="11" max="11" width="12.28515625" bestFit="1" customWidth="1"/>
    <col min="12" max="12" width="15.28515625" customWidth="1"/>
    <col min="13" max="13" width="23.85546875" bestFit="1" customWidth="1"/>
    <col min="14" max="16" width="14.85546875" bestFit="1" customWidth="1"/>
    <col min="17" max="17" width="22.85546875" bestFit="1" customWidth="1"/>
    <col min="19" max="19" width="22.5703125" bestFit="1" customWidth="1"/>
    <col min="20" max="20" width="13.42578125" bestFit="1" customWidth="1"/>
    <col min="21" max="21" width="12" bestFit="1" customWidth="1"/>
    <col min="22" max="22" width="14.28515625" bestFit="1" customWidth="1"/>
    <col min="23" max="23" width="21.28515625" bestFit="1" customWidth="1"/>
    <col min="24" max="24" width="10.7109375" bestFit="1" customWidth="1"/>
    <col min="25" max="25" width="22.5703125" bestFit="1" customWidth="1"/>
    <col min="26" max="26" width="13.28515625" bestFit="1" customWidth="1"/>
    <col min="27" max="27" width="11.85546875" bestFit="1" customWidth="1"/>
    <col min="28" max="28" width="14.140625" bestFit="1" customWidth="1"/>
    <col min="29" max="29" width="21.140625" bestFit="1" customWidth="1"/>
  </cols>
  <sheetData>
    <row r="2" spans="2:23" x14ac:dyDescent="0.25">
      <c r="B2" s="6" t="s">
        <v>1189</v>
      </c>
    </row>
    <row r="3" spans="2:23" ht="15.75" customHeight="1" thickBot="1" x14ac:dyDescent="0.3">
      <c r="M3" s="531" t="s">
        <v>1161</v>
      </c>
      <c r="N3" s="531"/>
      <c r="O3" s="531"/>
      <c r="P3" s="531"/>
      <c r="Q3" s="531"/>
      <c r="S3" s="531" t="s">
        <v>1170</v>
      </c>
      <c r="T3" s="531"/>
      <c r="U3" s="531"/>
      <c r="V3" s="531"/>
      <c r="W3" s="531"/>
    </row>
    <row r="4" spans="2:23" ht="15.75" customHeight="1" thickBot="1" x14ac:dyDescent="0.3">
      <c r="B4" s="481" t="s">
        <v>36</v>
      </c>
      <c r="C4" s="482"/>
      <c r="D4" s="483"/>
      <c r="M4" s="28"/>
      <c r="N4" s="300" t="s">
        <v>317</v>
      </c>
      <c r="O4" s="300" t="s">
        <v>318</v>
      </c>
      <c r="P4" s="300" t="s">
        <v>319</v>
      </c>
      <c r="Q4" s="29" t="s">
        <v>320</v>
      </c>
      <c r="S4" s="28"/>
      <c r="T4" s="300" t="s">
        <v>317</v>
      </c>
      <c r="U4" s="300" t="s">
        <v>318</v>
      </c>
      <c r="V4" s="300" t="s">
        <v>319</v>
      </c>
      <c r="W4" s="29" t="s">
        <v>320</v>
      </c>
    </row>
    <row r="5" spans="2:23" x14ac:dyDescent="0.25">
      <c r="B5" s="491" t="s">
        <v>63</v>
      </c>
      <c r="C5" s="491" t="s">
        <v>1188</v>
      </c>
      <c r="D5" s="491" t="s">
        <v>1</v>
      </c>
      <c r="F5" s="45"/>
      <c r="G5" s="199" t="s">
        <v>37</v>
      </c>
      <c r="H5" s="199" t="s">
        <v>38</v>
      </c>
      <c r="I5" s="93" t="s">
        <v>39</v>
      </c>
      <c r="J5" s="93" t="s">
        <v>58</v>
      </c>
      <c r="K5" s="45"/>
      <c r="M5" s="30" t="s">
        <v>327</v>
      </c>
      <c r="N5">
        <f>COUNTIFS(Intersections!$DI:$DI,$M5,Intersections!$W:$W,'Crash Costs'!N$4,Intersections!$S:$S,"&gt;=2019",Intersections!$S:$S,"&lt;=2021")</f>
        <v>0</v>
      </c>
      <c r="O5">
        <f>COUNTIFS(Intersections!$DI:$DI,$M5,Intersections!$W:$W,'Crash Costs'!O$4,Intersections!$S:$S,"&gt;=2019",Intersections!$S:$S,"&lt;=2021")</f>
        <v>0</v>
      </c>
      <c r="P5">
        <f>COUNTIFS(Intersections!$DI:$DI,$M5,Intersections!$W:$W,'Crash Costs'!P$4,Intersections!$S:$S,"&gt;=2019",Intersections!$S:$S,"&lt;=2021")</f>
        <v>2</v>
      </c>
      <c r="Q5" s="31">
        <f>COUNTIFS(Intersections!$DI:$DI,$M5,Intersections!$W:$W,'Crash Costs'!Q$4,Intersections!$S:$S,"&gt;=2019",Intersections!$S:$S,"&lt;=2021")</f>
        <v>12</v>
      </c>
      <c r="S5" s="30" t="s">
        <v>327</v>
      </c>
      <c r="T5">
        <f>'Crash Costs'!N5-'Crash Costs'!T42</f>
        <v>0</v>
      </c>
      <c r="U5">
        <f>'Crash Costs'!O5-'Crash Costs'!U42</f>
        <v>0</v>
      </c>
      <c r="V5">
        <f>'Crash Costs'!P5-'Crash Costs'!V42</f>
        <v>2</v>
      </c>
      <c r="W5" s="31">
        <f>'Crash Costs'!Q5-'Crash Costs'!W42</f>
        <v>12</v>
      </c>
    </row>
    <row r="6" spans="2:23" ht="15.75" thickBot="1" x14ac:dyDescent="0.3">
      <c r="B6" s="493"/>
      <c r="C6" s="493"/>
      <c r="D6" s="493"/>
      <c r="F6" s="45"/>
      <c r="G6" s="325">
        <v>564300</v>
      </c>
      <c r="H6" s="325">
        <v>153700</v>
      </c>
      <c r="I6" s="325">
        <v>78500</v>
      </c>
      <c r="J6" s="325">
        <v>4000</v>
      </c>
      <c r="K6" s="45"/>
      <c r="M6" s="30" t="s">
        <v>658</v>
      </c>
      <c r="N6">
        <f>COUNTIFS(Intersections!$DI:$DI,$M6,Intersections!$W:$W,'Crash Costs'!N$4,Intersections!$S:$S,"&gt;=2019",Intersections!$S:$S,"&lt;=2021")</f>
        <v>0</v>
      </c>
      <c r="O6">
        <f>COUNTIFS(Intersections!$DI:$DI,$M6,Intersections!$W:$W,'Crash Costs'!O$4,Intersections!$S:$S,"&gt;=2019",Intersections!$S:$S,"&lt;=2021")</f>
        <v>0</v>
      </c>
      <c r="P6">
        <f>COUNTIFS(Intersections!$DI:$DI,$M6,Intersections!$W:$W,'Crash Costs'!P$4,Intersections!$S:$S,"&gt;=2019",Intersections!$S:$S,"&lt;=2021")</f>
        <v>0</v>
      </c>
      <c r="Q6" s="31">
        <f>COUNTIFS(Intersections!$DI:$DI,$M6,Intersections!$W:$W,'Crash Costs'!Q$4,Intersections!$S:$S,"&gt;=2019",Intersections!$S:$S,"&lt;=2021")</f>
        <v>2</v>
      </c>
      <c r="S6" s="30" t="s">
        <v>658</v>
      </c>
      <c r="T6">
        <f>'Crash Costs'!N6-'Crash Costs'!T43</f>
        <v>0</v>
      </c>
      <c r="U6">
        <f>'Crash Costs'!O6-'Crash Costs'!U43</f>
        <v>0</v>
      </c>
      <c r="V6">
        <f>'Crash Costs'!P6-'Crash Costs'!V43</f>
        <v>0</v>
      </c>
      <c r="W6" s="31">
        <f>'Crash Costs'!Q6-'Crash Costs'!W43</f>
        <v>2</v>
      </c>
    </row>
    <row r="7" spans="2:23" x14ac:dyDescent="0.25">
      <c r="B7" s="426">
        <f>Assumptions!C10</f>
        <v>2027</v>
      </c>
      <c r="C7" s="431">
        <f t="shared" ref="C7:C26" si="0">TREND($G$14:$G$15,$F$14:$F$15,B7)-TREND($H$14:$H$15,$F$14:$F$15,B7)</f>
        <v>417312.85981645901</v>
      </c>
      <c r="D7" s="422">
        <f>C7*(1+0.07)^-(B7-2021)</f>
        <v>278073.17903732782</v>
      </c>
      <c r="F7" s="45" t="s">
        <v>1168</v>
      </c>
      <c r="G7" s="45">
        <f>SUM('Crash Costs'!N$22,'Crash Costs'!N$38)</f>
        <v>2</v>
      </c>
      <c r="H7" s="45">
        <f>SUM('Crash Costs'!O$22,'Crash Costs'!O$38)</f>
        <v>3</v>
      </c>
      <c r="I7" s="45">
        <f>SUM('Crash Costs'!P$22,'Crash Costs'!P$38)</f>
        <v>10</v>
      </c>
      <c r="J7" s="45">
        <f>SUM('Crash Costs'!Q$22,'Crash Costs'!Q$38)</f>
        <v>43</v>
      </c>
      <c r="K7" s="45"/>
      <c r="M7" s="30" t="s">
        <v>333</v>
      </c>
      <c r="N7">
        <f>COUNTIFS(Intersections!$DI:$DI,$M7,Intersections!$W:$W,'Crash Costs'!N$4,Intersections!$S:$S,"&gt;=2019",Intersections!$S:$S,"&lt;=2021")</f>
        <v>1</v>
      </c>
      <c r="O7">
        <f>COUNTIFS(Intersections!$DI:$DI,$M7,Intersections!$W:$W,'Crash Costs'!O$4,Intersections!$S:$S,"&gt;=2019",Intersections!$S:$S,"&lt;=2021")</f>
        <v>0</v>
      </c>
      <c r="P7">
        <f>COUNTIFS(Intersections!$DI:$DI,$M7,Intersections!$W:$W,'Crash Costs'!P$4,Intersections!$S:$S,"&gt;=2019",Intersections!$S:$S,"&lt;=2021")</f>
        <v>2</v>
      </c>
      <c r="Q7" s="31">
        <f>COUNTIFS(Intersections!$DI:$DI,$M7,Intersections!$W:$W,'Crash Costs'!Q$4,Intersections!$S:$S,"&gt;=2019",Intersections!$S:$S,"&lt;=2021")</f>
        <v>3</v>
      </c>
      <c r="S7" s="30" t="s">
        <v>333</v>
      </c>
      <c r="T7">
        <f>'Crash Costs'!N7-'Crash Costs'!T44</f>
        <v>0</v>
      </c>
      <c r="U7">
        <f>'Crash Costs'!O7-'Crash Costs'!U44</f>
        <v>0</v>
      </c>
      <c r="V7">
        <f>'Crash Costs'!P7-'Crash Costs'!V44</f>
        <v>1</v>
      </c>
      <c r="W7" s="31">
        <f>'Crash Costs'!Q7-'Crash Costs'!W44</f>
        <v>3</v>
      </c>
    </row>
    <row r="8" spans="2:23" x14ac:dyDescent="0.25">
      <c r="B8" s="427">
        <f>B7+1</f>
        <v>2028</v>
      </c>
      <c r="C8" s="432">
        <f t="shared" si="0"/>
        <v>419492.55661512073</v>
      </c>
      <c r="D8" s="421">
        <f t="shared" ref="D8:D26" si="1">C8*(1+0.07)^-(B8-2021)</f>
        <v>261238.88135457365</v>
      </c>
      <c r="F8" s="45" t="s">
        <v>1167</v>
      </c>
      <c r="G8" s="342">
        <f>G7*G6/SUM('Crash Costs'!$G$25:$G$27)</f>
        <v>8.1276288339623401E-2</v>
      </c>
      <c r="H8" s="342">
        <f>H7*H6/SUM('Crash Costs'!$G$25:$G$27)</f>
        <v>3.3206181599681334E-2</v>
      </c>
      <c r="I8" s="342">
        <f>I7*I6/SUM('Crash Costs'!$G$25:$G$27)</f>
        <v>5.653188582899555E-2</v>
      </c>
      <c r="J8" s="342">
        <f>J7*J6/SUM('Crash Costs'!$G$25:$G$27)</f>
        <v>1.2386604283550616E-2</v>
      </c>
      <c r="K8" s="420">
        <f>SUM(G8:J8)</f>
        <v>0.18340096005185091</v>
      </c>
      <c r="L8" s="405"/>
      <c r="M8" s="30" t="s">
        <v>328</v>
      </c>
      <c r="N8">
        <f>COUNTIFS(Intersections!$DI:$DI,$M8,Intersections!$W:$W,'Crash Costs'!N$4,Intersections!$S:$S,"&gt;=2019",Intersections!$S:$S,"&lt;=2021")</f>
        <v>0</v>
      </c>
      <c r="O8">
        <f>COUNTIFS(Intersections!$DI:$DI,$M8,Intersections!$W:$W,'Crash Costs'!O$4,Intersections!$S:$S,"&gt;=2019",Intersections!$S:$S,"&lt;=2021")</f>
        <v>0</v>
      </c>
      <c r="P8">
        <f>COUNTIFS(Intersections!$DI:$DI,$M8,Intersections!$W:$W,'Crash Costs'!P$4,Intersections!$S:$S,"&gt;=2019",Intersections!$S:$S,"&lt;=2021")</f>
        <v>0</v>
      </c>
      <c r="Q8" s="31">
        <f>COUNTIFS(Intersections!$DI:$DI,$M8,Intersections!$W:$W,'Crash Costs'!Q$4,Intersections!$S:$S,"&gt;=2019",Intersections!$S:$S,"&lt;=2021")</f>
        <v>2</v>
      </c>
      <c r="S8" s="30" t="s">
        <v>328</v>
      </c>
      <c r="T8">
        <f>'Crash Costs'!N8-'Crash Costs'!T45</f>
        <v>0</v>
      </c>
      <c r="U8">
        <f>'Crash Costs'!O8-'Crash Costs'!U45</f>
        <v>0</v>
      </c>
      <c r="V8">
        <f>'Crash Costs'!P8-'Crash Costs'!V45</f>
        <v>0</v>
      </c>
      <c r="W8" s="31">
        <f>'Crash Costs'!Q8-'Crash Costs'!W45</f>
        <v>2</v>
      </c>
    </row>
    <row r="9" spans="2:23" x14ac:dyDescent="0.25">
      <c r="B9" s="427">
        <f t="shared" ref="B9:B26" si="2">B8+1</f>
        <v>2029</v>
      </c>
      <c r="C9" s="432">
        <f t="shared" si="0"/>
        <v>421672.25341378246</v>
      </c>
      <c r="D9" s="421">
        <f t="shared" si="1"/>
        <v>245417.09062927749</v>
      </c>
      <c r="F9" s="45" t="s">
        <v>1166</v>
      </c>
      <c r="G9" s="342">
        <f>('Crash Costs'!N75+'Crash Costs'!N59)*G6/SUM('Crash Costs'!$G$25:$G$27)</f>
        <v>4.3045303804922344E-2</v>
      </c>
      <c r="H9" s="342">
        <f>('Crash Costs'!O75+'Crash Costs'!O59)*H6/SUM('Crash Costs'!$G$25:$G$27)</f>
        <v>1.9797555712963318E-2</v>
      </c>
      <c r="I9" s="342">
        <f>('Crash Costs'!P75+'Crash Costs'!P59)*I6/SUM('Crash Costs'!$G$25:$G$27)</f>
        <v>2.6945752534680581E-2</v>
      </c>
      <c r="J9" s="342">
        <f>('Crash Costs'!Q75+'Crash Costs'!Q59)*J6/SUM('Crash Costs'!$G$25:$G$27)</f>
        <v>6.7502090737965228E-3</v>
      </c>
      <c r="K9" s="420">
        <f>SUM(G9:J9)</f>
        <v>9.6538821126362764E-2</v>
      </c>
      <c r="L9" s="405"/>
      <c r="M9" s="30" t="s">
        <v>332</v>
      </c>
      <c r="N9">
        <f>COUNTIFS(Intersections!$DI:$DI,$M9,Intersections!$W:$W,'Crash Costs'!N$4,Intersections!$S:$S,"&gt;=2019",Intersections!$S:$S,"&lt;=2021")</f>
        <v>0</v>
      </c>
      <c r="O9">
        <f>COUNTIFS(Intersections!$DI:$DI,$M9,Intersections!$W:$W,'Crash Costs'!O$4,Intersections!$S:$S,"&gt;=2019",Intersections!$S:$S,"&lt;=2021")</f>
        <v>0</v>
      </c>
      <c r="P9">
        <f>COUNTIFS(Intersections!$DI:$DI,$M9,Intersections!$W:$W,'Crash Costs'!P$4,Intersections!$S:$S,"&gt;=2019",Intersections!$S:$S,"&lt;=2021")</f>
        <v>1</v>
      </c>
      <c r="Q9" s="31">
        <f>COUNTIFS(Intersections!$DI:$DI,$M9,Intersections!$W:$W,'Crash Costs'!Q$4,Intersections!$S:$S,"&gt;=2019",Intersections!$S:$S,"&lt;=2021")</f>
        <v>3</v>
      </c>
      <c r="S9" s="30" t="s">
        <v>332</v>
      </c>
      <c r="T9">
        <f>'Crash Costs'!N9-'Crash Costs'!T46</f>
        <v>0</v>
      </c>
      <c r="U9">
        <f>'Crash Costs'!O9-'Crash Costs'!U46</f>
        <v>0</v>
      </c>
      <c r="V9">
        <f>'Crash Costs'!P9-'Crash Costs'!V46</f>
        <v>1</v>
      </c>
      <c r="W9" s="31">
        <f>'Crash Costs'!Q9-'Crash Costs'!W46</f>
        <v>3</v>
      </c>
    </row>
    <row r="10" spans="2:23" x14ac:dyDescent="0.25">
      <c r="B10" s="427">
        <f t="shared" si="2"/>
        <v>2030</v>
      </c>
      <c r="C10" s="432">
        <f t="shared" si="0"/>
        <v>423851.95021244325</v>
      </c>
      <c r="D10" s="421">
        <f t="shared" si="1"/>
        <v>230547.37758064424</v>
      </c>
      <c r="M10" s="30" t="s">
        <v>323</v>
      </c>
      <c r="N10">
        <f>COUNTIFS(Intersections!$DI:$DI,$M10,Intersections!$W:$W,'Crash Costs'!N$4,Intersections!$S:$S,"&gt;=2019",Intersections!$S:$S,"&lt;=2021")</f>
        <v>0</v>
      </c>
      <c r="O10">
        <f>COUNTIFS(Intersections!$DI:$DI,$M10,Intersections!$W:$W,'Crash Costs'!O$4,Intersections!$S:$S,"&gt;=2019",Intersections!$S:$S,"&lt;=2021")</f>
        <v>1</v>
      </c>
      <c r="P10">
        <f>COUNTIFS(Intersections!$DI:$DI,$M10,Intersections!$W:$W,'Crash Costs'!P$4,Intersections!$S:$S,"&gt;=2019",Intersections!$S:$S,"&lt;=2021")</f>
        <v>0</v>
      </c>
      <c r="Q10" s="31">
        <f>COUNTIFS(Intersections!$DI:$DI,$M10,Intersections!$W:$W,'Crash Costs'!Q$4,Intersections!$S:$S,"&gt;=2019",Intersections!$S:$S,"&lt;=2021")</f>
        <v>0</v>
      </c>
      <c r="S10" s="30" t="s">
        <v>323</v>
      </c>
      <c r="T10">
        <f>'Crash Costs'!N10-'Crash Costs'!T47</f>
        <v>0</v>
      </c>
      <c r="U10">
        <f>'Crash Costs'!O10-'Crash Costs'!U47</f>
        <v>0</v>
      </c>
      <c r="V10">
        <f>'Crash Costs'!P10-'Crash Costs'!V47</f>
        <v>0</v>
      </c>
      <c r="W10" s="31">
        <f>'Crash Costs'!Q10-'Crash Costs'!W47</f>
        <v>0</v>
      </c>
    </row>
    <row r="11" spans="2:23" x14ac:dyDescent="0.25">
      <c r="B11" s="427">
        <f t="shared" si="2"/>
        <v>2031</v>
      </c>
      <c r="C11" s="432">
        <f t="shared" si="0"/>
        <v>426031.64701110497</v>
      </c>
      <c r="D11" s="421">
        <f t="shared" si="1"/>
        <v>216572.88618508319</v>
      </c>
      <c r="M11" s="30" t="s">
        <v>322</v>
      </c>
      <c r="N11">
        <f>COUNTIFS(Intersections!$DI:$DI,$M11,Intersections!$W:$W,'Crash Costs'!N$4,Intersections!$S:$S,"&gt;=2019",Intersections!$S:$S,"&lt;=2021")</f>
        <v>0</v>
      </c>
      <c r="O11">
        <f>COUNTIFS(Intersections!$DI:$DI,$M11,Intersections!$W:$W,'Crash Costs'!O$4,Intersections!$S:$S,"&gt;=2019",Intersections!$S:$S,"&lt;=2021")</f>
        <v>1</v>
      </c>
      <c r="P11">
        <f>COUNTIFS(Intersections!$DI:$DI,$M11,Intersections!$W:$W,'Crash Costs'!P$4,Intersections!$S:$S,"&gt;=2019",Intersections!$S:$S,"&lt;=2021")</f>
        <v>2</v>
      </c>
      <c r="Q11" s="31">
        <f>COUNTIFS(Intersections!$DI:$DI,$M11,Intersections!$W:$W,'Crash Costs'!Q$4,Intersections!$S:$S,"&gt;=2019",Intersections!$S:$S,"&lt;=2021")</f>
        <v>7</v>
      </c>
      <c r="S11" s="30" t="s">
        <v>322</v>
      </c>
      <c r="T11">
        <f>'Crash Costs'!N11-'Crash Costs'!T48</f>
        <v>0</v>
      </c>
      <c r="U11">
        <f>'Crash Costs'!O11-'Crash Costs'!U48</f>
        <v>1</v>
      </c>
      <c r="V11">
        <f>'Crash Costs'!P11-'Crash Costs'!V48</f>
        <v>2</v>
      </c>
      <c r="W11" s="31">
        <f>'Crash Costs'!Q11-'Crash Costs'!W48</f>
        <v>7</v>
      </c>
    </row>
    <row r="12" spans="2:23" x14ac:dyDescent="0.25">
      <c r="B12" s="427">
        <f t="shared" si="2"/>
        <v>2032</v>
      </c>
      <c r="C12" s="432">
        <f t="shared" si="0"/>
        <v>428211.34380976669</v>
      </c>
      <c r="D12" s="421">
        <f t="shared" si="1"/>
        <v>203440.12477546837</v>
      </c>
      <c r="M12" s="30" t="s">
        <v>329</v>
      </c>
      <c r="N12">
        <f>COUNTIFS(Intersections!$DI:$DI,$M12,Intersections!$W:$W,'Crash Costs'!N$4,Intersections!$S:$S,"&gt;=2019",Intersections!$S:$S,"&lt;=2021")</f>
        <v>0</v>
      </c>
      <c r="O12">
        <f>COUNTIFS(Intersections!$DI:$DI,$M12,Intersections!$W:$W,'Crash Costs'!O$4,Intersections!$S:$S,"&gt;=2019",Intersections!$S:$S,"&lt;=2021")</f>
        <v>0</v>
      </c>
      <c r="P12">
        <f>COUNTIFS(Intersections!$DI:$DI,$M12,Intersections!$W:$W,'Crash Costs'!P$4,Intersections!$S:$S,"&gt;=2019",Intersections!$S:$S,"&lt;=2021")</f>
        <v>1</v>
      </c>
      <c r="Q12" s="31">
        <f>COUNTIFS(Intersections!$DI:$DI,$M12,Intersections!$W:$W,'Crash Costs'!Q$4,Intersections!$S:$S,"&gt;=2019",Intersections!$S:$S,"&lt;=2021")</f>
        <v>0</v>
      </c>
      <c r="S12" s="30" t="s">
        <v>329</v>
      </c>
      <c r="T12">
        <f>'Crash Costs'!N12-'Crash Costs'!T49</f>
        <v>0</v>
      </c>
      <c r="U12">
        <f>'Crash Costs'!O12-'Crash Costs'!U49</f>
        <v>0</v>
      </c>
      <c r="V12">
        <f>'Crash Costs'!P12-'Crash Costs'!V49</f>
        <v>1</v>
      </c>
      <c r="W12" s="31">
        <f>'Crash Costs'!Q12-'Crash Costs'!W49</f>
        <v>0</v>
      </c>
    </row>
    <row r="13" spans="2:23" x14ac:dyDescent="0.25">
      <c r="B13" s="427">
        <f t="shared" si="2"/>
        <v>2033</v>
      </c>
      <c r="C13" s="432">
        <f t="shared" si="0"/>
        <v>430391.04060842749</v>
      </c>
      <c r="D13" s="421">
        <f t="shared" si="1"/>
        <v>191098.76918020676</v>
      </c>
      <c r="F13" s="45"/>
      <c r="G13" s="45" t="s">
        <v>1169</v>
      </c>
      <c r="H13" s="45" t="s">
        <v>778</v>
      </c>
      <c r="I13" s="45" t="s">
        <v>95</v>
      </c>
      <c r="M13" s="30" t="s">
        <v>326</v>
      </c>
      <c r="N13">
        <f>COUNTIFS(Intersections!$DI:$DI,$M13,Intersections!$W:$W,'Crash Costs'!N$4,Intersections!$S:$S,"&gt;=2019",Intersections!$S:$S,"&lt;=2021")</f>
        <v>0</v>
      </c>
      <c r="O13">
        <f>COUNTIFS(Intersections!$DI:$DI,$M13,Intersections!$W:$W,'Crash Costs'!O$4,Intersections!$S:$S,"&gt;=2019",Intersections!$S:$S,"&lt;=2021")</f>
        <v>0</v>
      </c>
      <c r="P13">
        <f>COUNTIFS(Intersections!$DI:$DI,$M13,Intersections!$W:$W,'Crash Costs'!P$4,Intersections!$S:$S,"&gt;=2019",Intersections!$S:$S,"&lt;=2021")</f>
        <v>1</v>
      </c>
      <c r="Q13" s="31">
        <f>COUNTIFS(Intersections!$DI:$DI,$M13,Intersections!$W:$W,'Crash Costs'!Q$4,Intersections!$S:$S,"&gt;=2019",Intersections!$S:$S,"&lt;=2021")</f>
        <v>5</v>
      </c>
      <c r="S13" s="30" t="s">
        <v>326</v>
      </c>
      <c r="T13">
        <f>'Crash Costs'!N13-'Crash Costs'!T50</f>
        <v>0</v>
      </c>
      <c r="U13">
        <f>'Crash Costs'!O13-'Crash Costs'!U50</f>
        <v>0</v>
      </c>
      <c r="V13">
        <f>'Crash Costs'!P13-'Crash Costs'!V50</f>
        <v>1</v>
      </c>
      <c r="W13" s="31">
        <f>'Crash Costs'!Q13-'Crash Costs'!W50</f>
        <v>5</v>
      </c>
    </row>
    <row r="14" spans="2:23" x14ac:dyDescent="0.25">
      <c r="B14" s="427">
        <f t="shared" si="2"/>
        <v>2034</v>
      </c>
      <c r="C14" s="432">
        <f t="shared" si="0"/>
        <v>432570.73740708921</v>
      </c>
      <c r="D14" s="421">
        <f t="shared" si="1"/>
        <v>179501.47722087035</v>
      </c>
      <c r="F14" s="45">
        <f>B7</f>
        <v>2027</v>
      </c>
      <c r="G14" s="325">
        <f>I14*K8</f>
        <v>881115.52488910803</v>
      </c>
      <c r="H14" s="325">
        <f>I14*K9</f>
        <v>463802.66507264873</v>
      </c>
      <c r="I14" s="417">
        <f>'Annualized Operations'!C13</f>
        <v>4804312.5</v>
      </c>
      <c r="M14" s="30" t="s">
        <v>659</v>
      </c>
      <c r="N14">
        <f>COUNTIFS(Intersections!$DI:$DI,$M14,Intersections!$W:$W,'Crash Costs'!N$4,Intersections!$S:$S,"&gt;=2019",Intersections!$S:$S,"&lt;=2021")</f>
        <v>0</v>
      </c>
      <c r="O14">
        <f>COUNTIFS(Intersections!$DI:$DI,$M14,Intersections!$W:$W,'Crash Costs'!O$4,Intersections!$S:$S,"&gt;=2019",Intersections!$S:$S,"&lt;=2021")</f>
        <v>0</v>
      </c>
      <c r="P14">
        <f>COUNTIFS(Intersections!$DI:$DI,$M14,Intersections!$W:$W,'Crash Costs'!P$4,Intersections!$S:$S,"&gt;=2019",Intersections!$S:$S,"&lt;=2021")</f>
        <v>0</v>
      </c>
      <c r="Q14" s="31">
        <f>COUNTIFS(Intersections!$DI:$DI,$M14,Intersections!$W:$W,'Crash Costs'!Q$4,Intersections!$S:$S,"&gt;=2019",Intersections!$S:$S,"&lt;=2021")</f>
        <v>0</v>
      </c>
      <c r="S14" s="30" t="s">
        <v>659</v>
      </c>
      <c r="T14">
        <f>'Crash Costs'!N14-'Crash Costs'!T51</f>
        <v>0</v>
      </c>
      <c r="U14">
        <f>'Crash Costs'!O14-'Crash Costs'!U51</f>
        <v>0</v>
      </c>
      <c r="V14">
        <f>'Crash Costs'!P14-'Crash Costs'!V51</f>
        <v>0</v>
      </c>
      <c r="W14" s="31">
        <f>'Crash Costs'!Q14-'Crash Costs'!W51</f>
        <v>0</v>
      </c>
    </row>
    <row r="15" spans="2:23" x14ac:dyDescent="0.25">
      <c r="B15" s="427">
        <f t="shared" si="2"/>
        <v>2035</v>
      </c>
      <c r="C15" s="432">
        <f t="shared" si="0"/>
        <v>434750.43420575093</v>
      </c>
      <c r="D15" s="421">
        <f t="shared" si="1"/>
        <v>168603.71392475837</v>
      </c>
      <c r="F15" s="45">
        <f>B26</f>
        <v>2046</v>
      </c>
      <c r="G15" s="325">
        <f>I15*K8</f>
        <v>968557.66387382953</v>
      </c>
      <c r="H15" s="325">
        <f>I15*K9</f>
        <v>509830.56488280237</v>
      </c>
      <c r="I15" s="417">
        <f>'Annualized Operations'!C32</f>
        <v>5281093.75</v>
      </c>
      <c r="M15" s="30" t="s">
        <v>660</v>
      </c>
      <c r="N15">
        <f>COUNTIFS(Intersections!$DI:$DI,$M15,Intersections!$W:$W,'Crash Costs'!N$4,Intersections!$S:$S,"&gt;=2019",Intersections!$S:$S,"&lt;=2021")</f>
        <v>0</v>
      </c>
      <c r="O15">
        <f>COUNTIFS(Intersections!$DI:$DI,$M15,Intersections!$W:$W,'Crash Costs'!O$4,Intersections!$S:$S,"&gt;=2019",Intersections!$S:$S,"&lt;=2021")</f>
        <v>0</v>
      </c>
      <c r="P15">
        <f>COUNTIFS(Intersections!$DI:$DI,$M15,Intersections!$W:$W,'Crash Costs'!P$4,Intersections!$S:$S,"&gt;=2019",Intersections!$S:$S,"&lt;=2021")</f>
        <v>0</v>
      </c>
      <c r="Q15" s="31">
        <f>COUNTIFS(Intersections!$DI:$DI,$M15,Intersections!$W:$W,'Crash Costs'!Q$4,Intersections!$S:$S,"&gt;=2019",Intersections!$S:$S,"&lt;=2021")</f>
        <v>0</v>
      </c>
      <c r="S15" s="30" t="s">
        <v>660</v>
      </c>
      <c r="T15">
        <f>'Crash Costs'!N15-'Crash Costs'!T52</f>
        <v>0</v>
      </c>
      <c r="U15">
        <f>'Crash Costs'!O15-'Crash Costs'!U52</f>
        <v>0</v>
      </c>
      <c r="V15">
        <f>'Crash Costs'!P15-'Crash Costs'!V52</f>
        <v>0</v>
      </c>
      <c r="W15" s="31">
        <f>'Crash Costs'!Q15-'Crash Costs'!W52</f>
        <v>0</v>
      </c>
    </row>
    <row r="16" spans="2:23" x14ac:dyDescent="0.25">
      <c r="B16" s="427">
        <f t="shared" si="2"/>
        <v>2036</v>
      </c>
      <c r="C16" s="432">
        <f t="shared" si="0"/>
        <v>436930.13100441266</v>
      </c>
      <c r="D16" s="421">
        <f t="shared" si="1"/>
        <v>158363.58684436412</v>
      </c>
      <c r="M16" s="30" t="s">
        <v>331</v>
      </c>
      <c r="N16">
        <f>COUNTIFS(Intersections!$DI:$DI,$M16,Intersections!$W:$W,'Crash Costs'!N$4,Intersections!$S:$S,"&gt;=2019",Intersections!$S:$S,"&lt;=2021")</f>
        <v>0</v>
      </c>
      <c r="O16">
        <f>COUNTIFS(Intersections!$DI:$DI,$M16,Intersections!$W:$W,'Crash Costs'!O$4,Intersections!$S:$S,"&gt;=2019",Intersections!$S:$S,"&lt;=2021")</f>
        <v>0</v>
      </c>
      <c r="P16">
        <f>COUNTIFS(Intersections!$DI:$DI,$M16,Intersections!$W:$W,'Crash Costs'!P$4,Intersections!$S:$S,"&gt;=2019",Intersections!$S:$S,"&lt;=2021")</f>
        <v>1</v>
      </c>
      <c r="Q16" s="31">
        <f>COUNTIFS(Intersections!$DI:$DI,$M16,Intersections!$W:$W,'Crash Costs'!Q$4,Intersections!$S:$S,"&gt;=2019",Intersections!$S:$S,"&lt;=2021")</f>
        <v>0</v>
      </c>
      <c r="S16" s="30" t="s">
        <v>331</v>
      </c>
      <c r="T16">
        <f>'Crash Costs'!N16-'Crash Costs'!T53</f>
        <v>0</v>
      </c>
      <c r="U16">
        <f>'Crash Costs'!O16-'Crash Costs'!U53</f>
        <v>0</v>
      </c>
      <c r="V16">
        <f>'Crash Costs'!P16-'Crash Costs'!V53</f>
        <v>1</v>
      </c>
      <c r="W16" s="31">
        <f>'Crash Costs'!Q16-'Crash Costs'!W53</f>
        <v>0</v>
      </c>
    </row>
    <row r="17" spans="2:23" x14ac:dyDescent="0.25">
      <c r="B17" s="427">
        <f t="shared" si="2"/>
        <v>2037</v>
      </c>
      <c r="C17" s="432">
        <f t="shared" si="0"/>
        <v>439109.82780307345</v>
      </c>
      <c r="D17" s="421">
        <f t="shared" si="1"/>
        <v>148741.69090940742</v>
      </c>
      <c r="F17" s="45"/>
      <c r="G17" s="45" t="s">
        <v>95</v>
      </c>
      <c r="I17" s="45" t="s">
        <v>1175</v>
      </c>
      <c r="J17" s="45" t="s">
        <v>29</v>
      </c>
      <c r="K17" s="45" t="s">
        <v>30</v>
      </c>
      <c r="M17" s="30" t="s">
        <v>324</v>
      </c>
      <c r="N17">
        <f>COUNTIFS(Intersections!$DI:$DI,$M17,Intersections!$W:$W,'Crash Costs'!N$4,Intersections!$S:$S,"&gt;=2019",Intersections!$S:$S,"&lt;=2021")</f>
        <v>0</v>
      </c>
      <c r="O17">
        <f>COUNTIFS(Intersections!$DI:$DI,$M17,Intersections!$W:$W,'Crash Costs'!O$4,Intersections!$S:$S,"&gt;=2019",Intersections!$S:$S,"&lt;=2021")</f>
        <v>0</v>
      </c>
      <c r="P17">
        <f>COUNTIFS(Intersections!$DI:$DI,$M17,Intersections!$W:$W,'Crash Costs'!P$4,Intersections!$S:$S,"&gt;=2019",Intersections!$S:$S,"&lt;=2021")</f>
        <v>0</v>
      </c>
      <c r="Q17" s="31">
        <f>COUNTIFS(Intersections!$DI:$DI,$M17,Intersections!$W:$W,'Crash Costs'!Q$4,Intersections!$S:$S,"&gt;=2019",Intersections!$S:$S,"&lt;=2021")</f>
        <v>1</v>
      </c>
      <c r="S17" s="30" t="s">
        <v>324</v>
      </c>
      <c r="T17">
        <f>'Crash Costs'!N17-'Crash Costs'!T54</f>
        <v>0</v>
      </c>
      <c r="U17">
        <f>'Crash Costs'!O17-'Crash Costs'!U54</f>
        <v>0</v>
      </c>
      <c r="V17">
        <f>'Crash Costs'!P17-'Crash Costs'!V54</f>
        <v>0</v>
      </c>
      <c r="W17" s="31">
        <f>'Crash Costs'!Q17-'Crash Costs'!W54</f>
        <v>1</v>
      </c>
    </row>
    <row r="18" spans="2:23" x14ac:dyDescent="0.25">
      <c r="B18" s="427">
        <f t="shared" si="2"/>
        <v>2038</v>
      </c>
      <c r="C18" s="432">
        <f t="shared" si="0"/>
        <v>441289.52460173517</v>
      </c>
      <c r="D18" s="421">
        <f t="shared" si="1"/>
        <v>139700.96226899128</v>
      </c>
      <c r="F18" s="45">
        <v>2012</v>
      </c>
      <c r="G18" s="45">
        <f t="shared" ref="G18:G28" si="3">_xlfn.FORECAST.LINEAR(F18,$I$14:$I$15,$F$14:$F$15)</f>
        <v>4427906.25</v>
      </c>
      <c r="I18" s="45" t="s">
        <v>305</v>
      </c>
      <c r="J18" s="425">
        <f>'Annualized Operations'!$N$27</f>
        <v>8500</v>
      </c>
      <c r="K18" s="425">
        <f>J18</f>
        <v>8500</v>
      </c>
      <c r="M18" s="30" t="s">
        <v>661</v>
      </c>
      <c r="N18">
        <f>COUNTIFS(Intersections!$DI:$DI,$M18,Intersections!$W:$W,'Crash Costs'!N$4,Intersections!$S:$S,"&gt;=2019",Intersections!$S:$S,"&lt;=2021")</f>
        <v>0</v>
      </c>
      <c r="O18">
        <f>COUNTIFS(Intersections!$DI:$DI,$M18,Intersections!$W:$W,'Crash Costs'!O$4,Intersections!$S:$S,"&gt;=2019",Intersections!$S:$S,"&lt;=2021")</f>
        <v>0</v>
      </c>
      <c r="P18">
        <f>COUNTIFS(Intersections!$DI:$DI,$M18,Intersections!$W:$W,'Crash Costs'!P$4,Intersections!$S:$S,"&gt;=2019",Intersections!$S:$S,"&lt;=2021")</f>
        <v>0</v>
      </c>
      <c r="Q18" s="31">
        <f>COUNTIFS(Intersections!$DI:$DI,$M18,Intersections!$W:$W,'Crash Costs'!Q$4,Intersections!$S:$S,"&gt;=2019",Intersections!$S:$S,"&lt;=2021")</f>
        <v>0</v>
      </c>
      <c r="S18" s="30" t="s">
        <v>661</v>
      </c>
      <c r="T18">
        <f>'Crash Costs'!N18-'Crash Costs'!T55</f>
        <v>0</v>
      </c>
      <c r="U18">
        <f>'Crash Costs'!O18-'Crash Costs'!U55</f>
        <v>0</v>
      </c>
      <c r="V18">
        <f>'Crash Costs'!P18-'Crash Costs'!V55</f>
        <v>0</v>
      </c>
      <c r="W18" s="31">
        <f>'Crash Costs'!Q18-'Crash Costs'!W55</f>
        <v>0</v>
      </c>
    </row>
    <row r="19" spans="2:23" x14ac:dyDescent="0.25">
      <c r="B19" s="427">
        <f t="shared" si="2"/>
        <v>2039</v>
      </c>
      <c r="C19" s="432">
        <f t="shared" si="0"/>
        <v>443469.2214003969</v>
      </c>
      <c r="D19" s="421">
        <f t="shared" si="1"/>
        <v>131206.54061161136</v>
      </c>
      <c r="F19" s="45">
        <v>2013</v>
      </c>
      <c r="G19" s="45">
        <f t="shared" si="3"/>
        <v>4453000</v>
      </c>
      <c r="I19" s="45" t="s">
        <v>1176</v>
      </c>
      <c r="J19" s="45">
        <v>71.66</v>
      </c>
      <c r="K19" s="45">
        <v>60</v>
      </c>
      <c r="M19" s="30" t="s">
        <v>334</v>
      </c>
      <c r="N19">
        <f>COUNTIFS(Intersections!$DI:$DI,$M19,Intersections!$W:$W,'Crash Costs'!N$4,Intersections!$S:$S,"&gt;=2019",Intersections!$S:$S,"&lt;=2021")</f>
        <v>0</v>
      </c>
      <c r="O19">
        <f>COUNTIFS(Intersections!$DI:$DI,$M19,Intersections!$W:$W,'Crash Costs'!O$4,Intersections!$S:$S,"&gt;=2019",Intersections!$S:$S,"&lt;=2021")</f>
        <v>1</v>
      </c>
      <c r="P19">
        <f>COUNTIFS(Intersections!$DI:$DI,$M19,Intersections!$W:$W,'Crash Costs'!P$4,Intersections!$S:$S,"&gt;=2019",Intersections!$S:$S,"&lt;=2021")</f>
        <v>0</v>
      </c>
      <c r="Q19" s="31">
        <f>COUNTIFS(Intersections!$DI:$DI,$M19,Intersections!$W:$W,'Crash Costs'!Q$4,Intersections!$S:$S,"&gt;=2019",Intersections!$S:$S,"&lt;=2021")</f>
        <v>1</v>
      </c>
      <c r="S19" s="30" t="s">
        <v>334</v>
      </c>
      <c r="T19">
        <f>'Crash Costs'!N19-'Crash Costs'!T56</f>
        <v>0</v>
      </c>
      <c r="U19">
        <f>'Crash Costs'!O19-'Crash Costs'!U56</f>
        <v>0</v>
      </c>
      <c r="V19">
        <f>'Crash Costs'!P19-'Crash Costs'!V56</f>
        <v>0</v>
      </c>
      <c r="W19" s="31">
        <f>'Crash Costs'!Q19-'Crash Costs'!W56</f>
        <v>1</v>
      </c>
    </row>
    <row r="20" spans="2:23" x14ac:dyDescent="0.25">
      <c r="B20" s="427">
        <f t="shared" si="2"/>
        <v>2040</v>
      </c>
      <c r="C20" s="432">
        <f t="shared" si="0"/>
        <v>445648.91819905769</v>
      </c>
      <c r="D20" s="421">
        <f t="shared" si="1"/>
        <v>123225.63947930541</v>
      </c>
      <c r="F20" s="45">
        <v>2014</v>
      </c>
      <c r="G20" s="45">
        <f t="shared" si="3"/>
        <v>4478093.75</v>
      </c>
      <c r="I20" s="45" t="s">
        <v>1177</v>
      </c>
      <c r="J20" s="45">
        <f>(0.322+(J19*(0.05-0.005*LN(J18))))/(0.322+(5*(0.05-0.005*LN(J18))))</f>
        <v>1.9177473003321623</v>
      </c>
      <c r="K20" s="45">
        <f>(0.322+(K19*(0.05-0.005*LN(K18))))/(0.322+(5*(0.05-0.005*LN(K18))))</f>
        <v>1.7572172444984835</v>
      </c>
      <c r="M20" s="30" t="s">
        <v>330</v>
      </c>
      <c r="N20">
        <f>COUNTIFS(Intersections!$DI:$DI,$M20,Intersections!$W:$W,'Crash Costs'!N$4,Intersections!$S:$S,"&gt;=2019",Intersections!$S:$S,"&lt;=2021")</f>
        <v>0</v>
      </c>
      <c r="O20">
        <f>COUNTIFS(Intersections!$DI:$DI,$M20,Intersections!$W:$W,'Crash Costs'!O$4,Intersections!$S:$S,"&gt;=2019",Intersections!$S:$S,"&lt;=2021")</f>
        <v>0</v>
      </c>
      <c r="P20">
        <f>COUNTIFS(Intersections!$DI:$DI,$M20,Intersections!$W:$W,'Crash Costs'!P$4,Intersections!$S:$S,"&gt;=2019",Intersections!$S:$S,"&lt;=2021")</f>
        <v>0</v>
      </c>
      <c r="Q20" s="31">
        <f>COUNTIFS(Intersections!$DI:$DI,$M20,Intersections!$W:$W,'Crash Costs'!Q$4,Intersections!$S:$S,"&gt;=2019",Intersections!$S:$S,"&lt;=2021")</f>
        <v>0</v>
      </c>
      <c r="S20" s="30" t="s">
        <v>330</v>
      </c>
      <c r="T20">
        <f>'Crash Costs'!N20-'Crash Costs'!T57</f>
        <v>0</v>
      </c>
      <c r="U20">
        <f>'Crash Costs'!O20-'Crash Costs'!U57</f>
        <v>0</v>
      </c>
      <c r="V20">
        <f>'Crash Costs'!P20-'Crash Costs'!V57</f>
        <v>0</v>
      </c>
      <c r="W20" s="31">
        <f>'Crash Costs'!Q20-'Crash Costs'!W57</f>
        <v>0</v>
      </c>
    </row>
    <row r="21" spans="2:23" ht="15.75" thickBot="1" x14ac:dyDescent="0.3">
      <c r="B21" s="427">
        <f t="shared" si="2"/>
        <v>2041</v>
      </c>
      <c r="C21" s="432">
        <f t="shared" si="0"/>
        <v>447828.61499771941</v>
      </c>
      <c r="D21" s="421">
        <f t="shared" si="1"/>
        <v>115727.42411922658</v>
      </c>
      <c r="F21" s="45">
        <v>2015</v>
      </c>
      <c r="G21" s="45">
        <f t="shared" si="3"/>
        <v>4503187.5</v>
      </c>
      <c r="I21" s="45"/>
      <c r="J21" s="45">
        <f>J20/J20</f>
        <v>1</v>
      </c>
      <c r="K21" s="45">
        <f>K20/J20</f>
        <v>0.91629238335735141</v>
      </c>
      <c r="M21" s="32" t="s">
        <v>325</v>
      </c>
      <c r="N21" s="306">
        <f>COUNTIFS(Intersections!$DI:$DI,$M21,Intersections!$W:$W,'Crash Costs'!N$4,Intersections!$S:$S,"&gt;=2019",Intersections!$S:$S,"&lt;=2021")</f>
        <v>0</v>
      </c>
      <c r="O21" s="306">
        <f>COUNTIFS(Intersections!$DI:$DI,$M21,Intersections!$W:$W,'Crash Costs'!O$4,Intersections!$S:$S,"&gt;=2019",Intersections!$S:$S,"&lt;=2021")</f>
        <v>0</v>
      </c>
      <c r="P21" s="306">
        <f>COUNTIFS(Intersections!$DI:$DI,$M21,Intersections!$W:$W,'Crash Costs'!P$4,Intersections!$S:$S,"&gt;=2019",Intersections!$S:$S,"&lt;=2021")</f>
        <v>0</v>
      </c>
      <c r="Q21" s="33">
        <f>COUNTIFS(Intersections!$DI:$DI,$M21,Intersections!$W:$W,'Crash Costs'!Q$4,Intersections!$S:$S,"&gt;=2019",Intersections!$S:$S,"&lt;=2021")</f>
        <v>0</v>
      </c>
      <c r="S21" s="32" t="s">
        <v>325</v>
      </c>
      <c r="T21" s="306">
        <f>'Crash Costs'!N21-'Crash Costs'!T58</f>
        <v>0</v>
      </c>
      <c r="U21" s="306">
        <f>'Crash Costs'!O21-'Crash Costs'!U58</f>
        <v>0</v>
      </c>
      <c r="V21" s="306">
        <f>'Crash Costs'!P21-'Crash Costs'!V58</f>
        <v>0</v>
      </c>
      <c r="W21" s="33">
        <f>'Crash Costs'!Q21-'Crash Costs'!W58</f>
        <v>0</v>
      </c>
    </row>
    <row r="22" spans="2:23" x14ac:dyDescent="0.25">
      <c r="B22" s="427">
        <f t="shared" si="2"/>
        <v>2042</v>
      </c>
      <c r="C22" s="432">
        <f t="shared" si="0"/>
        <v>450008.31179638114</v>
      </c>
      <c r="D22" s="421">
        <f t="shared" si="1"/>
        <v>108682.8964414704</v>
      </c>
      <c r="F22" s="45">
        <v>2016</v>
      </c>
      <c r="G22" s="45">
        <f t="shared" si="3"/>
        <v>4528281.25</v>
      </c>
      <c r="N22">
        <f>SUM(N5:N21)</f>
        <v>1</v>
      </c>
      <c r="O22">
        <f>SUM(O5:O21)</f>
        <v>3</v>
      </c>
      <c r="P22">
        <f>SUM(P5:P21)</f>
        <v>10</v>
      </c>
      <c r="Q22">
        <f>SUM(Q5:Q21)</f>
        <v>36</v>
      </c>
    </row>
    <row r="23" spans="2:23" ht="15.75" thickBot="1" x14ac:dyDescent="0.3">
      <c r="B23" s="427">
        <f t="shared" si="2"/>
        <v>2043</v>
      </c>
      <c r="C23" s="432">
        <f t="shared" si="0"/>
        <v>452188.00859504193</v>
      </c>
      <c r="D23" s="421">
        <f t="shared" si="1"/>
        <v>102064.78667614624</v>
      </c>
      <c r="F23" s="45">
        <v>2017</v>
      </c>
      <c r="G23" s="45">
        <f t="shared" si="3"/>
        <v>4553375</v>
      </c>
      <c r="I23" s="45" t="s">
        <v>1199</v>
      </c>
      <c r="J23" s="45" t="s">
        <v>1177</v>
      </c>
      <c r="M23" s="531" t="s">
        <v>1159</v>
      </c>
      <c r="N23" s="531"/>
      <c r="O23" s="531"/>
      <c r="P23" s="531"/>
      <c r="Q23" s="531"/>
      <c r="S23" s="531" t="s">
        <v>1159</v>
      </c>
      <c r="T23" s="531"/>
      <c r="U23" s="531"/>
      <c r="V23" s="531"/>
      <c r="W23" s="531"/>
    </row>
    <row r="24" spans="2:23" x14ac:dyDescent="0.25">
      <c r="B24" s="427">
        <f t="shared" si="2"/>
        <v>2044</v>
      </c>
      <c r="C24" s="432">
        <f t="shared" si="0"/>
        <v>454367.70539370365</v>
      </c>
      <c r="D24" s="421">
        <f t="shared" si="1"/>
        <v>95847.451345517315</v>
      </c>
      <c r="F24" s="45">
        <v>2018</v>
      </c>
      <c r="G24" s="45">
        <f t="shared" si="3"/>
        <v>4578468.75</v>
      </c>
      <c r="I24" s="45" t="s">
        <v>1174</v>
      </c>
      <c r="J24" s="323">
        <v>0.91629238335735141</v>
      </c>
      <c r="K24" s="393" t="s">
        <v>1200</v>
      </c>
      <c r="M24" s="28" t="s">
        <v>1158</v>
      </c>
      <c r="N24" s="300">
        <f>COUNTIFS(Segments!$DF:$DF,'Crash Costs'!$M24,Segments!$U:$U,'Crash Costs'!N$4)</f>
        <v>0</v>
      </c>
      <c r="O24" s="300">
        <f>COUNTIFS(Segments!$DF:$DF,'Crash Costs'!$M24,Segments!$U:$U,'Crash Costs'!O$4)</f>
        <v>0</v>
      </c>
      <c r="P24" s="300">
        <f>COUNTIFS(Segments!$DF:$DF,'Crash Costs'!$M24,Segments!$U:$U,'Crash Costs'!P$4)</f>
        <v>0</v>
      </c>
      <c r="Q24" s="29">
        <f>COUNTIFS(Segments!$DF:$DF,'Crash Costs'!$M24,Segments!$U:$U,'Crash Costs'!Q$4)</f>
        <v>0</v>
      </c>
      <c r="S24" s="28" t="s">
        <v>1158</v>
      </c>
      <c r="T24" s="300">
        <f>'Crash Costs'!N24</f>
        <v>0</v>
      </c>
      <c r="U24" s="300">
        <f>'Crash Costs'!O24</f>
        <v>0</v>
      </c>
      <c r="V24" s="300">
        <f>'Crash Costs'!P24</f>
        <v>0</v>
      </c>
      <c r="W24" s="29">
        <f>'Crash Costs'!Q24</f>
        <v>0</v>
      </c>
    </row>
    <row r="25" spans="2:23" x14ac:dyDescent="0.25">
      <c r="B25" s="427">
        <f t="shared" si="2"/>
        <v>2045</v>
      </c>
      <c r="C25" s="432">
        <f t="shared" si="0"/>
        <v>456547.40219236538</v>
      </c>
      <c r="D25" s="421">
        <f t="shared" si="1"/>
        <v>90006.777188628534</v>
      </c>
      <c r="F25" s="45">
        <v>2019</v>
      </c>
      <c r="G25" s="45">
        <f t="shared" si="3"/>
        <v>4603562.5</v>
      </c>
      <c r="I25" s="45" t="s">
        <v>1198</v>
      </c>
      <c r="J25" s="45">
        <v>0.7</v>
      </c>
      <c r="K25" t="s">
        <v>1223</v>
      </c>
      <c r="M25" s="30" t="s">
        <v>1157</v>
      </c>
      <c r="N25">
        <f>COUNTIFS(Segments!$DF:$DF,'Crash Costs'!$M25,Segments!$U:$U,'Crash Costs'!N$4)</f>
        <v>0</v>
      </c>
      <c r="O25">
        <f>COUNTIFS(Segments!$DF:$DF,'Crash Costs'!$M25,Segments!$U:$U,'Crash Costs'!O$4)</f>
        <v>0</v>
      </c>
      <c r="P25">
        <f>COUNTIFS(Segments!$DF:$DF,'Crash Costs'!$M25,Segments!$U:$U,'Crash Costs'!P$4)</f>
        <v>0</v>
      </c>
      <c r="Q25" s="31">
        <f>COUNTIFS(Segments!$DF:$DF,'Crash Costs'!$M25,Segments!$U:$U,'Crash Costs'!Q$4)</f>
        <v>0</v>
      </c>
      <c r="S25" s="30" t="s">
        <v>1157</v>
      </c>
      <c r="T25">
        <f>'Crash Costs'!N25</f>
        <v>0</v>
      </c>
      <c r="U25">
        <f>'Crash Costs'!O25</f>
        <v>0</v>
      </c>
      <c r="V25">
        <f>'Crash Costs'!P25</f>
        <v>0</v>
      </c>
      <c r="W25" s="31">
        <f>'Crash Costs'!Q25</f>
        <v>0</v>
      </c>
    </row>
    <row r="26" spans="2:23" ht="15.75" thickBot="1" x14ac:dyDescent="0.3">
      <c r="B26" s="428">
        <f t="shared" si="2"/>
        <v>2046</v>
      </c>
      <c r="C26" s="433">
        <f t="shared" si="0"/>
        <v>458727.0989910271</v>
      </c>
      <c r="D26" s="434">
        <f t="shared" si="1"/>
        <v>84520.090696259722</v>
      </c>
      <c r="F26" s="45">
        <v>2020</v>
      </c>
      <c r="G26" s="45">
        <f t="shared" si="3"/>
        <v>4628656.25</v>
      </c>
      <c r="I26" s="45" t="s">
        <v>1164</v>
      </c>
      <c r="J26" s="45">
        <v>0.55000000000000004</v>
      </c>
      <c r="K26" t="s">
        <v>1202</v>
      </c>
      <c r="M26" s="30" t="s">
        <v>1156</v>
      </c>
      <c r="N26">
        <f>COUNTIFS(Segments!$DF:$DF,'Crash Costs'!$M26,Segments!$U:$U,'Crash Costs'!N$4)</f>
        <v>0</v>
      </c>
      <c r="O26">
        <f>COUNTIFS(Segments!$DF:$DF,'Crash Costs'!$M26,Segments!$U:$U,'Crash Costs'!O$4)</f>
        <v>0</v>
      </c>
      <c r="P26">
        <f>COUNTIFS(Segments!$DF:$DF,'Crash Costs'!$M26,Segments!$U:$U,'Crash Costs'!P$4)</f>
        <v>0</v>
      </c>
      <c r="Q26" s="31">
        <f>COUNTIFS(Segments!$DF:$DF,'Crash Costs'!$M26,Segments!$U:$U,'Crash Costs'!Q$4)</f>
        <v>0</v>
      </c>
      <c r="S26" s="30" t="s">
        <v>1156</v>
      </c>
      <c r="T26">
        <f>'Crash Costs'!N26</f>
        <v>0</v>
      </c>
      <c r="U26">
        <f>'Crash Costs'!O26</f>
        <v>0</v>
      </c>
      <c r="V26">
        <f>'Crash Costs'!P26</f>
        <v>0</v>
      </c>
      <c r="W26" s="31">
        <f>'Crash Costs'!Q26</f>
        <v>0</v>
      </c>
    </row>
    <row r="27" spans="2:23" ht="15.75" thickBot="1" x14ac:dyDescent="0.3">
      <c r="C27" s="429" t="s">
        <v>31</v>
      </c>
      <c r="D27" s="430">
        <f>SUM(D7:D26)</f>
        <v>3272581.3464691387</v>
      </c>
      <c r="F27" s="45">
        <v>2021</v>
      </c>
      <c r="G27" s="45">
        <f t="shared" si="3"/>
        <v>4653750</v>
      </c>
      <c r="I27" s="45" t="s">
        <v>1160</v>
      </c>
      <c r="J27" s="45">
        <v>0.68</v>
      </c>
      <c r="K27" t="s">
        <v>1200</v>
      </c>
      <c r="M27" s="30" t="s">
        <v>1149</v>
      </c>
      <c r="N27">
        <f>COUNTIFS(Segments!$DF:$DF,'Crash Costs'!$M27,Segments!$U:$U,'Crash Costs'!N$4)</f>
        <v>0</v>
      </c>
      <c r="O27">
        <f>COUNTIFS(Segments!$DF:$DF,'Crash Costs'!$M27,Segments!$U:$U,'Crash Costs'!O$4)</f>
        <v>0</v>
      </c>
      <c r="P27">
        <f>COUNTIFS(Segments!$DF:$DF,'Crash Costs'!$M27,Segments!$U:$U,'Crash Costs'!P$4)</f>
        <v>0</v>
      </c>
      <c r="Q27" s="31">
        <f>COUNTIFS(Segments!$DF:$DF,'Crash Costs'!$M27,Segments!$U:$U,'Crash Costs'!Q$4)</f>
        <v>1</v>
      </c>
      <c r="S27" s="30" t="s">
        <v>1149</v>
      </c>
      <c r="T27">
        <f>'Crash Costs'!N27</f>
        <v>0</v>
      </c>
      <c r="U27">
        <f>'Crash Costs'!O27</f>
        <v>0</v>
      </c>
      <c r="V27">
        <f>'Crash Costs'!P27</f>
        <v>0</v>
      </c>
      <c r="W27" s="31">
        <f>'Crash Costs'!Q27</f>
        <v>1</v>
      </c>
    </row>
    <row r="28" spans="2:23" x14ac:dyDescent="0.25">
      <c r="F28" s="45">
        <v>2022</v>
      </c>
      <c r="G28" s="45">
        <f t="shared" si="3"/>
        <v>4678843.75</v>
      </c>
      <c r="I28" s="45" t="s">
        <v>1163</v>
      </c>
      <c r="J28" s="45">
        <v>0.31</v>
      </c>
      <c r="K28" t="s">
        <v>1201</v>
      </c>
      <c r="M28" s="30" t="s">
        <v>1155</v>
      </c>
      <c r="N28">
        <f>COUNTIFS(Segments!$DF:$DF,'Crash Costs'!$M28,Segments!$U:$U,'Crash Costs'!N$4)</f>
        <v>0</v>
      </c>
      <c r="O28">
        <f>COUNTIFS(Segments!$DF:$DF,'Crash Costs'!$M28,Segments!$U:$U,'Crash Costs'!O$4)</f>
        <v>0</v>
      </c>
      <c r="P28">
        <f>COUNTIFS(Segments!$DF:$DF,'Crash Costs'!$M28,Segments!$U:$U,'Crash Costs'!P$4)</f>
        <v>0</v>
      </c>
      <c r="Q28" s="31">
        <f>COUNTIFS(Segments!$DF:$DF,'Crash Costs'!$M28,Segments!$U:$U,'Crash Costs'!Q$4)</f>
        <v>0</v>
      </c>
      <c r="S28" s="30" t="s">
        <v>1155</v>
      </c>
      <c r="T28">
        <f>'Crash Costs'!N28</f>
        <v>0</v>
      </c>
      <c r="U28">
        <f>'Crash Costs'!O28</f>
        <v>0</v>
      </c>
      <c r="V28">
        <f>'Crash Costs'!P28</f>
        <v>0</v>
      </c>
      <c r="W28" s="31">
        <f>'Crash Costs'!Q28</f>
        <v>0</v>
      </c>
    </row>
    <row r="29" spans="2:23" x14ac:dyDescent="0.25">
      <c r="I29" s="45" t="s">
        <v>1162</v>
      </c>
      <c r="J29" s="45">
        <v>0.14000000000000001</v>
      </c>
      <c r="K29" t="s">
        <v>1203</v>
      </c>
      <c r="M29" s="30" t="s">
        <v>1148</v>
      </c>
      <c r="N29">
        <f>COUNTIFS(Segments!$DF:$DF,'Crash Costs'!$M29,Segments!$U:$U,'Crash Costs'!N$4)</f>
        <v>0</v>
      </c>
      <c r="O29">
        <f>COUNTIFS(Segments!$DF:$DF,'Crash Costs'!$M29,Segments!$U:$U,'Crash Costs'!O$4)</f>
        <v>0</v>
      </c>
      <c r="P29">
        <f>COUNTIFS(Segments!$DF:$DF,'Crash Costs'!$M29,Segments!$U:$U,'Crash Costs'!P$4)</f>
        <v>0</v>
      </c>
      <c r="Q29" s="31">
        <f>COUNTIFS(Segments!$DF:$DF,'Crash Costs'!$M29,Segments!$U:$U,'Crash Costs'!Q$4)</f>
        <v>1</v>
      </c>
      <c r="S29" s="30" t="s">
        <v>1148</v>
      </c>
      <c r="T29">
        <f>'Crash Costs'!N29</f>
        <v>0</v>
      </c>
      <c r="U29">
        <f>'Crash Costs'!O29</f>
        <v>0</v>
      </c>
      <c r="V29">
        <f>'Crash Costs'!P29</f>
        <v>0</v>
      </c>
      <c r="W29" s="31">
        <f>'Crash Costs'!Q29</f>
        <v>1</v>
      </c>
    </row>
    <row r="30" spans="2:23" ht="15" customHeight="1" x14ac:dyDescent="0.25">
      <c r="E30" s="437"/>
      <c r="I30" s="45" t="s">
        <v>294</v>
      </c>
      <c r="J30" s="45">
        <v>0.495</v>
      </c>
      <c r="K30" t="s">
        <v>1204</v>
      </c>
      <c r="M30" s="30" t="s">
        <v>1144</v>
      </c>
      <c r="N30">
        <f>COUNTIFS(Segments!$DF:$DF,'Crash Costs'!$M30,Segments!$U:$U,'Crash Costs'!N$4)</f>
        <v>1</v>
      </c>
      <c r="O30">
        <f>COUNTIFS(Segments!$DF:$DF,'Crash Costs'!$M30,Segments!$U:$U,'Crash Costs'!O$4)</f>
        <v>0</v>
      </c>
      <c r="P30">
        <f>COUNTIFS(Segments!$DF:$DF,'Crash Costs'!$M30,Segments!$U:$U,'Crash Costs'!P$4)</f>
        <v>0</v>
      </c>
      <c r="Q30" s="31">
        <f>COUNTIFS(Segments!$DF:$DF,'Crash Costs'!$M30,Segments!$U:$U,'Crash Costs'!Q$4)</f>
        <v>1</v>
      </c>
      <c r="S30" s="30" t="s">
        <v>1144</v>
      </c>
      <c r="T30">
        <f>'Crash Costs'!N30</f>
        <v>1</v>
      </c>
      <c r="U30">
        <f>'Crash Costs'!O30</f>
        <v>0</v>
      </c>
      <c r="V30">
        <f>'Crash Costs'!P30</f>
        <v>0</v>
      </c>
      <c r="W30" s="31">
        <f>'Crash Costs'!Q30</f>
        <v>1</v>
      </c>
    </row>
    <row r="31" spans="2:23" x14ac:dyDescent="0.25">
      <c r="E31" s="437"/>
      <c r="M31" s="30" t="s">
        <v>1154</v>
      </c>
      <c r="N31">
        <f>COUNTIFS(Segments!$DF:$DF,'Crash Costs'!$M31,Segments!$U:$U,'Crash Costs'!N$4)</f>
        <v>0</v>
      </c>
      <c r="O31">
        <f>COUNTIFS(Segments!$DF:$DF,'Crash Costs'!$M31,Segments!$U:$U,'Crash Costs'!O$4)</f>
        <v>0</v>
      </c>
      <c r="P31">
        <f>COUNTIFS(Segments!$DF:$DF,'Crash Costs'!$M31,Segments!$U:$U,'Crash Costs'!P$4)</f>
        <v>0</v>
      </c>
      <c r="Q31" s="31">
        <f>COUNTIFS(Segments!$DF:$DF,'Crash Costs'!$M31,Segments!$U:$U,'Crash Costs'!Q$4)</f>
        <v>0</v>
      </c>
      <c r="S31" s="30" t="s">
        <v>1154</v>
      </c>
      <c r="T31">
        <f>'Crash Costs'!N31</f>
        <v>0</v>
      </c>
      <c r="U31">
        <f>'Crash Costs'!O31</f>
        <v>0</v>
      </c>
      <c r="V31">
        <f>'Crash Costs'!P31</f>
        <v>0</v>
      </c>
      <c r="W31" s="31">
        <f>'Crash Costs'!Q31</f>
        <v>0</v>
      </c>
    </row>
    <row r="32" spans="2:23" x14ac:dyDescent="0.25">
      <c r="B32" s="437"/>
      <c r="C32" s="437"/>
      <c r="D32" s="437"/>
      <c r="E32" s="437"/>
      <c r="M32" s="30" t="s">
        <v>1147</v>
      </c>
      <c r="N32">
        <f>COUNTIFS(Segments!$DF:$DF,'Crash Costs'!$M32,Segments!$U:$U,'Crash Costs'!N$4)</f>
        <v>0</v>
      </c>
      <c r="O32">
        <f>COUNTIFS(Segments!$DF:$DF,'Crash Costs'!$M32,Segments!$U:$U,'Crash Costs'!O$4)</f>
        <v>0</v>
      </c>
      <c r="P32">
        <f>COUNTIFS(Segments!$DF:$DF,'Crash Costs'!$M32,Segments!$U:$U,'Crash Costs'!P$4)</f>
        <v>0</v>
      </c>
      <c r="Q32" s="31">
        <f>COUNTIFS(Segments!$DF:$DF,'Crash Costs'!$M32,Segments!$U:$U,'Crash Costs'!Q$4)</f>
        <v>1</v>
      </c>
      <c r="S32" s="30" t="s">
        <v>1147</v>
      </c>
      <c r="T32">
        <f>'Crash Costs'!N32</f>
        <v>0</v>
      </c>
      <c r="U32">
        <f>'Crash Costs'!O32</f>
        <v>0</v>
      </c>
      <c r="V32">
        <f>'Crash Costs'!P32</f>
        <v>0</v>
      </c>
      <c r="W32" s="31">
        <f>'Crash Costs'!Q32</f>
        <v>1</v>
      </c>
    </row>
    <row r="33" spans="2:23" x14ac:dyDescent="0.25">
      <c r="B33" s="437"/>
      <c r="C33" s="437"/>
      <c r="D33" s="437"/>
      <c r="E33" s="437"/>
      <c r="M33" s="30" t="s">
        <v>1153</v>
      </c>
      <c r="N33">
        <f>COUNTIFS(Segments!$DF:$DF,'Crash Costs'!$M33,Segments!$U:$U,'Crash Costs'!N$4)</f>
        <v>0</v>
      </c>
      <c r="O33">
        <f>COUNTIFS(Segments!$DF:$DF,'Crash Costs'!$M33,Segments!$U:$U,'Crash Costs'!O$4)</f>
        <v>0</v>
      </c>
      <c r="P33">
        <f>COUNTIFS(Segments!$DF:$DF,'Crash Costs'!$M33,Segments!$U:$U,'Crash Costs'!P$4)</f>
        <v>0</v>
      </c>
      <c r="Q33" s="31">
        <f>COUNTIFS(Segments!$DF:$DF,'Crash Costs'!$M33,Segments!$U:$U,'Crash Costs'!Q$4)</f>
        <v>0</v>
      </c>
      <c r="S33" s="30" t="s">
        <v>1153</v>
      </c>
      <c r="T33">
        <f>'Crash Costs'!N33</f>
        <v>0</v>
      </c>
      <c r="U33">
        <f>'Crash Costs'!O33</f>
        <v>0</v>
      </c>
      <c r="V33">
        <f>'Crash Costs'!P33</f>
        <v>0</v>
      </c>
      <c r="W33" s="31">
        <f>'Crash Costs'!Q33</f>
        <v>0</v>
      </c>
    </row>
    <row r="34" spans="2:23" ht="15" customHeight="1" x14ac:dyDescent="0.25">
      <c r="M34" s="30" t="s">
        <v>1146</v>
      </c>
      <c r="N34">
        <f>COUNTIFS(Segments!$DF:$DF,'Crash Costs'!$M34,Segments!$U:$U,'Crash Costs'!N$4)</f>
        <v>0</v>
      </c>
      <c r="O34">
        <f>COUNTIFS(Segments!$DF:$DF,'Crash Costs'!$M34,Segments!$U:$U,'Crash Costs'!O$4)</f>
        <v>0</v>
      </c>
      <c r="P34">
        <f>COUNTIFS(Segments!$DF:$DF,'Crash Costs'!$M34,Segments!$U:$U,'Crash Costs'!P$4)</f>
        <v>0</v>
      </c>
      <c r="Q34" s="31">
        <f>COUNTIFS(Segments!$DF:$DF,'Crash Costs'!$M34,Segments!$U:$U,'Crash Costs'!Q$4)</f>
        <v>1</v>
      </c>
      <c r="S34" s="30" t="s">
        <v>1146</v>
      </c>
      <c r="T34">
        <f>'Crash Costs'!N34</f>
        <v>0</v>
      </c>
      <c r="U34">
        <f>'Crash Costs'!O34</f>
        <v>0</v>
      </c>
      <c r="V34">
        <f>'Crash Costs'!P34</f>
        <v>0</v>
      </c>
      <c r="W34" s="31">
        <f>'Crash Costs'!Q34</f>
        <v>1</v>
      </c>
    </row>
    <row r="35" spans="2:23" ht="15" customHeight="1" x14ac:dyDescent="0.25">
      <c r="B35" s="161"/>
      <c r="C35" s="161"/>
      <c r="D35" s="161"/>
      <c r="E35" s="161"/>
      <c r="F35" s="161"/>
      <c r="M35" s="30" t="s">
        <v>1152</v>
      </c>
      <c r="N35">
        <f>COUNTIFS(Segments!$DF:$DF,'Crash Costs'!$M35,Segments!$U:$U,'Crash Costs'!N$4)</f>
        <v>0</v>
      </c>
      <c r="O35">
        <f>COUNTIFS(Segments!$DF:$DF,'Crash Costs'!$M35,Segments!$U:$U,'Crash Costs'!O$4)</f>
        <v>0</v>
      </c>
      <c r="P35">
        <f>COUNTIFS(Segments!$DF:$DF,'Crash Costs'!$M35,Segments!$U:$U,'Crash Costs'!P$4)</f>
        <v>0</v>
      </c>
      <c r="Q35" s="31">
        <f>COUNTIFS(Segments!$DF:$DF,'Crash Costs'!$M35,Segments!$U:$U,'Crash Costs'!Q$4)</f>
        <v>0</v>
      </c>
      <c r="S35" s="30" t="s">
        <v>1152</v>
      </c>
      <c r="T35">
        <f>'Crash Costs'!N35</f>
        <v>0</v>
      </c>
      <c r="U35">
        <f>'Crash Costs'!O35</f>
        <v>0</v>
      </c>
      <c r="V35">
        <f>'Crash Costs'!P35</f>
        <v>0</v>
      </c>
      <c r="W35" s="31">
        <f>'Crash Costs'!Q35</f>
        <v>0</v>
      </c>
    </row>
    <row r="36" spans="2:23" x14ac:dyDescent="0.25">
      <c r="M36" s="30" t="s">
        <v>1145</v>
      </c>
      <c r="N36">
        <f>COUNTIFS(Segments!$DF:$DF,'Crash Costs'!$M36,Segments!$U:$U,'Crash Costs'!N$4)</f>
        <v>0</v>
      </c>
      <c r="O36">
        <f>COUNTIFS(Segments!$DF:$DF,'Crash Costs'!$M36,Segments!$U:$U,'Crash Costs'!O$4)</f>
        <v>0</v>
      </c>
      <c r="P36">
        <f>COUNTIFS(Segments!$DF:$DF,'Crash Costs'!$M36,Segments!$U:$U,'Crash Costs'!P$4)</f>
        <v>0</v>
      </c>
      <c r="Q36" s="31">
        <f>COUNTIFS(Segments!$DF:$DF,'Crash Costs'!$M36,Segments!$U:$U,'Crash Costs'!Q$4)</f>
        <v>2</v>
      </c>
      <c r="S36" s="30" t="s">
        <v>1145</v>
      </c>
      <c r="T36">
        <f>'Crash Costs'!N36</f>
        <v>0</v>
      </c>
      <c r="U36">
        <f>'Crash Costs'!O36</f>
        <v>0</v>
      </c>
      <c r="V36">
        <f>'Crash Costs'!P36</f>
        <v>0</v>
      </c>
      <c r="W36" s="31">
        <f>'Crash Costs'!Q36</f>
        <v>2</v>
      </c>
    </row>
    <row r="37" spans="2:23" ht="9.75" customHeight="1" thickBot="1" x14ac:dyDescent="0.3">
      <c r="M37" s="32" t="s">
        <v>1151</v>
      </c>
      <c r="N37" s="306">
        <f>COUNTIFS(Segments!$DF:$DF,'Crash Costs'!$M37,Segments!$U:$U,'Crash Costs'!N$4)</f>
        <v>0</v>
      </c>
      <c r="O37" s="306">
        <f>COUNTIFS(Segments!$DF:$DF,'Crash Costs'!$M37,Segments!$U:$U,'Crash Costs'!O$4)</f>
        <v>0</v>
      </c>
      <c r="P37" s="306">
        <f>COUNTIFS(Segments!$DF:$DF,'Crash Costs'!$M37,Segments!$U:$U,'Crash Costs'!P$4)</f>
        <v>0</v>
      </c>
      <c r="Q37" s="33">
        <f>COUNTIFS(Segments!$DF:$DF,'Crash Costs'!$M37,Segments!$U:$U,'Crash Costs'!Q$4)</f>
        <v>0</v>
      </c>
      <c r="S37" s="32" t="s">
        <v>1151</v>
      </c>
      <c r="T37" s="306">
        <f>'Crash Costs'!N37</f>
        <v>0</v>
      </c>
      <c r="U37" s="306">
        <f>'Crash Costs'!O37</f>
        <v>0</v>
      </c>
      <c r="V37" s="306">
        <f>'Crash Costs'!P37</f>
        <v>0</v>
      </c>
      <c r="W37" s="33">
        <f>'Crash Costs'!Q37</f>
        <v>0</v>
      </c>
    </row>
    <row r="38" spans="2:23" ht="15" customHeight="1" x14ac:dyDescent="0.25">
      <c r="N38">
        <f>SUM(N24:N37)</f>
        <v>1</v>
      </c>
      <c r="O38">
        <f>SUM(O24:O37)</f>
        <v>0</v>
      </c>
      <c r="P38">
        <f>SUM(P24:P37)</f>
        <v>0</v>
      </c>
      <c r="Q38">
        <f>SUM(Q24:Q37)</f>
        <v>7</v>
      </c>
    </row>
    <row r="39" spans="2:23" x14ac:dyDescent="0.25">
      <c r="B39" s="45" t="s">
        <v>779</v>
      </c>
      <c r="C39" s="45" t="s">
        <v>1174</v>
      </c>
      <c r="D39" s="45" t="s">
        <v>1165</v>
      </c>
      <c r="E39" s="45" t="s">
        <v>1164</v>
      </c>
      <c r="F39" s="45" t="s">
        <v>1160</v>
      </c>
      <c r="G39" s="45" t="s">
        <v>1163</v>
      </c>
      <c r="H39" s="45" t="s">
        <v>1162</v>
      </c>
      <c r="I39" s="45" t="s">
        <v>294</v>
      </c>
      <c r="J39" s="45" t="s">
        <v>31</v>
      </c>
    </row>
    <row r="40" spans="2:23" ht="15.75" customHeight="1" thickBot="1" x14ac:dyDescent="0.3">
      <c r="B40" s="45" t="s">
        <v>324</v>
      </c>
      <c r="C40" s="323">
        <f t="shared" ref="C40:C57" si="4">$K$21</f>
        <v>0.91629238335735141</v>
      </c>
      <c r="D40" s="45">
        <f>$J$25</f>
        <v>0.7</v>
      </c>
      <c r="E40" s="45">
        <v>1</v>
      </c>
      <c r="F40" s="45">
        <v>0.68</v>
      </c>
      <c r="G40" s="45">
        <v>1</v>
      </c>
      <c r="H40" s="45">
        <v>1</v>
      </c>
      <c r="I40" s="45">
        <v>1</v>
      </c>
      <c r="J40" s="419">
        <f>PRODUCT(C40:I40)</f>
        <v>0.43615517447809932</v>
      </c>
      <c r="M40" s="531" t="s">
        <v>1161</v>
      </c>
      <c r="N40" s="531"/>
      <c r="O40" s="531"/>
      <c r="P40" s="531"/>
      <c r="Q40" s="531"/>
      <c r="S40" s="531" t="s">
        <v>528</v>
      </c>
      <c r="T40" s="531"/>
      <c r="U40" s="531"/>
      <c r="V40" s="531"/>
      <c r="W40" s="531"/>
    </row>
    <row r="41" spans="2:23" x14ac:dyDescent="0.25">
      <c r="B41" s="45" t="s">
        <v>325</v>
      </c>
      <c r="C41" s="323">
        <f t="shared" si="4"/>
        <v>0.91629238335735141</v>
      </c>
      <c r="D41" s="45">
        <f t="shared" ref="D41:D57" si="5">$J$25</f>
        <v>0.7</v>
      </c>
      <c r="E41" s="45">
        <v>1</v>
      </c>
      <c r="F41" s="45">
        <v>0.68</v>
      </c>
      <c r="G41" s="45">
        <v>1</v>
      </c>
      <c r="H41" s="45">
        <v>1</v>
      </c>
      <c r="I41" s="45">
        <v>1</v>
      </c>
      <c r="J41" s="419">
        <f t="shared" ref="J41:J57" si="6">PRODUCT(C41:I41)</f>
        <v>0.43615517447809932</v>
      </c>
      <c r="M41" s="28"/>
      <c r="N41" s="300" t="s">
        <v>317</v>
      </c>
      <c r="O41" s="300" t="s">
        <v>318</v>
      </c>
      <c r="P41" s="300" t="s">
        <v>319</v>
      </c>
      <c r="Q41" s="29" t="s">
        <v>320</v>
      </c>
      <c r="S41" s="28"/>
      <c r="T41" s="300" t="s">
        <v>317</v>
      </c>
      <c r="U41" s="300" t="s">
        <v>318</v>
      </c>
      <c r="V41" s="300" t="s">
        <v>319</v>
      </c>
      <c r="W41" s="29" t="s">
        <v>320</v>
      </c>
    </row>
    <row r="42" spans="2:23" x14ac:dyDescent="0.25">
      <c r="B42" s="45" t="s">
        <v>334</v>
      </c>
      <c r="C42" s="323">
        <f t="shared" si="4"/>
        <v>0.91629238335735141</v>
      </c>
      <c r="D42" s="45">
        <f t="shared" si="5"/>
        <v>0.7</v>
      </c>
      <c r="E42" s="45">
        <v>1</v>
      </c>
      <c r="F42" s="45">
        <v>0.68</v>
      </c>
      <c r="G42" s="45">
        <v>1</v>
      </c>
      <c r="H42" s="45">
        <v>1</v>
      </c>
      <c r="I42" s="45">
        <v>1</v>
      </c>
      <c r="J42" s="419">
        <f t="shared" si="6"/>
        <v>0.43615517447809932</v>
      </c>
      <c r="M42" s="30" t="s">
        <v>327</v>
      </c>
      <c r="N42">
        <f>_xlfn.XLOOKUP($M42,'Crash Costs'!$B$40:$B$57,'Crash Costs'!$J$40:$J$57)*'Crash Costs'!N5</f>
        <v>0</v>
      </c>
      <c r="O42">
        <f>_xlfn.XLOOKUP($M42,'Crash Costs'!$B$40:$B$57,'Crash Costs'!$J$40:$J$57)*'Crash Costs'!O5</f>
        <v>0</v>
      </c>
      <c r="P42">
        <f>_xlfn.XLOOKUP($M42,'Crash Costs'!$B$40:$B$57,'Crash Costs'!$J$40:$J$57)*'Crash Costs'!P5</f>
        <v>0.87231034895619863</v>
      </c>
      <c r="Q42" s="31">
        <f>_xlfn.XLOOKUP($M42,'Crash Costs'!$B$40:$B$57,'Crash Costs'!$J$40:$J$57)*'Crash Costs'!Q5</f>
        <v>5.2338620937371916</v>
      </c>
      <c r="S42" s="30" t="s">
        <v>327</v>
      </c>
      <c r="T42">
        <f>COUNTIFS(Intersections!$DI:$DI,$S42,Intersections!$W:$W,T$41,Intersections!$AK:$AK,"Pedestrian",Intersections!$S:$S,"&gt;=2019",Intersections!$S:$S,"&lt;=2021")+COUNTIFS(Intersections!$DI:$DI,$S42,Intersections!$W:$W,T$41,Intersections!$AK:$AK,"Bike",Intersections!$S:$S,"&gt;=2019",Intersections!$S:$S,"&lt;=2021")</f>
        <v>0</v>
      </c>
      <c r="U42">
        <f>COUNTIFS(Intersections!$DI:$DI,$S42,Intersections!$W:$W,U$41,Intersections!$AK:$AK,"Pedestrian",Intersections!$S:$S,"&gt;=2019",Intersections!$S:$S,"&lt;=2021")+COUNTIFS(Intersections!$DI:$DI,$S42,Intersections!$W:$W,U$41,Intersections!$AK:$AK,"Bike",Intersections!$S:$S,"&gt;=2019",Intersections!$S:$S,"&lt;=2021")</f>
        <v>0</v>
      </c>
      <c r="V42">
        <f>COUNTIFS(Intersections!$DI:$DI,$S42,Intersections!$W:$W,V$41,Intersections!$AK:$AK,"Pedestrian",Intersections!$S:$S,"&gt;=2019",Intersections!$S:$S,"&lt;=2021")+COUNTIFS(Intersections!$DI:$DI,$S42,Intersections!$W:$W,V$41,Intersections!$AK:$AK,"Bike",Intersections!$S:$S,"&gt;=2019",Intersections!$S:$S,"&lt;=2021")</f>
        <v>0</v>
      </c>
      <c r="W42" s="31">
        <f>COUNTIFS(Intersections!$DI:$DI,$S42,Intersections!$W:$W,W$41,Intersections!$AK:$AK,"Pedestrian",Intersections!$S:$S,"&gt;=2019",Intersections!$S:$S,"&lt;=2021")+COUNTIFS(Intersections!$DI:$DI,$S42,Intersections!$W:$W,W$41,Intersections!$AK:$AK,"Bike",Intersections!$S:$S,"&gt;=2019",Intersections!$S:$S,"&lt;=2021")</f>
        <v>0</v>
      </c>
    </row>
    <row r="43" spans="2:23" x14ac:dyDescent="0.25">
      <c r="B43" s="45" t="s">
        <v>331</v>
      </c>
      <c r="C43" s="323">
        <f t="shared" si="4"/>
        <v>0.91629238335735141</v>
      </c>
      <c r="D43" s="45">
        <f t="shared" si="5"/>
        <v>0.7</v>
      </c>
      <c r="E43" s="45">
        <v>1</v>
      </c>
      <c r="F43" s="45">
        <v>0.68</v>
      </c>
      <c r="G43" s="45">
        <f>J28</f>
        <v>0.31</v>
      </c>
      <c r="H43" s="45">
        <v>0.56999999999999995</v>
      </c>
      <c r="I43" s="45">
        <v>1</v>
      </c>
      <c r="J43" s="419">
        <f t="shared" si="6"/>
        <v>7.7068619330280141E-2</v>
      </c>
      <c r="M43" s="30" t="s">
        <v>658</v>
      </c>
      <c r="N43">
        <f>_xlfn.XLOOKUP($M43,'Crash Costs'!$B$40:$B$57,'Crash Costs'!$J$40:$J$57)*'Crash Costs'!N6</f>
        <v>0</v>
      </c>
      <c r="O43">
        <f>_xlfn.XLOOKUP($M43,'Crash Costs'!$B$40:$B$57,'Crash Costs'!$J$40:$J$57)*'Crash Costs'!O6</f>
        <v>0</v>
      </c>
      <c r="P43">
        <f>_xlfn.XLOOKUP($M43,'Crash Costs'!$B$40:$B$57,'Crash Costs'!$J$40:$J$57)*'Crash Costs'!P6</f>
        <v>0</v>
      </c>
      <c r="Q43" s="31">
        <f>_xlfn.XLOOKUP($M43,'Crash Costs'!$B$40:$B$57,'Crash Costs'!$J$40:$J$57)*'Crash Costs'!Q6</f>
        <v>0.43179362273331834</v>
      </c>
      <c r="S43" s="30" t="s">
        <v>658</v>
      </c>
      <c r="T43">
        <f>COUNTIFS(Intersections!$DI:$DI,$S43,Intersections!$W:$W,T$41,Intersections!$AK:$AK,"Pedestrian",Intersections!$S:$S,"&gt;=2019",Intersections!$S:$S,"&lt;=2021")+COUNTIFS(Intersections!$DI:$DI,$S43,Intersections!$W:$W,T$41,Intersections!$AK:$AK,"Bike",Intersections!$S:$S,"&gt;=2019",Intersections!$S:$S,"&lt;=2021")</f>
        <v>0</v>
      </c>
      <c r="U43">
        <f>COUNTIFS(Intersections!$DI:$DI,$S43,Intersections!$W:$W,U$41,Intersections!$AK:$AK,"Pedestrian",Intersections!$S:$S,"&gt;=2019",Intersections!$S:$S,"&lt;=2021")+COUNTIFS(Intersections!$DI:$DI,$S43,Intersections!$W:$W,U$41,Intersections!$AK:$AK,"Bike",Intersections!$S:$S,"&gt;=2019",Intersections!$S:$S,"&lt;=2021")</f>
        <v>0</v>
      </c>
      <c r="V43">
        <f>COUNTIFS(Intersections!$DI:$DI,$S43,Intersections!$W:$W,V$41,Intersections!$AK:$AK,"Pedestrian",Intersections!$S:$S,"&gt;=2019",Intersections!$S:$S,"&lt;=2021")+COUNTIFS(Intersections!$DI:$DI,$S43,Intersections!$W:$W,V$41,Intersections!$AK:$AK,"Bike",Intersections!$S:$S,"&gt;=2019",Intersections!$S:$S,"&lt;=2021")</f>
        <v>0</v>
      </c>
      <c r="W43" s="31">
        <f>COUNTIFS(Intersections!$DI:$DI,$S43,Intersections!$W:$W,W$41,Intersections!$AK:$AK,"Pedestrian",Intersections!$S:$S,"&gt;=2019",Intersections!$S:$S,"&lt;=2021")+COUNTIFS(Intersections!$DI:$DI,$S43,Intersections!$W:$W,W$41,Intersections!$AK:$AK,"Bike",Intersections!$S:$S,"&gt;=2019",Intersections!$S:$S,"&lt;=2021")</f>
        <v>0</v>
      </c>
    </row>
    <row r="44" spans="2:23" x14ac:dyDescent="0.25">
      <c r="B44" s="45" t="s">
        <v>660</v>
      </c>
      <c r="C44" s="323">
        <f t="shared" si="4"/>
        <v>0.91629238335735141</v>
      </c>
      <c r="D44" s="45">
        <f t="shared" si="5"/>
        <v>0.7</v>
      </c>
      <c r="E44" s="45">
        <v>0.55000000000000004</v>
      </c>
      <c r="F44" s="45">
        <v>0.68</v>
      </c>
      <c r="G44" s="45">
        <v>1</v>
      </c>
      <c r="H44" s="45">
        <v>0.56999999999999995</v>
      </c>
      <c r="I44" s="45">
        <v>1</v>
      </c>
      <c r="J44" s="419">
        <f t="shared" si="6"/>
        <v>0.13673464719888412</v>
      </c>
      <c r="M44" s="30" t="s">
        <v>333</v>
      </c>
      <c r="N44">
        <f>_xlfn.XLOOKUP($M44,'Crash Costs'!$B$40:$B$57,'Crash Costs'!$J$40:$J$57)*'Crash Costs'!N7</f>
        <v>0.43615517447809932</v>
      </c>
      <c r="O44">
        <f>_xlfn.XLOOKUP($M44,'Crash Costs'!$B$40:$B$57,'Crash Costs'!$J$40:$J$57)*'Crash Costs'!O7</f>
        <v>0</v>
      </c>
      <c r="P44">
        <f>_xlfn.XLOOKUP($M44,'Crash Costs'!$B$40:$B$57,'Crash Costs'!$J$40:$J$57)*'Crash Costs'!P7</f>
        <v>0.87231034895619863</v>
      </c>
      <c r="Q44" s="31">
        <f>_xlfn.XLOOKUP($M44,'Crash Costs'!$B$40:$B$57,'Crash Costs'!$J$40:$J$57)*'Crash Costs'!Q7</f>
        <v>1.3084655234342979</v>
      </c>
      <c r="S44" s="30" t="s">
        <v>333</v>
      </c>
      <c r="T44">
        <f>COUNTIFS(Intersections!$DI:$DI,$S44,Intersections!$W:$W,T$41,Intersections!$AK:$AK,"Pedestrian",Intersections!$S:$S,"&gt;=2019",Intersections!$S:$S,"&lt;=2021")+COUNTIFS(Intersections!$DI:$DI,$S44,Intersections!$W:$W,T$41,Intersections!$AK:$AK,"Bike",Intersections!$S:$S,"&gt;=2019",Intersections!$S:$S,"&lt;=2021")</f>
        <v>1</v>
      </c>
      <c r="U44">
        <f>COUNTIFS(Intersections!$DI:$DI,$S44,Intersections!$W:$W,U$41,Intersections!$AK:$AK,"Pedestrian",Intersections!$S:$S,"&gt;=2019",Intersections!$S:$S,"&lt;=2021")+COUNTIFS(Intersections!$DI:$DI,$S44,Intersections!$W:$W,U$41,Intersections!$AK:$AK,"Bike",Intersections!$S:$S,"&gt;=2019",Intersections!$S:$S,"&lt;=2021")</f>
        <v>0</v>
      </c>
      <c r="V44">
        <f>COUNTIFS(Intersections!$DI:$DI,$S44,Intersections!$W:$W,V$41,Intersections!$AK:$AK,"Pedestrian",Intersections!$S:$S,"&gt;=2019",Intersections!$S:$S,"&lt;=2021")+COUNTIFS(Intersections!$DI:$DI,$S44,Intersections!$W:$W,V$41,Intersections!$AK:$AK,"Bike",Intersections!$S:$S,"&gt;=2019",Intersections!$S:$S,"&lt;=2021")</f>
        <v>1</v>
      </c>
      <c r="W44" s="31">
        <f>COUNTIFS(Intersections!$DI:$DI,$S44,Intersections!$W:$W,W$41,Intersections!$AK:$AK,"Pedestrian",Intersections!$S:$S,"&gt;=2019",Intersections!$S:$S,"&lt;=2021")+COUNTIFS(Intersections!$DI:$DI,$S44,Intersections!$W:$W,W$41,Intersections!$AK:$AK,"Bike",Intersections!$S:$S,"&gt;=2019",Intersections!$S:$S,"&lt;=2021")</f>
        <v>0</v>
      </c>
    </row>
    <row r="45" spans="2:23" ht="15" customHeight="1" x14ac:dyDescent="0.25">
      <c r="B45" s="45" t="s">
        <v>659</v>
      </c>
      <c r="C45" s="323">
        <f t="shared" si="4"/>
        <v>0.91629238335735141</v>
      </c>
      <c r="D45" s="45">
        <f t="shared" si="5"/>
        <v>0.7</v>
      </c>
      <c r="E45" s="45">
        <v>1</v>
      </c>
      <c r="F45" s="45">
        <v>0.68</v>
      </c>
      <c r="G45" s="45">
        <v>1</v>
      </c>
      <c r="H45" s="45">
        <v>1</v>
      </c>
      <c r="I45" s="45">
        <v>1</v>
      </c>
      <c r="J45" s="419">
        <f t="shared" si="6"/>
        <v>0.43615517447809932</v>
      </c>
      <c r="M45" s="30" t="s">
        <v>328</v>
      </c>
      <c r="N45">
        <f>_xlfn.XLOOKUP($M45,'Crash Costs'!$B$40:$B$57,'Crash Costs'!$J$40:$J$57)*'Crash Costs'!N8</f>
        <v>0</v>
      </c>
      <c r="O45">
        <f>_xlfn.XLOOKUP($M45,'Crash Costs'!$B$40:$B$57,'Crash Costs'!$J$40:$J$57)*'Crash Costs'!O8</f>
        <v>0</v>
      </c>
      <c r="P45">
        <f>_xlfn.XLOOKUP($M45,'Crash Costs'!$B$40:$B$57,'Crash Costs'!$J$40:$J$57)*'Crash Costs'!P8</f>
        <v>0</v>
      </c>
      <c r="Q45" s="31">
        <f>_xlfn.XLOOKUP($M45,'Crash Costs'!$B$40:$B$57,'Crash Costs'!$J$40:$J$57)*'Crash Costs'!Q8</f>
        <v>0.87231034895619863</v>
      </c>
      <c r="S45" s="30" t="s">
        <v>328</v>
      </c>
      <c r="T45">
        <f>COUNTIFS(Intersections!$DI:$DI,$S45,Intersections!$W:$W,T$41,Intersections!$AK:$AK,"Pedestrian",Intersections!$S:$S,"&gt;=2019",Intersections!$S:$S,"&lt;=2021")+COUNTIFS(Intersections!$DI:$DI,$S45,Intersections!$W:$W,T$41,Intersections!$AK:$AK,"Bike",Intersections!$S:$S,"&gt;=2019",Intersections!$S:$S,"&lt;=2021")</f>
        <v>0</v>
      </c>
      <c r="U45">
        <f>COUNTIFS(Intersections!$DI:$DI,$S45,Intersections!$W:$W,U$41,Intersections!$AK:$AK,"Pedestrian",Intersections!$S:$S,"&gt;=2019",Intersections!$S:$S,"&lt;=2021")+COUNTIFS(Intersections!$DI:$DI,$S45,Intersections!$W:$W,U$41,Intersections!$AK:$AK,"Bike",Intersections!$S:$S,"&gt;=2019",Intersections!$S:$S,"&lt;=2021")</f>
        <v>0</v>
      </c>
      <c r="V45">
        <f>COUNTIFS(Intersections!$DI:$DI,$S45,Intersections!$W:$W,V$41,Intersections!$AK:$AK,"Pedestrian",Intersections!$S:$S,"&gt;=2019",Intersections!$S:$S,"&lt;=2021")+COUNTIFS(Intersections!$DI:$DI,$S45,Intersections!$W:$W,V$41,Intersections!$AK:$AK,"Bike",Intersections!$S:$S,"&gt;=2019",Intersections!$S:$S,"&lt;=2021")</f>
        <v>0</v>
      </c>
      <c r="W45" s="31">
        <f>COUNTIFS(Intersections!$DI:$DI,$S45,Intersections!$W:$W,W$41,Intersections!$AK:$AK,"Pedestrian",Intersections!$S:$S,"&gt;=2019",Intersections!$S:$S,"&lt;=2021")+COUNTIFS(Intersections!$DI:$DI,$S45,Intersections!$W:$W,W$41,Intersections!$AK:$AK,"Bike",Intersections!$S:$S,"&gt;=2019",Intersections!$S:$S,"&lt;=2021")</f>
        <v>0</v>
      </c>
    </row>
    <row r="46" spans="2:23" x14ac:dyDescent="0.25">
      <c r="B46" s="45" t="s">
        <v>326</v>
      </c>
      <c r="C46" s="323">
        <f t="shared" si="4"/>
        <v>0.91629238335735141</v>
      </c>
      <c r="D46" s="45">
        <f t="shared" si="5"/>
        <v>0.7</v>
      </c>
      <c r="E46" s="45">
        <v>1</v>
      </c>
      <c r="F46" s="45">
        <v>0.68</v>
      </c>
      <c r="G46" s="45">
        <v>1</v>
      </c>
      <c r="H46" s="45">
        <v>1</v>
      </c>
      <c r="I46" s="45">
        <v>1</v>
      </c>
      <c r="J46" s="419">
        <f t="shared" si="6"/>
        <v>0.43615517447809932</v>
      </c>
      <c r="M46" s="30" t="s">
        <v>332</v>
      </c>
      <c r="N46">
        <f>_xlfn.XLOOKUP($M46,'Crash Costs'!$B$40:$B$57,'Crash Costs'!$J$40:$J$57)*'Crash Costs'!N9</f>
        <v>0</v>
      </c>
      <c r="O46">
        <f>_xlfn.XLOOKUP($M46,'Crash Costs'!$B$40:$B$57,'Crash Costs'!$J$40:$J$57)*'Crash Costs'!O9</f>
        <v>0</v>
      </c>
      <c r="P46">
        <f>_xlfn.XLOOKUP($M46,'Crash Costs'!$B$40:$B$57,'Crash Costs'!$J$40:$J$57)*'Crash Costs'!P9</f>
        <v>0.43615517447809932</v>
      </c>
      <c r="Q46" s="31">
        <f>_xlfn.XLOOKUP($M46,'Crash Costs'!$B$40:$B$57,'Crash Costs'!$J$40:$J$57)*'Crash Costs'!Q9</f>
        <v>1.3084655234342979</v>
      </c>
      <c r="S46" s="30" t="s">
        <v>332</v>
      </c>
      <c r="T46">
        <f>COUNTIFS(Intersections!$DI:$DI,$S46,Intersections!$W:$W,T$41,Intersections!$AK:$AK,"Pedestrian",Intersections!$S:$S,"&gt;=2019",Intersections!$S:$S,"&lt;=2021")+COUNTIFS(Intersections!$DI:$DI,$S46,Intersections!$W:$W,T$41,Intersections!$AK:$AK,"Bike",Intersections!$S:$S,"&gt;=2019",Intersections!$S:$S,"&lt;=2021")</f>
        <v>0</v>
      </c>
      <c r="U46">
        <f>COUNTIFS(Intersections!$DI:$DI,$S46,Intersections!$W:$W,U$41,Intersections!$AK:$AK,"Pedestrian",Intersections!$S:$S,"&gt;=2019",Intersections!$S:$S,"&lt;=2021")+COUNTIFS(Intersections!$DI:$DI,$S46,Intersections!$W:$W,U$41,Intersections!$AK:$AK,"Bike",Intersections!$S:$S,"&gt;=2019",Intersections!$S:$S,"&lt;=2021")</f>
        <v>0</v>
      </c>
      <c r="V46">
        <f>COUNTIFS(Intersections!$DI:$DI,$S46,Intersections!$W:$W,V$41,Intersections!$AK:$AK,"Pedestrian",Intersections!$S:$S,"&gt;=2019",Intersections!$S:$S,"&lt;=2021")+COUNTIFS(Intersections!$DI:$DI,$S46,Intersections!$W:$W,V$41,Intersections!$AK:$AK,"Bike",Intersections!$S:$S,"&gt;=2019",Intersections!$S:$S,"&lt;=2021")</f>
        <v>0</v>
      </c>
      <c r="W46" s="31">
        <f>COUNTIFS(Intersections!$DI:$DI,$S46,Intersections!$W:$W,W$41,Intersections!$AK:$AK,"Pedestrian",Intersections!$S:$S,"&gt;=2019",Intersections!$S:$S,"&lt;=2021")+COUNTIFS(Intersections!$DI:$DI,$S46,Intersections!$W:$W,W$41,Intersections!$AK:$AK,"Bike",Intersections!$S:$S,"&gt;=2019",Intersections!$S:$S,"&lt;=2021")</f>
        <v>0</v>
      </c>
    </row>
    <row r="47" spans="2:23" x14ac:dyDescent="0.25">
      <c r="B47" s="45" t="s">
        <v>323</v>
      </c>
      <c r="C47" s="323">
        <f t="shared" si="4"/>
        <v>0.91629238335735141</v>
      </c>
      <c r="D47" s="45">
        <f t="shared" si="5"/>
        <v>0.7</v>
      </c>
      <c r="E47" s="45">
        <v>1</v>
      </c>
      <c r="F47" s="45">
        <v>0.68</v>
      </c>
      <c r="G47" s="45">
        <v>1</v>
      </c>
      <c r="H47" s="45">
        <v>1</v>
      </c>
      <c r="I47" s="45">
        <v>1</v>
      </c>
      <c r="J47" s="419">
        <f t="shared" si="6"/>
        <v>0.43615517447809932</v>
      </c>
      <c r="M47" s="30" t="s">
        <v>323</v>
      </c>
      <c r="N47">
        <f>_xlfn.XLOOKUP($M47,'Crash Costs'!$B$40:$B$57,'Crash Costs'!$J$40:$J$57)*'Crash Costs'!N10</f>
        <v>0</v>
      </c>
      <c r="O47">
        <f>_xlfn.XLOOKUP($M47,'Crash Costs'!$B$40:$B$57,'Crash Costs'!$J$40:$J$57)*'Crash Costs'!O10</f>
        <v>0.43615517447809932</v>
      </c>
      <c r="P47">
        <f>_xlfn.XLOOKUP($M47,'Crash Costs'!$B$40:$B$57,'Crash Costs'!$J$40:$J$57)*'Crash Costs'!P10</f>
        <v>0</v>
      </c>
      <c r="Q47" s="31">
        <f>_xlfn.XLOOKUP($M47,'Crash Costs'!$B$40:$B$57,'Crash Costs'!$J$40:$J$57)*'Crash Costs'!Q10</f>
        <v>0</v>
      </c>
      <c r="S47" s="30" t="s">
        <v>323</v>
      </c>
      <c r="T47">
        <f>COUNTIFS(Intersections!$DI:$DI,$S47,Intersections!$W:$W,T$41,Intersections!$AK:$AK,"Pedestrian",Intersections!$S:$S,"&gt;=2019",Intersections!$S:$S,"&lt;=2021")+COUNTIFS(Intersections!$DI:$DI,$S47,Intersections!$W:$W,T$41,Intersections!$AK:$AK,"Bike",Intersections!$S:$S,"&gt;=2019",Intersections!$S:$S,"&lt;=2021")</f>
        <v>0</v>
      </c>
      <c r="U47">
        <f>COUNTIFS(Intersections!$DI:$DI,$S47,Intersections!$W:$W,U$41,Intersections!$AK:$AK,"Pedestrian",Intersections!$S:$S,"&gt;=2019",Intersections!$S:$S,"&lt;=2021")+COUNTIFS(Intersections!$DI:$DI,$S47,Intersections!$W:$W,U$41,Intersections!$AK:$AK,"Bike",Intersections!$S:$S,"&gt;=2019",Intersections!$S:$S,"&lt;=2021")</f>
        <v>1</v>
      </c>
      <c r="V47">
        <f>COUNTIFS(Intersections!$DI:$DI,$S47,Intersections!$W:$W,V$41,Intersections!$AK:$AK,"Pedestrian",Intersections!$S:$S,"&gt;=2019",Intersections!$S:$S,"&lt;=2021")+COUNTIFS(Intersections!$DI:$DI,$S47,Intersections!$W:$W,V$41,Intersections!$AK:$AK,"Bike",Intersections!$S:$S,"&gt;=2019",Intersections!$S:$S,"&lt;=2021")</f>
        <v>0</v>
      </c>
      <c r="W47" s="31">
        <f>COUNTIFS(Intersections!$DI:$DI,$S47,Intersections!$W:$W,W$41,Intersections!$AK:$AK,"Pedestrian",Intersections!$S:$S,"&gt;=2019",Intersections!$S:$S,"&lt;=2021")+COUNTIFS(Intersections!$DI:$DI,$S47,Intersections!$W:$W,W$41,Intersections!$AK:$AK,"Bike",Intersections!$S:$S,"&gt;=2019",Intersections!$S:$S,"&lt;=2021")</f>
        <v>0</v>
      </c>
    </row>
    <row r="48" spans="2:23" x14ac:dyDescent="0.25">
      <c r="B48" s="45" t="s">
        <v>324</v>
      </c>
      <c r="C48" s="323">
        <f t="shared" si="4"/>
        <v>0.91629238335735141</v>
      </c>
      <c r="D48" s="45">
        <f t="shared" si="5"/>
        <v>0.7</v>
      </c>
      <c r="E48" s="45">
        <v>1</v>
      </c>
      <c r="F48" s="45">
        <v>0.68</v>
      </c>
      <c r="G48" s="45">
        <v>1</v>
      </c>
      <c r="H48" s="45">
        <v>1</v>
      </c>
      <c r="I48" s="45">
        <v>1</v>
      </c>
      <c r="J48" s="419">
        <f t="shared" si="6"/>
        <v>0.43615517447809932</v>
      </c>
      <c r="M48" s="30" t="s">
        <v>322</v>
      </c>
      <c r="N48">
        <f>_xlfn.XLOOKUP($M48,'Crash Costs'!$B$40:$B$57,'Crash Costs'!$J$40:$J$57)*'Crash Costs'!N11</f>
        <v>0</v>
      </c>
      <c r="O48">
        <f>_xlfn.XLOOKUP($M48,'Crash Costs'!$B$40:$B$57,'Crash Costs'!$J$40:$J$57)*'Crash Costs'!O11</f>
        <v>0.91629238335735141</v>
      </c>
      <c r="P48">
        <f>_xlfn.XLOOKUP($M48,'Crash Costs'!$B$40:$B$57,'Crash Costs'!$J$40:$J$57)*'Crash Costs'!P11</f>
        <v>1.8325847667147028</v>
      </c>
      <c r="Q48" s="31">
        <f>_xlfn.XLOOKUP($M48,'Crash Costs'!$B$40:$B$57,'Crash Costs'!$J$40:$J$57)*'Crash Costs'!Q11</f>
        <v>6.4140466835014598</v>
      </c>
      <c r="S48" s="30" t="s">
        <v>322</v>
      </c>
      <c r="T48">
        <f>COUNTIFS(Intersections!$DI:$DI,$S48,Intersections!$W:$W,T$41,Intersections!$AK:$AK,"Pedestrian",Intersections!$S:$S,"&gt;=2019",Intersections!$S:$S,"&lt;=2021")+COUNTIFS(Intersections!$DI:$DI,$S48,Intersections!$W:$W,T$41,Intersections!$AK:$AK,"Bike",Intersections!$S:$S,"&gt;=2019",Intersections!$S:$S,"&lt;=2021")</f>
        <v>0</v>
      </c>
      <c r="U48">
        <f>COUNTIFS(Intersections!$DI:$DI,$S48,Intersections!$W:$W,U$41,Intersections!$AK:$AK,"Pedestrian",Intersections!$S:$S,"&gt;=2019",Intersections!$S:$S,"&lt;=2021")+COUNTIFS(Intersections!$DI:$DI,$S48,Intersections!$W:$W,U$41,Intersections!$AK:$AK,"Bike",Intersections!$S:$S,"&gt;=2019",Intersections!$S:$S,"&lt;=2021")</f>
        <v>0</v>
      </c>
      <c r="V48">
        <f>COUNTIFS(Intersections!$DI:$DI,$S48,Intersections!$W:$W,V$41,Intersections!$AK:$AK,"Pedestrian",Intersections!$S:$S,"&gt;=2019",Intersections!$S:$S,"&lt;=2021")+COUNTIFS(Intersections!$DI:$DI,$S48,Intersections!$W:$W,V$41,Intersections!$AK:$AK,"Bike",Intersections!$S:$S,"&gt;=2019",Intersections!$S:$S,"&lt;=2021")</f>
        <v>0</v>
      </c>
      <c r="W48" s="31">
        <f>COUNTIFS(Intersections!$DI:$DI,$S48,Intersections!$W:$W,W$41,Intersections!$AK:$AK,"Pedestrian",Intersections!$S:$S,"&gt;=2019",Intersections!$S:$S,"&lt;=2021")+COUNTIFS(Intersections!$DI:$DI,$S48,Intersections!$W:$W,W$41,Intersections!$AK:$AK,"Bike",Intersections!$S:$S,"&gt;=2019",Intersections!$S:$S,"&lt;=2021")</f>
        <v>0</v>
      </c>
    </row>
    <row r="49" spans="2:23" x14ac:dyDescent="0.25">
      <c r="B49" s="45" t="s">
        <v>661</v>
      </c>
      <c r="C49" s="323">
        <f t="shared" si="4"/>
        <v>0.91629238335735141</v>
      </c>
      <c r="D49" s="45">
        <f t="shared" si="5"/>
        <v>0.7</v>
      </c>
      <c r="E49" s="45">
        <v>1</v>
      </c>
      <c r="F49" s="45">
        <v>0.68</v>
      </c>
      <c r="G49" s="45">
        <v>1</v>
      </c>
      <c r="H49" s="45">
        <v>1</v>
      </c>
      <c r="I49" s="45">
        <v>1</v>
      </c>
      <c r="J49" s="419">
        <f t="shared" si="6"/>
        <v>0.43615517447809932</v>
      </c>
      <c r="M49" s="30" t="s">
        <v>329</v>
      </c>
      <c r="N49">
        <f>_xlfn.XLOOKUP($M49,'Crash Costs'!$B$40:$B$57,'Crash Costs'!$J$40:$J$57)*'Crash Costs'!N12</f>
        <v>0</v>
      </c>
      <c r="O49">
        <f>_xlfn.XLOOKUP($M49,'Crash Costs'!$B$40:$B$57,'Crash Costs'!$J$40:$J$57)*'Crash Costs'!O12</f>
        <v>0</v>
      </c>
      <c r="P49">
        <f>_xlfn.XLOOKUP($M49,'Crash Costs'!$B$40:$B$57,'Crash Costs'!$J$40:$J$57)*'Crash Costs'!P12</f>
        <v>0.23988534596295463</v>
      </c>
      <c r="Q49" s="31">
        <f>_xlfn.XLOOKUP($M49,'Crash Costs'!$B$40:$B$57,'Crash Costs'!$J$40:$J$57)*'Crash Costs'!Q12</f>
        <v>0</v>
      </c>
      <c r="S49" s="30" t="s">
        <v>329</v>
      </c>
      <c r="T49">
        <f>COUNTIFS(Intersections!$DI:$DI,$S49,Intersections!$W:$W,T$41,Intersections!$AK:$AK,"Pedestrian",Intersections!$S:$S,"&gt;=2019",Intersections!$S:$S,"&lt;=2021")+COUNTIFS(Intersections!$DI:$DI,$S49,Intersections!$W:$W,T$41,Intersections!$AK:$AK,"Bike",Intersections!$S:$S,"&gt;=2019",Intersections!$S:$S,"&lt;=2021")</f>
        <v>0</v>
      </c>
      <c r="U49">
        <f>COUNTIFS(Intersections!$DI:$DI,$S49,Intersections!$W:$W,U$41,Intersections!$AK:$AK,"Pedestrian",Intersections!$S:$S,"&gt;=2019",Intersections!$S:$S,"&lt;=2021")+COUNTIFS(Intersections!$DI:$DI,$S49,Intersections!$W:$W,U$41,Intersections!$AK:$AK,"Bike",Intersections!$S:$S,"&gt;=2019",Intersections!$S:$S,"&lt;=2021")</f>
        <v>0</v>
      </c>
      <c r="V49">
        <f>COUNTIFS(Intersections!$DI:$DI,$S49,Intersections!$W:$W,V$41,Intersections!$AK:$AK,"Pedestrian",Intersections!$S:$S,"&gt;=2019",Intersections!$S:$S,"&lt;=2021")+COUNTIFS(Intersections!$DI:$DI,$S49,Intersections!$W:$W,V$41,Intersections!$AK:$AK,"Bike",Intersections!$S:$S,"&gt;=2019",Intersections!$S:$S,"&lt;=2021")</f>
        <v>0</v>
      </c>
      <c r="W49" s="31">
        <f>COUNTIFS(Intersections!$DI:$DI,$S49,Intersections!$W:$W,W$41,Intersections!$AK:$AK,"Pedestrian",Intersections!$S:$S,"&gt;=2019",Intersections!$S:$S,"&lt;=2021")+COUNTIFS(Intersections!$DI:$DI,$S49,Intersections!$W:$W,W$41,Intersections!$AK:$AK,"Bike",Intersections!$S:$S,"&gt;=2019",Intersections!$S:$S,"&lt;=2021")</f>
        <v>0</v>
      </c>
    </row>
    <row r="50" spans="2:23" x14ac:dyDescent="0.25">
      <c r="B50" s="45" t="s">
        <v>328</v>
      </c>
      <c r="C50" s="323">
        <f t="shared" si="4"/>
        <v>0.91629238335735141</v>
      </c>
      <c r="D50" s="45">
        <f t="shared" si="5"/>
        <v>0.7</v>
      </c>
      <c r="E50" s="45">
        <v>1</v>
      </c>
      <c r="F50" s="45">
        <v>0.68</v>
      </c>
      <c r="G50" s="45">
        <v>1</v>
      </c>
      <c r="H50" s="45">
        <v>1</v>
      </c>
      <c r="I50" s="45">
        <v>1</v>
      </c>
      <c r="J50" s="419">
        <f t="shared" si="6"/>
        <v>0.43615517447809932</v>
      </c>
      <c r="M50" s="30" t="s">
        <v>326</v>
      </c>
      <c r="N50">
        <f>_xlfn.XLOOKUP($M50,'Crash Costs'!$B$40:$B$57,'Crash Costs'!$J$40:$J$57)*'Crash Costs'!N13</f>
        <v>0</v>
      </c>
      <c r="O50">
        <f>_xlfn.XLOOKUP($M50,'Crash Costs'!$B$40:$B$57,'Crash Costs'!$J$40:$J$57)*'Crash Costs'!O13</f>
        <v>0</v>
      </c>
      <c r="P50">
        <f>_xlfn.XLOOKUP($M50,'Crash Costs'!$B$40:$B$57,'Crash Costs'!$J$40:$J$57)*'Crash Costs'!P13</f>
        <v>0.43615517447809932</v>
      </c>
      <c r="Q50" s="31">
        <f>_xlfn.XLOOKUP($M50,'Crash Costs'!$B$40:$B$57,'Crash Costs'!$J$40:$J$57)*'Crash Costs'!Q13</f>
        <v>2.1807758723904964</v>
      </c>
      <c r="S50" s="30" t="s">
        <v>326</v>
      </c>
      <c r="T50">
        <f>COUNTIFS(Intersections!$DI:$DI,$S50,Intersections!$W:$W,T$41,Intersections!$AK:$AK,"Pedestrian",Intersections!$S:$S,"&gt;=2019",Intersections!$S:$S,"&lt;=2021")+COUNTIFS(Intersections!$DI:$DI,$S50,Intersections!$W:$W,T$41,Intersections!$AK:$AK,"Bike",Intersections!$S:$S,"&gt;=2019",Intersections!$S:$S,"&lt;=2021")</f>
        <v>0</v>
      </c>
      <c r="U50">
        <f>COUNTIFS(Intersections!$DI:$DI,$S50,Intersections!$W:$W,U$41,Intersections!$AK:$AK,"Pedestrian",Intersections!$S:$S,"&gt;=2019",Intersections!$S:$S,"&lt;=2021")+COUNTIFS(Intersections!$DI:$DI,$S50,Intersections!$W:$W,U$41,Intersections!$AK:$AK,"Bike",Intersections!$S:$S,"&gt;=2019",Intersections!$S:$S,"&lt;=2021")</f>
        <v>0</v>
      </c>
      <c r="V50">
        <f>COUNTIFS(Intersections!$DI:$DI,$S50,Intersections!$W:$W,V$41,Intersections!$AK:$AK,"Pedestrian",Intersections!$S:$S,"&gt;=2019",Intersections!$S:$S,"&lt;=2021")+COUNTIFS(Intersections!$DI:$DI,$S50,Intersections!$W:$W,V$41,Intersections!$AK:$AK,"Bike",Intersections!$S:$S,"&gt;=2019",Intersections!$S:$S,"&lt;=2021")</f>
        <v>0</v>
      </c>
      <c r="W50" s="31">
        <f>COUNTIFS(Intersections!$DI:$DI,$S50,Intersections!$W:$W,W$41,Intersections!$AK:$AK,"Pedestrian",Intersections!$S:$S,"&gt;=2019",Intersections!$S:$S,"&lt;=2021")+COUNTIFS(Intersections!$DI:$DI,$S50,Intersections!$W:$W,W$41,Intersections!$AK:$AK,"Bike",Intersections!$S:$S,"&gt;=2019",Intersections!$S:$S,"&lt;=2021")</f>
        <v>0</v>
      </c>
    </row>
    <row r="51" spans="2:23" x14ac:dyDescent="0.25">
      <c r="B51" s="45" t="s">
        <v>329</v>
      </c>
      <c r="C51" s="323">
        <f t="shared" si="4"/>
        <v>0.91629238335735141</v>
      </c>
      <c r="D51" s="45">
        <f t="shared" si="5"/>
        <v>0.7</v>
      </c>
      <c r="E51" s="45">
        <v>0.55000000000000004</v>
      </c>
      <c r="F51" s="45">
        <v>0.68</v>
      </c>
      <c r="G51" s="45">
        <v>1</v>
      </c>
      <c r="H51" s="45">
        <v>1</v>
      </c>
      <c r="I51" s="45">
        <v>1</v>
      </c>
      <c r="J51" s="419">
        <f t="shared" si="6"/>
        <v>0.23988534596295463</v>
      </c>
      <c r="M51" s="30" t="s">
        <v>659</v>
      </c>
      <c r="N51">
        <f>_xlfn.XLOOKUP($M51,'Crash Costs'!$B$40:$B$57,'Crash Costs'!$J$40:$J$57)*'Crash Costs'!N14</f>
        <v>0</v>
      </c>
      <c r="O51">
        <f>_xlfn.XLOOKUP($M51,'Crash Costs'!$B$40:$B$57,'Crash Costs'!$J$40:$J$57)*'Crash Costs'!O14</f>
        <v>0</v>
      </c>
      <c r="P51">
        <f>_xlfn.XLOOKUP($M51,'Crash Costs'!$B$40:$B$57,'Crash Costs'!$J$40:$J$57)*'Crash Costs'!P14</f>
        <v>0</v>
      </c>
      <c r="Q51" s="31">
        <f>_xlfn.XLOOKUP($M51,'Crash Costs'!$B$40:$B$57,'Crash Costs'!$J$40:$J$57)*'Crash Costs'!Q14</f>
        <v>0</v>
      </c>
      <c r="S51" s="30" t="s">
        <v>659</v>
      </c>
      <c r="T51">
        <f>COUNTIFS(Intersections!$DI:$DI,$S51,Intersections!$W:$W,T$41,Intersections!$AK:$AK,"Pedestrian",Intersections!$S:$S,"&gt;=2019",Intersections!$S:$S,"&lt;=2021")+COUNTIFS(Intersections!$DI:$DI,$S51,Intersections!$W:$W,T$41,Intersections!$AK:$AK,"Bike",Intersections!$S:$S,"&gt;=2019",Intersections!$S:$S,"&lt;=2021")</f>
        <v>0</v>
      </c>
      <c r="U51">
        <f>COUNTIFS(Intersections!$DI:$DI,$S51,Intersections!$W:$W,U$41,Intersections!$AK:$AK,"Pedestrian",Intersections!$S:$S,"&gt;=2019",Intersections!$S:$S,"&lt;=2021")+COUNTIFS(Intersections!$DI:$DI,$S51,Intersections!$W:$W,U$41,Intersections!$AK:$AK,"Bike",Intersections!$S:$S,"&gt;=2019",Intersections!$S:$S,"&lt;=2021")</f>
        <v>0</v>
      </c>
      <c r="V51">
        <f>COUNTIFS(Intersections!$DI:$DI,$S51,Intersections!$W:$W,V$41,Intersections!$AK:$AK,"Pedestrian",Intersections!$S:$S,"&gt;=2019",Intersections!$S:$S,"&lt;=2021")+COUNTIFS(Intersections!$DI:$DI,$S51,Intersections!$W:$W,V$41,Intersections!$AK:$AK,"Bike",Intersections!$S:$S,"&gt;=2019",Intersections!$S:$S,"&lt;=2021")</f>
        <v>0</v>
      </c>
      <c r="W51" s="31">
        <f>COUNTIFS(Intersections!$DI:$DI,$S51,Intersections!$W:$W,W$41,Intersections!$AK:$AK,"Pedestrian",Intersections!$S:$S,"&gt;=2019",Intersections!$S:$S,"&lt;=2021")+COUNTIFS(Intersections!$DI:$DI,$S51,Intersections!$W:$W,W$41,Intersections!$AK:$AK,"Bike",Intersections!$S:$S,"&gt;=2019",Intersections!$S:$S,"&lt;=2021")</f>
        <v>0</v>
      </c>
    </row>
    <row r="52" spans="2:23" x14ac:dyDescent="0.25">
      <c r="B52" s="45" t="s">
        <v>322</v>
      </c>
      <c r="C52" s="323">
        <f t="shared" si="4"/>
        <v>0.91629238335735141</v>
      </c>
      <c r="D52" s="45">
        <v>1</v>
      </c>
      <c r="E52" s="45">
        <v>1</v>
      </c>
      <c r="F52" s="45">
        <v>1</v>
      </c>
      <c r="G52" s="45">
        <v>1</v>
      </c>
      <c r="H52" s="45">
        <v>1</v>
      </c>
      <c r="I52" s="45">
        <v>1</v>
      </c>
      <c r="J52" s="419">
        <f t="shared" si="6"/>
        <v>0.91629238335735141</v>
      </c>
      <c r="M52" s="30" t="s">
        <v>660</v>
      </c>
      <c r="N52">
        <f>_xlfn.XLOOKUP($M52,'Crash Costs'!$B$40:$B$57,'Crash Costs'!$J$40:$J$57)*'Crash Costs'!N15</f>
        <v>0</v>
      </c>
      <c r="O52">
        <f>_xlfn.XLOOKUP($M52,'Crash Costs'!$B$40:$B$57,'Crash Costs'!$J$40:$J$57)*'Crash Costs'!O15</f>
        <v>0</v>
      </c>
      <c r="P52">
        <f>_xlfn.XLOOKUP($M52,'Crash Costs'!$B$40:$B$57,'Crash Costs'!$J$40:$J$57)*'Crash Costs'!P15</f>
        <v>0</v>
      </c>
      <c r="Q52" s="31">
        <f>_xlfn.XLOOKUP($M52,'Crash Costs'!$B$40:$B$57,'Crash Costs'!$J$40:$J$57)*'Crash Costs'!Q15</f>
        <v>0</v>
      </c>
      <c r="S52" s="30" t="s">
        <v>660</v>
      </c>
      <c r="T52">
        <f>COUNTIFS(Intersections!$DI:$DI,$S52,Intersections!$W:$W,T$41,Intersections!$AK:$AK,"Pedestrian",Intersections!$S:$S,"&gt;=2019",Intersections!$S:$S,"&lt;=2021")+COUNTIFS(Intersections!$DI:$DI,$S52,Intersections!$W:$W,T$41,Intersections!$AK:$AK,"Bike",Intersections!$S:$S,"&gt;=2019",Intersections!$S:$S,"&lt;=2021")</f>
        <v>0</v>
      </c>
      <c r="U52">
        <f>COUNTIFS(Intersections!$DI:$DI,$S52,Intersections!$W:$W,U$41,Intersections!$AK:$AK,"Pedestrian",Intersections!$S:$S,"&gt;=2019",Intersections!$S:$S,"&lt;=2021")+COUNTIFS(Intersections!$DI:$DI,$S52,Intersections!$W:$W,U$41,Intersections!$AK:$AK,"Bike",Intersections!$S:$S,"&gt;=2019",Intersections!$S:$S,"&lt;=2021")</f>
        <v>0</v>
      </c>
      <c r="V52">
        <f>COUNTIFS(Intersections!$DI:$DI,$S52,Intersections!$W:$W,V$41,Intersections!$AK:$AK,"Pedestrian",Intersections!$S:$S,"&gt;=2019",Intersections!$S:$S,"&lt;=2021")+COUNTIFS(Intersections!$DI:$DI,$S52,Intersections!$W:$W,V$41,Intersections!$AK:$AK,"Bike",Intersections!$S:$S,"&gt;=2019",Intersections!$S:$S,"&lt;=2021")</f>
        <v>0</v>
      </c>
      <c r="W52" s="31">
        <f>COUNTIFS(Intersections!$DI:$DI,$S52,Intersections!$W:$W,W$41,Intersections!$AK:$AK,"Pedestrian",Intersections!$S:$S,"&gt;=2019",Intersections!$S:$S,"&lt;=2021")+COUNTIFS(Intersections!$DI:$DI,$S52,Intersections!$W:$W,W$41,Intersections!$AK:$AK,"Bike",Intersections!$S:$S,"&gt;=2019",Intersections!$S:$S,"&lt;=2021")</f>
        <v>0</v>
      </c>
    </row>
    <row r="53" spans="2:23" x14ac:dyDescent="0.25">
      <c r="B53" s="45" t="s">
        <v>332</v>
      </c>
      <c r="C53" s="323">
        <f t="shared" si="4"/>
        <v>0.91629238335735141</v>
      </c>
      <c r="D53" s="45">
        <f t="shared" si="5"/>
        <v>0.7</v>
      </c>
      <c r="E53" s="45">
        <v>1</v>
      </c>
      <c r="F53" s="45">
        <v>0.68</v>
      </c>
      <c r="G53" s="45">
        <v>1</v>
      </c>
      <c r="H53" s="45">
        <v>1</v>
      </c>
      <c r="I53" s="45">
        <v>1</v>
      </c>
      <c r="J53" s="419">
        <f t="shared" si="6"/>
        <v>0.43615517447809932</v>
      </c>
      <c r="M53" s="30" t="s">
        <v>331</v>
      </c>
      <c r="N53">
        <f>_xlfn.XLOOKUP($M53,'Crash Costs'!$B$40:$B$57,'Crash Costs'!$J$40:$J$57)*'Crash Costs'!N16</f>
        <v>0</v>
      </c>
      <c r="O53">
        <f>_xlfn.XLOOKUP($M53,'Crash Costs'!$B$40:$B$57,'Crash Costs'!$J$40:$J$57)*'Crash Costs'!O16</f>
        <v>0</v>
      </c>
      <c r="P53">
        <f>_xlfn.XLOOKUP($M53,'Crash Costs'!$B$40:$B$57,'Crash Costs'!$J$40:$J$57)*'Crash Costs'!P16</f>
        <v>7.7068619330280141E-2</v>
      </c>
      <c r="Q53" s="31">
        <f>_xlfn.XLOOKUP($M53,'Crash Costs'!$B$40:$B$57,'Crash Costs'!$J$40:$J$57)*'Crash Costs'!Q16</f>
        <v>0</v>
      </c>
      <c r="S53" s="30" t="s">
        <v>331</v>
      </c>
      <c r="T53">
        <f>COUNTIFS(Intersections!$DI:$DI,$S53,Intersections!$W:$W,T$41,Intersections!$AK:$AK,"Pedestrian",Intersections!$S:$S,"&gt;=2019",Intersections!$S:$S,"&lt;=2021")+COUNTIFS(Intersections!$DI:$DI,$S53,Intersections!$W:$W,T$41,Intersections!$AK:$AK,"Bike",Intersections!$S:$S,"&gt;=2019",Intersections!$S:$S,"&lt;=2021")</f>
        <v>0</v>
      </c>
      <c r="U53">
        <f>COUNTIFS(Intersections!$DI:$DI,$S53,Intersections!$W:$W,U$41,Intersections!$AK:$AK,"Pedestrian",Intersections!$S:$S,"&gt;=2019",Intersections!$S:$S,"&lt;=2021")+COUNTIFS(Intersections!$DI:$DI,$S53,Intersections!$W:$W,U$41,Intersections!$AK:$AK,"Bike",Intersections!$S:$S,"&gt;=2019",Intersections!$S:$S,"&lt;=2021")</f>
        <v>0</v>
      </c>
      <c r="V53">
        <f>COUNTIFS(Intersections!$DI:$DI,$S53,Intersections!$W:$W,V$41,Intersections!$AK:$AK,"Pedestrian",Intersections!$S:$S,"&gt;=2019",Intersections!$S:$S,"&lt;=2021")+COUNTIFS(Intersections!$DI:$DI,$S53,Intersections!$W:$W,V$41,Intersections!$AK:$AK,"Bike",Intersections!$S:$S,"&gt;=2019",Intersections!$S:$S,"&lt;=2021")</f>
        <v>0</v>
      </c>
      <c r="W53" s="31">
        <f>COUNTIFS(Intersections!$DI:$DI,$S53,Intersections!$W:$W,W$41,Intersections!$AK:$AK,"Pedestrian",Intersections!$S:$S,"&gt;=2019",Intersections!$S:$S,"&lt;=2021")+COUNTIFS(Intersections!$DI:$DI,$S53,Intersections!$W:$W,W$41,Intersections!$AK:$AK,"Bike",Intersections!$S:$S,"&gt;=2019",Intersections!$S:$S,"&lt;=2021")</f>
        <v>0</v>
      </c>
    </row>
    <row r="54" spans="2:23" x14ac:dyDescent="0.25">
      <c r="B54" s="45" t="s">
        <v>333</v>
      </c>
      <c r="C54" s="323">
        <f t="shared" si="4"/>
        <v>0.91629238335735141</v>
      </c>
      <c r="D54" s="45">
        <f t="shared" si="5"/>
        <v>0.7</v>
      </c>
      <c r="E54" s="45">
        <v>1</v>
      </c>
      <c r="F54" s="45">
        <v>0.68</v>
      </c>
      <c r="G54" s="45">
        <v>1</v>
      </c>
      <c r="H54" s="45">
        <v>1</v>
      </c>
      <c r="I54" s="45">
        <v>1</v>
      </c>
      <c r="J54" s="419">
        <f t="shared" si="6"/>
        <v>0.43615517447809932</v>
      </c>
      <c r="M54" s="30" t="s">
        <v>324</v>
      </c>
      <c r="N54">
        <f>_xlfn.XLOOKUP($M54,'Crash Costs'!$B$40:$B$57,'Crash Costs'!$J$40:$J$57)*'Crash Costs'!N17</f>
        <v>0</v>
      </c>
      <c r="O54">
        <f>_xlfn.XLOOKUP($M54,'Crash Costs'!$B$40:$B$57,'Crash Costs'!$J$40:$J$57)*'Crash Costs'!O17</f>
        <v>0</v>
      </c>
      <c r="P54">
        <f>_xlfn.XLOOKUP($M54,'Crash Costs'!$B$40:$B$57,'Crash Costs'!$J$40:$J$57)*'Crash Costs'!P17</f>
        <v>0</v>
      </c>
      <c r="Q54" s="31">
        <f>_xlfn.XLOOKUP($M54,'Crash Costs'!$B$40:$B$57,'Crash Costs'!$J$40:$J$57)*'Crash Costs'!Q17</f>
        <v>0.43615517447809932</v>
      </c>
      <c r="S54" s="30" t="s">
        <v>324</v>
      </c>
      <c r="T54">
        <f>COUNTIFS(Intersections!$DI:$DI,$S54,Intersections!$W:$W,T$41,Intersections!$AK:$AK,"Pedestrian",Intersections!$S:$S,"&gt;=2019",Intersections!$S:$S,"&lt;=2021")+COUNTIFS(Intersections!$DI:$DI,$S54,Intersections!$W:$W,T$41,Intersections!$AK:$AK,"Bike",Intersections!$S:$S,"&gt;=2019",Intersections!$S:$S,"&lt;=2021")</f>
        <v>0</v>
      </c>
      <c r="U54">
        <f>COUNTIFS(Intersections!$DI:$DI,$S54,Intersections!$W:$W,U$41,Intersections!$AK:$AK,"Pedestrian",Intersections!$S:$S,"&gt;=2019",Intersections!$S:$S,"&lt;=2021")+COUNTIFS(Intersections!$DI:$DI,$S54,Intersections!$W:$W,U$41,Intersections!$AK:$AK,"Bike",Intersections!$S:$S,"&gt;=2019",Intersections!$S:$S,"&lt;=2021")</f>
        <v>0</v>
      </c>
      <c r="V54">
        <f>COUNTIFS(Intersections!$DI:$DI,$S54,Intersections!$W:$W,V$41,Intersections!$AK:$AK,"Pedestrian",Intersections!$S:$S,"&gt;=2019",Intersections!$S:$S,"&lt;=2021")+COUNTIFS(Intersections!$DI:$DI,$S54,Intersections!$W:$W,V$41,Intersections!$AK:$AK,"Bike",Intersections!$S:$S,"&gt;=2019",Intersections!$S:$S,"&lt;=2021")</f>
        <v>0</v>
      </c>
      <c r="W54" s="31">
        <f>COUNTIFS(Intersections!$DI:$DI,$S54,Intersections!$W:$W,W$41,Intersections!$AK:$AK,"Pedestrian",Intersections!$S:$S,"&gt;=2019",Intersections!$S:$S,"&lt;=2021")+COUNTIFS(Intersections!$DI:$DI,$S54,Intersections!$W:$W,W$41,Intersections!$AK:$AK,"Bike",Intersections!$S:$S,"&gt;=2019",Intersections!$S:$S,"&lt;=2021")</f>
        <v>0</v>
      </c>
    </row>
    <row r="55" spans="2:23" x14ac:dyDescent="0.25">
      <c r="B55" s="45" t="s">
        <v>330</v>
      </c>
      <c r="C55" s="323">
        <f t="shared" si="4"/>
        <v>0.91629238335735141</v>
      </c>
      <c r="D55" s="45">
        <f t="shared" si="5"/>
        <v>0.7</v>
      </c>
      <c r="E55" s="45">
        <v>1</v>
      </c>
      <c r="F55" s="45">
        <v>0.68</v>
      </c>
      <c r="G55" s="45">
        <f>J28</f>
        <v>0.31</v>
      </c>
      <c r="H55" s="45">
        <f>J29</f>
        <v>0.14000000000000001</v>
      </c>
      <c r="I55" s="45">
        <v>1</v>
      </c>
      <c r="J55" s="419">
        <f t="shared" si="6"/>
        <v>1.8929134572349512E-2</v>
      </c>
      <c r="M55" s="30" t="s">
        <v>661</v>
      </c>
      <c r="N55">
        <f>_xlfn.XLOOKUP($M55,'Crash Costs'!$B$40:$B$57,'Crash Costs'!$J$40:$J$57)*'Crash Costs'!N18</f>
        <v>0</v>
      </c>
      <c r="O55">
        <f>_xlfn.XLOOKUP($M55,'Crash Costs'!$B$40:$B$57,'Crash Costs'!$J$40:$J$57)*'Crash Costs'!O18</f>
        <v>0</v>
      </c>
      <c r="P55">
        <f>_xlfn.XLOOKUP($M55,'Crash Costs'!$B$40:$B$57,'Crash Costs'!$J$40:$J$57)*'Crash Costs'!P18</f>
        <v>0</v>
      </c>
      <c r="Q55" s="31">
        <f>_xlfn.XLOOKUP($M55,'Crash Costs'!$B$40:$B$57,'Crash Costs'!$J$40:$J$57)*'Crash Costs'!Q18</f>
        <v>0</v>
      </c>
      <c r="S55" s="30" t="s">
        <v>661</v>
      </c>
      <c r="T55">
        <f>COUNTIFS(Intersections!$DI:$DI,$S55,Intersections!$W:$W,T$41,Intersections!$AK:$AK,"Pedestrian",Intersections!$S:$S,"&gt;=2019",Intersections!$S:$S,"&lt;=2021")+COUNTIFS(Intersections!$DI:$DI,$S55,Intersections!$W:$W,T$41,Intersections!$AK:$AK,"Bike",Intersections!$S:$S,"&gt;=2019",Intersections!$S:$S,"&lt;=2021")</f>
        <v>0</v>
      </c>
      <c r="U55">
        <f>COUNTIFS(Intersections!$DI:$DI,$S55,Intersections!$W:$W,U$41,Intersections!$AK:$AK,"Pedestrian",Intersections!$S:$S,"&gt;=2019",Intersections!$S:$S,"&lt;=2021")+COUNTIFS(Intersections!$DI:$DI,$S55,Intersections!$W:$W,U$41,Intersections!$AK:$AK,"Bike",Intersections!$S:$S,"&gt;=2019",Intersections!$S:$S,"&lt;=2021")</f>
        <v>0</v>
      </c>
      <c r="V55">
        <f>COUNTIFS(Intersections!$DI:$DI,$S55,Intersections!$W:$W,V$41,Intersections!$AK:$AK,"Pedestrian",Intersections!$S:$S,"&gt;=2019",Intersections!$S:$S,"&lt;=2021")+COUNTIFS(Intersections!$DI:$DI,$S55,Intersections!$W:$W,V$41,Intersections!$AK:$AK,"Bike",Intersections!$S:$S,"&gt;=2019",Intersections!$S:$S,"&lt;=2021")</f>
        <v>0</v>
      </c>
      <c r="W55" s="31">
        <f>COUNTIFS(Intersections!$DI:$DI,$S55,Intersections!$W:$W,W$41,Intersections!$AK:$AK,"Pedestrian",Intersections!$S:$S,"&gt;=2019",Intersections!$S:$S,"&lt;=2021")+COUNTIFS(Intersections!$DI:$DI,$S55,Intersections!$W:$W,W$41,Intersections!$AK:$AK,"Bike",Intersections!$S:$S,"&gt;=2019",Intersections!$S:$S,"&lt;=2021")</f>
        <v>0</v>
      </c>
    </row>
    <row r="56" spans="2:23" x14ac:dyDescent="0.25">
      <c r="B56" s="45" t="s">
        <v>658</v>
      </c>
      <c r="C56" s="323">
        <f t="shared" si="4"/>
        <v>0.91629238335735141</v>
      </c>
      <c r="D56" s="45">
        <f t="shared" si="5"/>
        <v>0.7</v>
      </c>
      <c r="E56" s="45">
        <v>1</v>
      </c>
      <c r="F56" s="45">
        <v>0.68</v>
      </c>
      <c r="G56" s="45">
        <v>1</v>
      </c>
      <c r="H56" s="45">
        <v>1</v>
      </c>
      <c r="I56" s="45">
        <f>J30</f>
        <v>0.495</v>
      </c>
      <c r="J56" s="419">
        <f t="shared" si="6"/>
        <v>0.21589681136665917</v>
      </c>
      <c r="M56" s="30" t="s">
        <v>334</v>
      </c>
      <c r="N56">
        <f>_xlfn.XLOOKUP($M56,'Crash Costs'!$B$40:$B$57,'Crash Costs'!$J$40:$J$57)*'Crash Costs'!N19</f>
        <v>0</v>
      </c>
      <c r="O56">
        <f>_xlfn.XLOOKUP($M56,'Crash Costs'!$B$40:$B$57,'Crash Costs'!$J$40:$J$57)*'Crash Costs'!O19</f>
        <v>0.43615517447809932</v>
      </c>
      <c r="P56">
        <f>_xlfn.XLOOKUP($M56,'Crash Costs'!$B$40:$B$57,'Crash Costs'!$J$40:$J$57)*'Crash Costs'!P19</f>
        <v>0</v>
      </c>
      <c r="Q56" s="31">
        <f>_xlfn.XLOOKUP($M56,'Crash Costs'!$B$40:$B$57,'Crash Costs'!$J$40:$J$57)*'Crash Costs'!Q19</f>
        <v>0.43615517447809932</v>
      </c>
      <c r="S56" s="30" t="s">
        <v>334</v>
      </c>
      <c r="T56">
        <f>COUNTIFS(Intersections!$DI:$DI,$S56,Intersections!$W:$W,T$41,Intersections!$AK:$AK,"Pedestrian",Intersections!$S:$S,"&gt;=2019",Intersections!$S:$S,"&lt;=2021")+COUNTIFS(Intersections!$DI:$DI,$S56,Intersections!$W:$W,T$41,Intersections!$AK:$AK,"Bike",Intersections!$S:$S,"&gt;=2019",Intersections!$S:$S,"&lt;=2021")</f>
        <v>0</v>
      </c>
      <c r="U56">
        <f>COUNTIFS(Intersections!$DI:$DI,$S56,Intersections!$W:$W,U$41,Intersections!$AK:$AK,"Pedestrian",Intersections!$S:$S,"&gt;=2019",Intersections!$S:$S,"&lt;=2021")+COUNTIFS(Intersections!$DI:$DI,$S56,Intersections!$W:$W,U$41,Intersections!$AK:$AK,"Bike",Intersections!$S:$S,"&gt;=2019",Intersections!$S:$S,"&lt;=2021")</f>
        <v>1</v>
      </c>
      <c r="V56">
        <f>COUNTIFS(Intersections!$DI:$DI,$S56,Intersections!$W:$W,V$41,Intersections!$AK:$AK,"Pedestrian",Intersections!$S:$S,"&gt;=2019",Intersections!$S:$S,"&lt;=2021")+COUNTIFS(Intersections!$DI:$DI,$S56,Intersections!$W:$W,V$41,Intersections!$AK:$AK,"Bike",Intersections!$S:$S,"&gt;=2019",Intersections!$S:$S,"&lt;=2021")</f>
        <v>0</v>
      </c>
      <c r="W56" s="31">
        <f>COUNTIFS(Intersections!$DI:$DI,$S56,Intersections!$W:$W,W$41,Intersections!$AK:$AK,"Pedestrian",Intersections!$S:$S,"&gt;=2019",Intersections!$S:$S,"&lt;=2021")+COUNTIFS(Intersections!$DI:$DI,$S56,Intersections!$W:$W,W$41,Intersections!$AK:$AK,"Bike",Intersections!$S:$S,"&gt;=2019",Intersections!$S:$S,"&lt;=2021")</f>
        <v>0</v>
      </c>
    </row>
    <row r="57" spans="2:23" x14ac:dyDescent="0.25">
      <c r="B57" s="45" t="s">
        <v>327</v>
      </c>
      <c r="C57" s="323">
        <f t="shared" si="4"/>
        <v>0.91629238335735141</v>
      </c>
      <c r="D57" s="45">
        <f t="shared" si="5"/>
        <v>0.7</v>
      </c>
      <c r="E57" s="45">
        <v>1</v>
      </c>
      <c r="F57" s="45">
        <v>0.68</v>
      </c>
      <c r="G57" s="45">
        <v>1</v>
      </c>
      <c r="H57" s="45">
        <v>1</v>
      </c>
      <c r="I57" s="45">
        <v>1</v>
      </c>
      <c r="J57" s="419">
        <f t="shared" si="6"/>
        <v>0.43615517447809932</v>
      </c>
      <c r="M57" s="30" t="s">
        <v>330</v>
      </c>
      <c r="N57">
        <f>_xlfn.XLOOKUP($M57,'Crash Costs'!$B$40:$B$57,'Crash Costs'!$J$40:$J$57)*'Crash Costs'!N20</f>
        <v>0</v>
      </c>
      <c r="O57">
        <f>_xlfn.XLOOKUP($M57,'Crash Costs'!$B$40:$B$57,'Crash Costs'!$J$40:$J$57)*'Crash Costs'!O20</f>
        <v>0</v>
      </c>
      <c r="P57">
        <f>_xlfn.XLOOKUP($M57,'Crash Costs'!$B$40:$B$57,'Crash Costs'!$J$40:$J$57)*'Crash Costs'!P20</f>
        <v>0</v>
      </c>
      <c r="Q57" s="31">
        <f>_xlfn.XLOOKUP($M57,'Crash Costs'!$B$40:$B$57,'Crash Costs'!$J$40:$J$57)*'Crash Costs'!Q20</f>
        <v>0</v>
      </c>
      <c r="S57" s="30" t="s">
        <v>330</v>
      </c>
      <c r="T57">
        <f>COUNTIFS(Intersections!$DI:$DI,$S57,Intersections!$W:$W,T$41,Intersections!$AK:$AK,"Pedestrian",Intersections!$S:$S,"&gt;=2019",Intersections!$S:$S,"&lt;=2021")+COUNTIFS(Intersections!$DI:$DI,$S57,Intersections!$W:$W,T$41,Intersections!$AK:$AK,"Bike",Intersections!$S:$S,"&gt;=2019",Intersections!$S:$S,"&lt;=2021")</f>
        <v>0</v>
      </c>
      <c r="U57">
        <f>COUNTIFS(Intersections!$DI:$DI,$S57,Intersections!$W:$W,U$41,Intersections!$AK:$AK,"Pedestrian",Intersections!$S:$S,"&gt;=2019",Intersections!$S:$S,"&lt;=2021")+COUNTIFS(Intersections!$DI:$DI,$S57,Intersections!$W:$W,U$41,Intersections!$AK:$AK,"Bike",Intersections!$S:$S,"&gt;=2019",Intersections!$S:$S,"&lt;=2021")</f>
        <v>0</v>
      </c>
      <c r="V57">
        <f>COUNTIFS(Intersections!$DI:$DI,$S57,Intersections!$W:$W,V$41,Intersections!$AK:$AK,"Pedestrian",Intersections!$S:$S,"&gt;=2019",Intersections!$S:$S,"&lt;=2021")+COUNTIFS(Intersections!$DI:$DI,$S57,Intersections!$W:$W,V$41,Intersections!$AK:$AK,"Bike",Intersections!$S:$S,"&gt;=2019",Intersections!$S:$S,"&lt;=2021")</f>
        <v>0</v>
      </c>
      <c r="W57" s="31">
        <f>COUNTIFS(Intersections!$DI:$DI,$S57,Intersections!$W:$W,W$41,Intersections!$AK:$AK,"Pedestrian",Intersections!$S:$S,"&gt;=2019",Intersections!$S:$S,"&lt;=2021")+COUNTIFS(Intersections!$DI:$DI,$S57,Intersections!$W:$W,W$41,Intersections!$AK:$AK,"Bike",Intersections!$S:$S,"&gt;=2019",Intersections!$S:$S,"&lt;=2021")</f>
        <v>0</v>
      </c>
    </row>
    <row r="58" spans="2:23" ht="15.75" thickBot="1" x14ac:dyDescent="0.3">
      <c r="M58" s="32" t="s">
        <v>325</v>
      </c>
      <c r="N58" s="306">
        <f>_xlfn.XLOOKUP($M58,'Crash Costs'!$B$40:$B$57,'Crash Costs'!$J$40:$J$57)*'Crash Costs'!N21</f>
        <v>0</v>
      </c>
      <c r="O58" s="306">
        <f>_xlfn.XLOOKUP($M58,'Crash Costs'!$B$40:$B$57,'Crash Costs'!$J$40:$J$57)*'Crash Costs'!O21</f>
        <v>0</v>
      </c>
      <c r="P58" s="306">
        <f>_xlfn.XLOOKUP($M58,'Crash Costs'!$B$40:$B$57,'Crash Costs'!$J$40:$J$57)*'Crash Costs'!P21</f>
        <v>0</v>
      </c>
      <c r="Q58" s="33">
        <f>_xlfn.XLOOKUP($M58,'Crash Costs'!$B$40:$B$57,'Crash Costs'!$J$40:$J$57)*'Crash Costs'!Q21</f>
        <v>0</v>
      </c>
      <c r="S58" s="32" t="s">
        <v>325</v>
      </c>
      <c r="T58" s="306">
        <f>COUNTIFS(Intersections!$DI:$DI,$S58,Intersections!$W:$W,T$41,Intersections!$AK:$AK,"Pedestrian",Intersections!$S:$S,"&gt;=2019",Intersections!$S:$S,"&lt;=2021")+COUNTIFS(Intersections!$DI:$DI,$S58,Intersections!$W:$W,T$41,Intersections!$AK:$AK,"Bike",Intersections!$S:$S,"&gt;=2019",Intersections!$S:$S,"&lt;=2021")</f>
        <v>0</v>
      </c>
      <c r="U58" s="306">
        <f>COUNTIFS(Intersections!$DI:$DI,$S58,Intersections!$W:$W,U$41,Intersections!$AK:$AK,"Pedestrian",Intersections!$S:$S,"&gt;=2019",Intersections!$S:$S,"&lt;=2021")+COUNTIFS(Intersections!$DI:$DI,$S58,Intersections!$W:$W,U$41,Intersections!$AK:$AK,"Bike",Intersections!$S:$S,"&gt;=2019",Intersections!$S:$S,"&lt;=2021")</f>
        <v>0</v>
      </c>
      <c r="V58" s="306">
        <f>COUNTIFS(Intersections!$DI:$DI,$S58,Intersections!$W:$W,V$41,Intersections!$AK:$AK,"Pedestrian",Intersections!$S:$S,"&gt;=2019",Intersections!$S:$S,"&lt;=2021")+COUNTIFS(Intersections!$DI:$DI,$S58,Intersections!$W:$W,V$41,Intersections!$AK:$AK,"Bike",Intersections!$S:$S,"&gt;=2019",Intersections!$S:$S,"&lt;=2021")</f>
        <v>0</v>
      </c>
      <c r="W58" s="33">
        <f>COUNTIFS(Intersections!$DI:$DI,$S58,Intersections!$W:$W,W$41,Intersections!$AK:$AK,"Pedestrian",Intersections!$S:$S,"&gt;=2019",Intersections!$S:$S,"&lt;=2021")+COUNTIFS(Intersections!$DI:$DI,$S58,Intersections!$W:$W,W$41,Intersections!$AK:$AK,"Bike",Intersections!$S:$S,"&gt;=2019",Intersections!$S:$S,"&lt;=2021")</f>
        <v>0</v>
      </c>
    </row>
    <row r="59" spans="2:23" ht="15.75" thickBot="1" x14ac:dyDescent="0.3">
      <c r="B59" s="45" t="s">
        <v>1150</v>
      </c>
      <c r="C59" s="45"/>
      <c r="D59" s="45" t="s">
        <v>1160</v>
      </c>
      <c r="E59" s="45" t="s">
        <v>400</v>
      </c>
      <c r="F59" s="45" t="s">
        <v>31</v>
      </c>
      <c r="N59">
        <f>SUM(N42:N58)</f>
        <v>0.43615517447809932</v>
      </c>
      <c r="O59">
        <f>SUM(O42:O58)</f>
        <v>1.78860273231355</v>
      </c>
      <c r="P59">
        <f>SUM(P42:P58)</f>
        <v>4.7664697788765329</v>
      </c>
      <c r="Q59">
        <f>SUM(Q42:Q58)</f>
        <v>18.622030017143459</v>
      </c>
    </row>
    <row r="60" spans="2:23" ht="15.75" thickBot="1" x14ac:dyDescent="0.3">
      <c r="B60" s="45" t="s">
        <v>1158</v>
      </c>
      <c r="C60" s="45">
        <v>1</v>
      </c>
      <c r="D60" s="45">
        <v>1</v>
      </c>
      <c r="E60" s="45">
        <v>1</v>
      </c>
      <c r="F60" s="323">
        <f>D60*E60*C60</f>
        <v>1</v>
      </c>
      <c r="M60" s="531" t="s">
        <v>1159</v>
      </c>
      <c r="N60" s="531"/>
      <c r="O60" s="531"/>
      <c r="P60" s="531"/>
      <c r="Q60" s="531"/>
      <c r="S60" s="28"/>
      <c r="T60" s="300" t="s">
        <v>317</v>
      </c>
      <c r="U60" s="300" t="s">
        <v>318</v>
      </c>
      <c r="V60" s="300" t="s">
        <v>319</v>
      </c>
      <c r="W60" s="29" t="s">
        <v>320</v>
      </c>
    </row>
    <row r="61" spans="2:23" x14ac:dyDescent="0.25">
      <c r="B61" s="45" t="s">
        <v>1157</v>
      </c>
      <c r="C61" s="45">
        <f t="shared" ref="C61:C72" si="7">$K$21</f>
        <v>0.91629238335735141</v>
      </c>
      <c r="D61" s="45">
        <v>0.68</v>
      </c>
      <c r="E61" s="45">
        <v>1</v>
      </c>
      <c r="F61" s="323">
        <f t="shared" ref="F61:F72" si="8">D61*E61*C61</f>
        <v>0.62307882068299902</v>
      </c>
      <c r="M61" s="28" t="s">
        <v>1158</v>
      </c>
      <c r="N61" s="300">
        <f t="shared" ref="N61:N74" si="9">N24*$F60</f>
        <v>0</v>
      </c>
      <c r="O61" s="300">
        <f t="shared" ref="O61:O74" si="10">O24*$F60</f>
        <v>0</v>
      </c>
      <c r="P61" s="300">
        <f t="shared" ref="P61:P74" si="11">P24*$F60</f>
        <v>0</v>
      </c>
      <c r="Q61" s="29">
        <f t="shared" ref="Q61:Q74" si="12">Q24*$F60</f>
        <v>0</v>
      </c>
      <c r="S61" s="30" t="s">
        <v>1158</v>
      </c>
      <c r="T61">
        <v>0</v>
      </c>
      <c r="U61">
        <v>0</v>
      </c>
      <c r="V61">
        <v>0</v>
      </c>
      <c r="W61" s="31">
        <v>0</v>
      </c>
    </row>
    <row r="62" spans="2:23" x14ac:dyDescent="0.25">
      <c r="B62" s="45" t="s">
        <v>1156</v>
      </c>
      <c r="C62" s="45">
        <f t="shared" si="7"/>
        <v>0.91629238335735141</v>
      </c>
      <c r="D62" s="45">
        <v>0.68</v>
      </c>
      <c r="E62" s="45">
        <v>1</v>
      </c>
      <c r="F62" s="323">
        <f t="shared" si="8"/>
        <v>0.62307882068299902</v>
      </c>
      <c r="M62" s="30" t="s">
        <v>1157</v>
      </c>
      <c r="N62">
        <f t="shared" si="9"/>
        <v>0</v>
      </c>
      <c r="O62">
        <f t="shared" si="10"/>
        <v>0</v>
      </c>
      <c r="P62">
        <f t="shared" si="11"/>
        <v>0</v>
      </c>
      <c r="Q62" s="31">
        <f t="shared" si="12"/>
        <v>0</v>
      </c>
      <c r="S62" s="30" t="s">
        <v>1157</v>
      </c>
      <c r="T62">
        <v>0</v>
      </c>
      <c r="U62">
        <v>0</v>
      </c>
      <c r="V62">
        <v>0</v>
      </c>
      <c r="W62" s="31">
        <v>0</v>
      </c>
    </row>
    <row r="63" spans="2:23" x14ac:dyDescent="0.25">
      <c r="B63" s="45" t="s">
        <v>1149</v>
      </c>
      <c r="C63" s="45">
        <f t="shared" si="7"/>
        <v>0.91629238335735141</v>
      </c>
      <c r="D63" s="45">
        <v>0.68</v>
      </c>
      <c r="E63" s="45">
        <v>1</v>
      </c>
      <c r="F63" s="323">
        <f t="shared" si="8"/>
        <v>0.62307882068299902</v>
      </c>
      <c r="M63" s="30" t="s">
        <v>1156</v>
      </c>
      <c r="N63">
        <f t="shared" si="9"/>
        <v>0</v>
      </c>
      <c r="O63">
        <f t="shared" si="10"/>
        <v>0</v>
      </c>
      <c r="P63">
        <f t="shared" si="11"/>
        <v>0</v>
      </c>
      <c r="Q63" s="31">
        <f t="shared" si="12"/>
        <v>0</v>
      </c>
      <c r="S63" s="30" t="s">
        <v>1156</v>
      </c>
      <c r="T63">
        <v>0</v>
      </c>
      <c r="U63">
        <v>0</v>
      </c>
      <c r="V63">
        <v>0</v>
      </c>
      <c r="W63" s="31">
        <v>0</v>
      </c>
    </row>
    <row r="64" spans="2:23" x14ac:dyDescent="0.25">
      <c r="B64" s="45" t="s">
        <v>1155</v>
      </c>
      <c r="C64" s="45">
        <f t="shared" si="7"/>
        <v>0.91629238335735141</v>
      </c>
      <c r="D64" s="45">
        <v>0.68</v>
      </c>
      <c r="E64" s="45">
        <v>1</v>
      </c>
      <c r="F64" s="323">
        <f t="shared" si="8"/>
        <v>0.62307882068299902</v>
      </c>
      <c r="M64" s="30" t="s">
        <v>1149</v>
      </c>
      <c r="N64">
        <f t="shared" si="9"/>
        <v>0</v>
      </c>
      <c r="O64">
        <f t="shared" si="10"/>
        <v>0</v>
      </c>
      <c r="P64">
        <f t="shared" si="11"/>
        <v>0</v>
      </c>
      <c r="Q64" s="31">
        <f t="shared" si="12"/>
        <v>0.62307882068299902</v>
      </c>
      <c r="S64" s="30" t="s">
        <v>1149</v>
      </c>
      <c r="T64">
        <v>0</v>
      </c>
      <c r="U64">
        <v>0</v>
      </c>
      <c r="V64">
        <v>0</v>
      </c>
      <c r="W64" s="31">
        <v>0</v>
      </c>
    </row>
    <row r="65" spans="2:23" x14ac:dyDescent="0.25">
      <c r="B65" s="45" t="s">
        <v>1148</v>
      </c>
      <c r="C65" s="45">
        <f t="shared" si="7"/>
        <v>0.91629238335735141</v>
      </c>
      <c r="D65" s="45">
        <v>0.68</v>
      </c>
      <c r="E65" s="45">
        <f>J28</f>
        <v>0.31</v>
      </c>
      <c r="F65" s="323">
        <f t="shared" si="8"/>
        <v>0.19315443441172969</v>
      </c>
      <c r="M65" s="30" t="s">
        <v>1155</v>
      </c>
      <c r="N65">
        <f t="shared" si="9"/>
        <v>0</v>
      </c>
      <c r="O65">
        <f t="shared" si="10"/>
        <v>0</v>
      </c>
      <c r="P65">
        <f t="shared" si="11"/>
        <v>0</v>
      </c>
      <c r="Q65" s="31">
        <f t="shared" si="12"/>
        <v>0</v>
      </c>
      <c r="S65" s="30" t="s">
        <v>1155</v>
      </c>
      <c r="T65">
        <v>0</v>
      </c>
      <c r="U65">
        <v>0</v>
      </c>
      <c r="V65">
        <v>0</v>
      </c>
      <c r="W65" s="31">
        <v>0</v>
      </c>
    </row>
    <row r="66" spans="2:23" x14ac:dyDescent="0.25">
      <c r="B66" s="45" t="s">
        <v>1144</v>
      </c>
      <c r="C66" s="45">
        <f t="shared" si="7"/>
        <v>0.91629238335735141</v>
      </c>
      <c r="D66" s="45">
        <v>0.68</v>
      </c>
      <c r="E66" s="45">
        <v>1</v>
      </c>
      <c r="F66" s="323">
        <f t="shared" si="8"/>
        <v>0.62307882068299902</v>
      </c>
      <c r="M66" s="30" t="s">
        <v>1148</v>
      </c>
      <c r="N66">
        <f t="shared" si="9"/>
        <v>0</v>
      </c>
      <c r="O66">
        <f t="shared" si="10"/>
        <v>0</v>
      </c>
      <c r="P66">
        <f t="shared" si="11"/>
        <v>0</v>
      </c>
      <c r="Q66" s="31">
        <f t="shared" si="12"/>
        <v>0.19315443441172969</v>
      </c>
      <c r="S66" s="30" t="s">
        <v>1148</v>
      </c>
      <c r="T66">
        <v>0</v>
      </c>
      <c r="U66">
        <v>0</v>
      </c>
      <c r="V66">
        <v>0</v>
      </c>
      <c r="W66" s="31">
        <v>0</v>
      </c>
    </row>
    <row r="67" spans="2:23" x14ac:dyDescent="0.25">
      <c r="B67" s="45" t="s">
        <v>1154</v>
      </c>
      <c r="C67" s="45">
        <f t="shared" si="7"/>
        <v>0.91629238335735141</v>
      </c>
      <c r="D67" s="45">
        <v>0.68</v>
      </c>
      <c r="E67" s="45">
        <v>1</v>
      </c>
      <c r="F67" s="323">
        <f t="shared" si="8"/>
        <v>0.62307882068299902</v>
      </c>
      <c r="M67" s="30" t="s">
        <v>1144</v>
      </c>
      <c r="N67">
        <f t="shared" si="9"/>
        <v>0.62307882068299902</v>
      </c>
      <c r="O67">
        <f t="shared" si="10"/>
        <v>0</v>
      </c>
      <c r="P67">
        <f t="shared" si="11"/>
        <v>0</v>
      </c>
      <c r="Q67" s="31">
        <f t="shared" si="12"/>
        <v>0.62307882068299902</v>
      </c>
      <c r="S67" s="30" t="s">
        <v>1144</v>
      </c>
      <c r="T67">
        <v>0</v>
      </c>
      <c r="U67">
        <v>0</v>
      </c>
      <c r="V67">
        <v>0</v>
      </c>
      <c r="W67" s="31">
        <v>0</v>
      </c>
    </row>
    <row r="68" spans="2:23" x14ac:dyDescent="0.25">
      <c r="B68" s="45" t="s">
        <v>1147</v>
      </c>
      <c r="C68" s="45">
        <f t="shared" si="7"/>
        <v>0.91629238335735141</v>
      </c>
      <c r="D68" s="45">
        <v>1</v>
      </c>
      <c r="E68" s="45">
        <v>1</v>
      </c>
      <c r="F68" s="323">
        <f t="shared" si="8"/>
        <v>0.91629238335735141</v>
      </c>
      <c r="M68" s="30" t="s">
        <v>1154</v>
      </c>
      <c r="N68">
        <f t="shared" si="9"/>
        <v>0</v>
      </c>
      <c r="O68">
        <f t="shared" si="10"/>
        <v>0</v>
      </c>
      <c r="P68">
        <f t="shared" si="11"/>
        <v>0</v>
      </c>
      <c r="Q68" s="31">
        <f t="shared" si="12"/>
        <v>0</v>
      </c>
      <c r="S68" s="30" t="s">
        <v>1154</v>
      </c>
      <c r="T68">
        <v>0</v>
      </c>
      <c r="U68">
        <v>0</v>
      </c>
      <c r="V68">
        <v>0</v>
      </c>
      <c r="W68" s="31">
        <v>0</v>
      </c>
    </row>
    <row r="69" spans="2:23" x14ac:dyDescent="0.25">
      <c r="B69" s="45" t="s">
        <v>1153</v>
      </c>
      <c r="C69" s="45">
        <f t="shared" si="7"/>
        <v>0.91629238335735141</v>
      </c>
      <c r="D69" s="45">
        <v>0.68</v>
      </c>
      <c r="E69" s="45">
        <v>1</v>
      </c>
      <c r="F69" s="323">
        <f t="shared" si="8"/>
        <v>0.62307882068299902</v>
      </c>
      <c r="M69" s="30" t="s">
        <v>1147</v>
      </c>
      <c r="N69">
        <f t="shared" si="9"/>
        <v>0</v>
      </c>
      <c r="O69">
        <f t="shared" si="10"/>
        <v>0</v>
      </c>
      <c r="P69">
        <f t="shared" si="11"/>
        <v>0</v>
      </c>
      <c r="Q69" s="31">
        <f t="shared" si="12"/>
        <v>0.91629238335735141</v>
      </c>
      <c r="S69" s="30" t="s">
        <v>1147</v>
      </c>
      <c r="T69">
        <v>0</v>
      </c>
      <c r="U69">
        <v>0</v>
      </c>
      <c r="V69">
        <v>0</v>
      </c>
      <c r="W69" s="31">
        <v>0</v>
      </c>
    </row>
    <row r="70" spans="2:23" x14ac:dyDescent="0.25">
      <c r="B70" s="45" t="s">
        <v>1146</v>
      </c>
      <c r="C70" s="45">
        <f t="shared" si="7"/>
        <v>0.91629238335735141</v>
      </c>
      <c r="D70" s="45">
        <v>0.68</v>
      </c>
      <c r="E70" s="45">
        <v>1</v>
      </c>
      <c r="F70" s="323">
        <f t="shared" si="8"/>
        <v>0.62307882068299902</v>
      </c>
      <c r="M70" s="30" t="s">
        <v>1153</v>
      </c>
      <c r="N70">
        <f t="shared" si="9"/>
        <v>0</v>
      </c>
      <c r="O70">
        <f t="shared" si="10"/>
        <v>0</v>
      </c>
      <c r="P70">
        <f t="shared" si="11"/>
        <v>0</v>
      </c>
      <c r="Q70" s="31">
        <f t="shared" si="12"/>
        <v>0</v>
      </c>
      <c r="S70" s="30" t="s">
        <v>1153</v>
      </c>
      <c r="T70">
        <v>0</v>
      </c>
      <c r="U70">
        <v>0</v>
      </c>
      <c r="V70">
        <v>0</v>
      </c>
      <c r="W70" s="31">
        <v>0</v>
      </c>
    </row>
    <row r="71" spans="2:23" x14ac:dyDescent="0.25">
      <c r="B71" s="45" t="s">
        <v>1152</v>
      </c>
      <c r="C71" s="45">
        <f t="shared" si="7"/>
        <v>0.91629238335735141</v>
      </c>
      <c r="D71" s="45">
        <v>0.68</v>
      </c>
      <c r="E71" s="45">
        <v>1</v>
      </c>
      <c r="F71" s="323">
        <f t="shared" si="8"/>
        <v>0.62307882068299902</v>
      </c>
      <c r="M71" s="30" t="s">
        <v>1146</v>
      </c>
      <c r="N71">
        <f t="shared" si="9"/>
        <v>0</v>
      </c>
      <c r="O71">
        <f t="shared" si="10"/>
        <v>0</v>
      </c>
      <c r="P71">
        <f t="shared" si="11"/>
        <v>0</v>
      </c>
      <c r="Q71" s="31">
        <f t="shared" si="12"/>
        <v>0.62307882068299902</v>
      </c>
      <c r="S71" s="30" t="s">
        <v>1146</v>
      </c>
      <c r="T71">
        <v>0</v>
      </c>
      <c r="U71">
        <v>0</v>
      </c>
      <c r="V71">
        <v>0</v>
      </c>
      <c r="W71" s="31">
        <v>0</v>
      </c>
    </row>
    <row r="72" spans="2:23" x14ac:dyDescent="0.25">
      <c r="B72" s="45" t="s">
        <v>1145</v>
      </c>
      <c r="C72" s="45">
        <f t="shared" si="7"/>
        <v>0.91629238335735141</v>
      </c>
      <c r="D72" s="45">
        <v>1</v>
      </c>
      <c r="E72" s="45">
        <v>1</v>
      </c>
      <c r="F72" s="323">
        <f t="shared" si="8"/>
        <v>0.91629238335735141</v>
      </c>
      <c r="M72" s="30" t="s">
        <v>1152</v>
      </c>
      <c r="N72">
        <f t="shared" si="9"/>
        <v>0</v>
      </c>
      <c r="O72">
        <f t="shared" si="10"/>
        <v>0</v>
      </c>
      <c r="P72">
        <f t="shared" si="11"/>
        <v>0</v>
      </c>
      <c r="Q72" s="31">
        <f t="shared" si="12"/>
        <v>0</v>
      </c>
      <c r="S72" s="30" t="s">
        <v>1152</v>
      </c>
      <c r="T72">
        <v>0</v>
      </c>
      <c r="U72">
        <v>0</v>
      </c>
      <c r="V72">
        <v>0</v>
      </c>
      <c r="W72" s="31">
        <v>0</v>
      </c>
    </row>
    <row r="73" spans="2:23" x14ac:dyDescent="0.25">
      <c r="B73" s="45" t="s">
        <v>1151</v>
      </c>
      <c r="C73" s="45">
        <v>1</v>
      </c>
      <c r="D73" s="45">
        <v>1</v>
      </c>
      <c r="E73" s="45">
        <v>1</v>
      </c>
      <c r="F73" s="45">
        <f t="shared" ref="F73" si="13">D73*E73</f>
        <v>1</v>
      </c>
      <c r="M73" s="30" t="s">
        <v>1145</v>
      </c>
      <c r="N73">
        <f t="shared" si="9"/>
        <v>0</v>
      </c>
      <c r="O73">
        <f t="shared" si="10"/>
        <v>0</v>
      </c>
      <c r="P73">
        <f t="shared" si="11"/>
        <v>0</v>
      </c>
      <c r="Q73" s="31">
        <f t="shared" si="12"/>
        <v>1.8325847667147028</v>
      </c>
      <c r="S73" s="30" t="s">
        <v>1145</v>
      </c>
      <c r="T73">
        <v>0</v>
      </c>
      <c r="U73">
        <v>0</v>
      </c>
      <c r="V73">
        <v>0</v>
      </c>
      <c r="W73" s="31">
        <v>0</v>
      </c>
    </row>
    <row r="74" spans="2:23" ht="15.75" thickBot="1" x14ac:dyDescent="0.3">
      <c r="M74" s="32" t="s">
        <v>1151</v>
      </c>
      <c r="N74" s="306">
        <f t="shared" si="9"/>
        <v>0</v>
      </c>
      <c r="O74" s="306">
        <f t="shared" si="10"/>
        <v>0</v>
      </c>
      <c r="P74" s="306">
        <f t="shared" si="11"/>
        <v>0</v>
      </c>
      <c r="Q74" s="33">
        <f t="shared" si="12"/>
        <v>0</v>
      </c>
      <c r="S74" s="32" t="s">
        <v>1151</v>
      </c>
      <c r="T74" s="306">
        <v>0</v>
      </c>
      <c r="U74" s="306">
        <v>0</v>
      </c>
      <c r="V74" s="306">
        <v>0</v>
      </c>
      <c r="W74" s="33">
        <v>0</v>
      </c>
    </row>
    <row r="75" spans="2:23" x14ac:dyDescent="0.25">
      <c r="N75">
        <f>SUM(N61:N74)</f>
        <v>0.62307882068299902</v>
      </c>
      <c r="O75">
        <f>SUM(O61:O74)</f>
        <v>0</v>
      </c>
      <c r="P75">
        <f>SUM(P61:P74)</f>
        <v>0</v>
      </c>
      <c r="Q75">
        <f>SUM(Q61:Q74)</f>
        <v>4.8112680465327813</v>
      </c>
    </row>
    <row r="76" spans="2:23" ht="15.75" thickBot="1" x14ac:dyDescent="0.3">
      <c r="S76" s="531"/>
      <c r="T76" s="531"/>
      <c r="U76" s="531"/>
      <c r="V76" s="531"/>
      <c r="W76" s="531"/>
    </row>
    <row r="77" spans="2:23" x14ac:dyDescent="0.25">
      <c r="M77" s="28"/>
      <c r="N77" s="300" t="s">
        <v>317</v>
      </c>
      <c r="O77" s="300" t="s">
        <v>318</v>
      </c>
      <c r="P77" s="300" t="s">
        <v>319</v>
      </c>
      <c r="Q77" s="29" t="s">
        <v>320</v>
      </c>
      <c r="S77" s="28"/>
      <c r="T77" s="300" t="s">
        <v>317</v>
      </c>
      <c r="U77" s="300" t="s">
        <v>318</v>
      </c>
      <c r="V77" s="300" t="s">
        <v>319</v>
      </c>
      <c r="W77" s="29" t="s">
        <v>320</v>
      </c>
    </row>
    <row r="78" spans="2:23" x14ac:dyDescent="0.25">
      <c r="M78" s="30" t="s">
        <v>327</v>
      </c>
      <c r="N78">
        <f t="shared" ref="N78:Q94" si="14">(N5-N42)/SUM($G$25:$G$27)</f>
        <v>0</v>
      </c>
      <c r="O78">
        <f t="shared" si="14"/>
        <v>0</v>
      </c>
      <c r="P78">
        <f t="shared" si="14"/>
        <v>8.1210729431016561E-8</v>
      </c>
      <c r="Q78" s="31">
        <f t="shared" si="14"/>
        <v>4.8726437658609939E-7</v>
      </c>
      <c r="S78" s="30" t="s">
        <v>327</v>
      </c>
      <c r="T78">
        <f>T42-_xlfn.XLOOKUP(S78,$B$40:$B$57,$J$40:$J$57,1,0,1)*T42</f>
        <v>0</v>
      </c>
      <c r="U78">
        <f t="shared" ref="U78:W78" si="15">U42-_xlfn.XLOOKUP(T78,$B$40:$B$57,$J$40:$J$57,1,0,1)*U42</f>
        <v>0</v>
      </c>
      <c r="V78">
        <f t="shared" si="15"/>
        <v>0</v>
      </c>
      <c r="W78" s="31">
        <f t="shared" si="15"/>
        <v>0</v>
      </c>
    </row>
    <row r="79" spans="2:23" x14ac:dyDescent="0.25">
      <c r="M79" s="30" t="s">
        <v>658</v>
      </c>
      <c r="N79">
        <f t="shared" si="14"/>
        <v>0</v>
      </c>
      <c r="O79">
        <f t="shared" si="14"/>
        <v>0</v>
      </c>
      <c r="P79">
        <f t="shared" si="14"/>
        <v>0</v>
      </c>
      <c r="Q79" s="31">
        <f t="shared" si="14"/>
        <v>1.1293460366362136E-7</v>
      </c>
      <c r="S79" s="30" t="s">
        <v>658</v>
      </c>
      <c r="T79">
        <f t="shared" ref="T79:W94" si="16">T43-_xlfn.XLOOKUP(S79,$B$40:$B$57,$J$40:$J$57,1,0,1)*T43</f>
        <v>0</v>
      </c>
      <c r="U79">
        <f t="shared" si="16"/>
        <v>0</v>
      </c>
      <c r="V79">
        <f t="shared" si="16"/>
        <v>0</v>
      </c>
      <c r="W79" s="31">
        <f t="shared" si="16"/>
        <v>0</v>
      </c>
    </row>
    <row r="80" spans="2:23" x14ac:dyDescent="0.25">
      <c r="M80" s="30" t="s">
        <v>333</v>
      </c>
      <c r="N80">
        <f t="shared" si="14"/>
        <v>4.0605364715508281E-8</v>
      </c>
      <c r="O80">
        <f t="shared" si="14"/>
        <v>0</v>
      </c>
      <c r="P80">
        <f t="shared" si="14"/>
        <v>8.1210729431016561E-8</v>
      </c>
      <c r="Q80" s="31">
        <f t="shared" si="14"/>
        <v>1.2181609414652485E-7</v>
      </c>
      <c r="S80" s="30" t="s">
        <v>333</v>
      </c>
      <c r="T80">
        <f>T44-_xlfn.XLOOKUP(S80,$B$40:$B$57,$J$40:$J$57,1,0,1)*T44</f>
        <v>0.56384482552190063</v>
      </c>
      <c r="U80">
        <f t="shared" si="16"/>
        <v>0</v>
      </c>
      <c r="V80">
        <f t="shared" si="16"/>
        <v>0</v>
      </c>
      <c r="W80" s="31">
        <f t="shared" si="16"/>
        <v>0</v>
      </c>
    </row>
    <row r="81" spans="13:23" x14ac:dyDescent="0.25">
      <c r="M81" s="30" t="s">
        <v>328</v>
      </c>
      <c r="N81">
        <f t="shared" si="14"/>
        <v>0</v>
      </c>
      <c r="O81">
        <f t="shared" si="14"/>
        <v>0</v>
      </c>
      <c r="P81">
        <f t="shared" si="14"/>
        <v>0</v>
      </c>
      <c r="Q81" s="31">
        <f t="shared" si="14"/>
        <v>8.1210729431016561E-8</v>
      </c>
      <c r="S81" s="30" t="s">
        <v>328</v>
      </c>
      <c r="T81">
        <f t="shared" si="16"/>
        <v>0</v>
      </c>
      <c r="U81">
        <f t="shared" si="16"/>
        <v>0</v>
      </c>
      <c r="V81">
        <f t="shared" si="16"/>
        <v>0</v>
      </c>
      <c r="W81" s="31">
        <f t="shared" si="16"/>
        <v>0</v>
      </c>
    </row>
    <row r="82" spans="13:23" x14ac:dyDescent="0.25">
      <c r="M82" s="30" t="s">
        <v>332</v>
      </c>
      <c r="N82">
        <f t="shared" si="14"/>
        <v>0</v>
      </c>
      <c r="O82">
        <f t="shared" si="14"/>
        <v>0</v>
      </c>
      <c r="P82">
        <f t="shared" si="14"/>
        <v>4.0605364715508281E-8</v>
      </c>
      <c r="Q82" s="31">
        <f t="shared" si="14"/>
        <v>1.2181609414652485E-7</v>
      </c>
      <c r="S82" s="30" t="s">
        <v>332</v>
      </c>
      <c r="T82">
        <f t="shared" si="16"/>
        <v>0</v>
      </c>
      <c r="U82">
        <f>U46-_xlfn.XLOOKUP(T82,$B$40:$B$57,$J$40:$J$57,1,0,1)*U46</f>
        <v>0</v>
      </c>
      <c r="V82">
        <f t="shared" si="16"/>
        <v>0</v>
      </c>
      <c r="W82" s="31">
        <f t="shared" si="16"/>
        <v>0</v>
      </c>
    </row>
    <row r="83" spans="13:23" x14ac:dyDescent="0.25">
      <c r="M83" s="30" t="s">
        <v>323</v>
      </c>
      <c r="N83">
        <f t="shared" si="14"/>
        <v>0</v>
      </c>
      <c r="O83">
        <f t="shared" si="14"/>
        <v>4.0605364715508281E-8</v>
      </c>
      <c r="P83">
        <f t="shared" si="14"/>
        <v>0</v>
      </c>
      <c r="Q83" s="31">
        <f t="shared" si="14"/>
        <v>0</v>
      </c>
      <c r="S83" s="30" t="s">
        <v>323</v>
      </c>
      <c r="T83">
        <f t="shared" si="16"/>
        <v>0</v>
      </c>
      <c r="U83">
        <f>U47-_xlfn.XLOOKUP(T83,$B$40:$B$57,$J$40:$J$57,1,0,1)*U47</f>
        <v>0</v>
      </c>
      <c r="V83">
        <f t="shared" si="16"/>
        <v>0</v>
      </c>
      <c r="W83" s="31">
        <f t="shared" si="16"/>
        <v>0</v>
      </c>
    </row>
    <row r="84" spans="13:23" x14ac:dyDescent="0.25">
      <c r="M84" s="30" t="s">
        <v>322</v>
      </c>
      <c r="N84">
        <f t="shared" si="14"/>
        <v>0</v>
      </c>
      <c r="O84">
        <f t="shared" si="14"/>
        <v>6.0282158306490919E-9</v>
      </c>
      <c r="P84">
        <f t="shared" si="14"/>
        <v>1.2056431661298184E-8</v>
      </c>
      <c r="Q84" s="31">
        <f t="shared" si="14"/>
        <v>4.2197510814543656E-8</v>
      </c>
      <c r="S84" s="30" t="s">
        <v>322</v>
      </c>
      <c r="T84">
        <f t="shared" si="16"/>
        <v>0</v>
      </c>
      <c r="U84">
        <f t="shared" si="16"/>
        <v>0</v>
      </c>
      <c r="V84">
        <f t="shared" si="16"/>
        <v>0</v>
      </c>
      <c r="W84" s="31">
        <f t="shared" si="16"/>
        <v>0</v>
      </c>
    </row>
    <row r="85" spans="13:23" x14ac:dyDescent="0.25">
      <c r="M85" s="30" t="s">
        <v>329</v>
      </c>
      <c r="N85">
        <f t="shared" si="14"/>
        <v>0</v>
      </c>
      <c r="O85">
        <f t="shared" si="14"/>
        <v>0</v>
      </c>
      <c r="P85">
        <f t="shared" si="14"/>
        <v>5.4739764126074776E-8</v>
      </c>
      <c r="Q85" s="31">
        <f t="shared" si="14"/>
        <v>0</v>
      </c>
      <c r="S85" s="30" t="s">
        <v>329</v>
      </c>
      <c r="T85">
        <f t="shared" si="16"/>
        <v>0</v>
      </c>
      <c r="U85">
        <f>U49-_xlfn.XLOOKUP(T85,$B$40:$B$57,$J$40:$J$57,1,0,1)*U49</f>
        <v>0</v>
      </c>
      <c r="V85">
        <f t="shared" si="16"/>
        <v>0</v>
      </c>
      <c r="W85" s="31">
        <f t="shared" si="16"/>
        <v>0</v>
      </c>
    </row>
    <row r="86" spans="13:23" x14ac:dyDescent="0.25">
      <c r="M86" s="30" t="s">
        <v>326</v>
      </c>
      <c r="N86">
        <f t="shared" si="14"/>
        <v>0</v>
      </c>
      <c r="O86">
        <f t="shared" si="14"/>
        <v>0</v>
      </c>
      <c r="P86">
        <f t="shared" si="14"/>
        <v>4.0605364715508281E-8</v>
      </c>
      <c r="Q86" s="31">
        <f t="shared" si="14"/>
        <v>2.0302682357754142E-7</v>
      </c>
      <c r="S86" s="30" t="s">
        <v>326</v>
      </c>
      <c r="T86">
        <f t="shared" si="16"/>
        <v>0</v>
      </c>
      <c r="U86">
        <f t="shared" si="16"/>
        <v>0</v>
      </c>
      <c r="V86">
        <f t="shared" si="16"/>
        <v>0</v>
      </c>
      <c r="W86" s="31">
        <f t="shared" si="16"/>
        <v>0</v>
      </c>
    </row>
    <row r="87" spans="13:23" x14ac:dyDescent="0.25">
      <c r="M87" s="30" t="s">
        <v>659</v>
      </c>
      <c r="N87">
        <f t="shared" si="14"/>
        <v>0</v>
      </c>
      <c r="O87">
        <f t="shared" si="14"/>
        <v>0</v>
      </c>
      <c r="P87">
        <f t="shared" si="14"/>
        <v>0</v>
      </c>
      <c r="Q87" s="31">
        <f t="shared" si="14"/>
        <v>0</v>
      </c>
      <c r="S87" s="30" t="s">
        <v>659</v>
      </c>
      <c r="T87">
        <f t="shared" si="16"/>
        <v>0</v>
      </c>
      <c r="U87">
        <f t="shared" si="16"/>
        <v>0</v>
      </c>
      <c r="V87">
        <f t="shared" si="16"/>
        <v>0</v>
      </c>
      <c r="W87" s="31">
        <f t="shared" si="16"/>
        <v>0</v>
      </c>
    </row>
    <row r="88" spans="13:23" x14ac:dyDescent="0.25">
      <c r="M88" s="30" t="s">
        <v>660</v>
      </c>
      <c r="N88">
        <f t="shared" si="14"/>
        <v>0</v>
      </c>
      <c r="O88">
        <f t="shared" si="14"/>
        <v>0</v>
      </c>
      <c r="P88">
        <f t="shared" si="14"/>
        <v>0</v>
      </c>
      <c r="Q88" s="31">
        <f t="shared" si="14"/>
        <v>0</v>
      </c>
      <c r="S88" s="30" t="s">
        <v>660</v>
      </c>
      <c r="T88">
        <f t="shared" si="16"/>
        <v>0</v>
      </c>
      <c r="U88">
        <f t="shared" si="16"/>
        <v>0</v>
      </c>
      <c r="V88">
        <f t="shared" si="16"/>
        <v>0</v>
      </c>
      <c r="W88" s="31">
        <f t="shared" si="16"/>
        <v>0</v>
      </c>
    </row>
    <row r="89" spans="13:23" x14ac:dyDescent="0.25">
      <c r="M89" s="30" t="s">
        <v>331</v>
      </c>
      <c r="N89">
        <f t="shared" si="14"/>
        <v>0</v>
      </c>
      <c r="O89">
        <f t="shared" si="14"/>
        <v>0</v>
      </c>
      <c r="P89">
        <f t="shared" si="14"/>
        <v>6.6465033681551383E-8</v>
      </c>
      <c r="Q89" s="31">
        <f t="shared" si="14"/>
        <v>0</v>
      </c>
      <c r="S89" s="30" t="s">
        <v>331</v>
      </c>
      <c r="T89">
        <f t="shared" si="16"/>
        <v>0</v>
      </c>
      <c r="U89">
        <f t="shared" si="16"/>
        <v>0</v>
      </c>
      <c r="V89">
        <f t="shared" si="16"/>
        <v>0</v>
      </c>
      <c r="W89" s="31">
        <f t="shared" si="16"/>
        <v>0</v>
      </c>
    </row>
    <row r="90" spans="13:23" x14ac:dyDescent="0.25">
      <c r="M90" s="30" t="s">
        <v>324</v>
      </c>
      <c r="N90">
        <f t="shared" si="14"/>
        <v>0</v>
      </c>
      <c r="O90">
        <f t="shared" si="14"/>
        <v>0</v>
      </c>
      <c r="P90">
        <f t="shared" si="14"/>
        <v>0</v>
      </c>
      <c r="Q90" s="31">
        <f t="shared" si="14"/>
        <v>4.0605364715508281E-8</v>
      </c>
      <c r="S90" s="30" t="s">
        <v>324</v>
      </c>
      <c r="T90">
        <f t="shared" si="16"/>
        <v>0</v>
      </c>
      <c r="U90">
        <f t="shared" si="16"/>
        <v>0</v>
      </c>
      <c r="V90">
        <f t="shared" si="16"/>
        <v>0</v>
      </c>
      <c r="W90" s="31">
        <f t="shared" si="16"/>
        <v>0</v>
      </c>
    </row>
    <row r="91" spans="13:23" x14ac:dyDescent="0.25">
      <c r="M91" s="30" t="s">
        <v>661</v>
      </c>
      <c r="N91">
        <f t="shared" si="14"/>
        <v>0</v>
      </c>
      <c r="O91">
        <f t="shared" si="14"/>
        <v>0</v>
      </c>
      <c r="P91">
        <f t="shared" si="14"/>
        <v>0</v>
      </c>
      <c r="Q91" s="31">
        <f t="shared" si="14"/>
        <v>0</v>
      </c>
      <c r="S91" s="30" t="s">
        <v>661</v>
      </c>
      <c r="T91">
        <f t="shared" si="16"/>
        <v>0</v>
      </c>
      <c r="U91">
        <f t="shared" si="16"/>
        <v>0</v>
      </c>
      <c r="V91">
        <f t="shared" si="16"/>
        <v>0</v>
      </c>
      <c r="W91" s="31">
        <f t="shared" si="16"/>
        <v>0</v>
      </c>
    </row>
    <row r="92" spans="13:23" x14ac:dyDescent="0.25">
      <c r="M92" s="30" t="s">
        <v>334</v>
      </c>
      <c r="N92">
        <f t="shared" si="14"/>
        <v>0</v>
      </c>
      <c r="O92">
        <f t="shared" si="14"/>
        <v>4.0605364715508281E-8</v>
      </c>
      <c r="P92">
        <f t="shared" si="14"/>
        <v>0</v>
      </c>
      <c r="Q92" s="31">
        <f t="shared" si="14"/>
        <v>4.0605364715508281E-8</v>
      </c>
      <c r="S92" s="30" t="s">
        <v>334</v>
      </c>
      <c r="T92">
        <f t="shared" si="16"/>
        <v>0</v>
      </c>
      <c r="U92">
        <f t="shared" si="16"/>
        <v>0</v>
      </c>
      <c r="V92">
        <f t="shared" si="16"/>
        <v>0</v>
      </c>
      <c r="W92" s="31">
        <f t="shared" si="16"/>
        <v>0</v>
      </c>
    </row>
    <row r="93" spans="13:23" x14ac:dyDescent="0.25">
      <c r="M93" s="30" t="s">
        <v>330</v>
      </c>
      <c r="N93">
        <f t="shared" si="14"/>
        <v>0</v>
      </c>
      <c r="O93">
        <f t="shared" si="14"/>
        <v>0</v>
      </c>
      <c r="P93">
        <f t="shared" si="14"/>
        <v>0</v>
      </c>
      <c r="Q93" s="31">
        <f t="shared" si="14"/>
        <v>0</v>
      </c>
      <c r="S93" s="30" t="s">
        <v>330</v>
      </c>
      <c r="T93">
        <f t="shared" si="16"/>
        <v>0</v>
      </c>
      <c r="U93">
        <f t="shared" si="16"/>
        <v>0</v>
      </c>
      <c r="V93">
        <f t="shared" si="16"/>
        <v>0</v>
      </c>
      <c r="W93" s="31">
        <f t="shared" si="16"/>
        <v>0</v>
      </c>
    </row>
    <row r="94" spans="13:23" ht="15.75" thickBot="1" x14ac:dyDescent="0.3">
      <c r="M94" s="32" t="s">
        <v>325</v>
      </c>
      <c r="N94" s="306">
        <f t="shared" si="14"/>
        <v>0</v>
      </c>
      <c r="O94" s="306">
        <f t="shared" si="14"/>
        <v>0</v>
      </c>
      <c r="P94" s="306">
        <f t="shared" si="14"/>
        <v>0</v>
      </c>
      <c r="Q94" s="33">
        <f t="shared" si="14"/>
        <v>0</v>
      </c>
      <c r="S94" s="32" t="s">
        <v>325</v>
      </c>
      <c r="T94" s="306">
        <f t="shared" si="16"/>
        <v>0</v>
      </c>
      <c r="U94" s="306">
        <f t="shared" si="16"/>
        <v>0</v>
      </c>
      <c r="V94" s="306">
        <f t="shared" si="16"/>
        <v>0</v>
      </c>
      <c r="W94" s="33">
        <f t="shared" si="16"/>
        <v>0</v>
      </c>
    </row>
    <row r="96" spans="13:23" ht="15.75" thickBot="1" x14ac:dyDescent="0.3">
      <c r="M96" s="531" t="s">
        <v>1159</v>
      </c>
      <c r="N96" s="531"/>
      <c r="O96" s="531"/>
      <c r="P96" s="531"/>
      <c r="Q96" s="531"/>
    </row>
    <row r="97" spans="3:20" x14ac:dyDescent="0.25">
      <c r="M97" s="28" t="s">
        <v>1158</v>
      </c>
      <c r="N97">
        <f>(N24-N61)/SUM($G$25:$G$27)</f>
        <v>0</v>
      </c>
      <c r="O97" s="300">
        <f t="shared" ref="O97:Q97" si="17">(O24-O61)/SUM($G$25:$G$27)</f>
        <v>0</v>
      </c>
      <c r="P97" s="300">
        <f t="shared" si="17"/>
        <v>0</v>
      </c>
      <c r="Q97" s="29">
        <f t="shared" si="17"/>
        <v>0</v>
      </c>
    </row>
    <row r="98" spans="3:20" x14ac:dyDescent="0.25">
      <c r="M98" s="30" t="s">
        <v>1157</v>
      </c>
      <c r="N98">
        <f t="shared" ref="N98:Q98" si="18">(N25-N62)/SUM($G$25:$G$27)</f>
        <v>0</v>
      </c>
      <c r="O98">
        <f t="shared" si="18"/>
        <v>0</v>
      </c>
      <c r="P98">
        <f t="shared" si="18"/>
        <v>0</v>
      </c>
      <c r="Q98" s="31">
        <f t="shared" si="18"/>
        <v>0</v>
      </c>
      <c r="T98" s="241"/>
    </row>
    <row r="99" spans="3:20" x14ac:dyDescent="0.25">
      <c r="M99" s="30" t="s">
        <v>1156</v>
      </c>
      <c r="N99">
        <f t="shared" ref="N99:Q99" si="19">(N26-N63)/SUM($G$25:$G$27)</f>
        <v>0</v>
      </c>
      <c r="O99">
        <f t="shared" si="19"/>
        <v>0</v>
      </c>
      <c r="P99">
        <f t="shared" si="19"/>
        <v>0</v>
      </c>
      <c r="Q99" s="31">
        <f t="shared" si="19"/>
        <v>0</v>
      </c>
    </row>
    <row r="100" spans="3:20" x14ac:dyDescent="0.25">
      <c r="M100" s="30" t="s">
        <v>1149</v>
      </c>
      <c r="N100">
        <f t="shared" ref="N100:Q100" si="20">(N27-N64)/SUM($G$25:$G$27)</f>
        <v>0</v>
      </c>
      <c r="O100">
        <f t="shared" si="20"/>
        <v>0</v>
      </c>
      <c r="P100">
        <f t="shared" si="20"/>
        <v>0</v>
      </c>
      <c r="Q100" s="31">
        <f t="shared" si="20"/>
        <v>2.71440319435402E-8</v>
      </c>
    </row>
    <row r="101" spans="3:20" x14ac:dyDescent="0.25">
      <c r="M101" s="30" t="s">
        <v>1155</v>
      </c>
      <c r="N101">
        <f t="shared" ref="N101:Q101" si="21">(N28-N65)/SUM($G$25:$G$27)</f>
        <v>0</v>
      </c>
      <c r="O101">
        <f t="shared" si="21"/>
        <v>0</v>
      </c>
      <c r="P101">
        <f t="shared" si="21"/>
        <v>0</v>
      </c>
      <c r="Q101" s="31">
        <f t="shared" si="21"/>
        <v>0</v>
      </c>
    </row>
    <row r="102" spans="3:20" x14ac:dyDescent="0.25">
      <c r="M102" s="30" t="s">
        <v>1148</v>
      </c>
      <c r="N102">
        <f t="shared" ref="N102:Q102" si="22">(N29-N66)/SUM($G$25:$G$27)</f>
        <v>0</v>
      </c>
      <c r="O102">
        <f t="shared" si="22"/>
        <v>0</v>
      </c>
      <c r="P102">
        <f t="shared" si="22"/>
        <v>0</v>
      </c>
      <c r="Q102" s="31">
        <f t="shared" si="22"/>
        <v>5.8105097319066794E-8</v>
      </c>
    </row>
    <row r="103" spans="3:20" x14ac:dyDescent="0.25">
      <c r="M103" s="30" t="s">
        <v>1144</v>
      </c>
      <c r="N103">
        <f t="shared" ref="N103:Q103" si="23">(N30-N67)/SUM($G$25:$G$27)</f>
        <v>2.71440319435402E-8</v>
      </c>
      <c r="O103">
        <f t="shared" si="23"/>
        <v>0</v>
      </c>
      <c r="P103">
        <f t="shared" si="23"/>
        <v>0</v>
      </c>
      <c r="Q103" s="31">
        <f t="shared" si="23"/>
        <v>2.71440319435402E-8</v>
      </c>
    </row>
    <row r="104" spans="3:20" x14ac:dyDescent="0.25">
      <c r="C104" s="54"/>
      <c r="D104" s="54"/>
      <c r="E104" s="54"/>
      <c r="F104" s="54"/>
      <c r="G104" s="54"/>
      <c r="M104" s="30" t="s">
        <v>1154</v>
      </c>
      <c r="N104">
        <f t="shared" ref="N104:Q104" si="24">(N31-N68)/SUM($G$25:$G$27)</f>
        <v>0</v>
      </c>
      <c r="O104">
        <f t="shared" si="24"/>
        <v>0</v>
      </c>
      <c r="P104">
        <f t="shared" si="24"/>
        <v>0</v>
      </c>
      <c r="Q104" s="31">
        <f t="shared" si="24"/>
        <v>0</v>
      </c>
    </row>
    <row r="105" spans="3:20" x14ac:dyDescent="0.25">
      <c r="M105" s="30" t="s">
        <v>1147</v>
      </c>
      <c r="N105">
        <f t="shared" ref="N105:Q105" si="25">(N32-N69)/SUM($G$25:$G$27)</f>
        <v>0</v>
      </c>
      <c r="O105">
        <f t="shared" si="25"/>
        <v>0</v>
      </c>
      <c r="P105">
        <f t="shared" si="25"/>
        <v>0</v>
      </c>
      <c r="Q105" s="31">
        <f t="shared" si="25"/>
        <v>6.0282158306490919E-9</v>
      </c>
    </row>
    <row r="106" spans="3:20" x14ac:dyDescent="0.25">
      <c r="M106" s="30" t="s">
        <v>1153</v>
      </c>
      <c r="N106">
        <f t="shared" ref="N106:Q106" si="26">(N33-N70)/SUM($G$25:$G$27)</f>
        <v>0</v>
      </c>
      <c r="O106">
        <f t="shared" si="26"/>
        <v>0</v>
      </c>
      <c r="P106">
        <f t="shared" si="26"/>
        <v>0</v>
      </c>
      <c r="Q106" s="31">
        <f t="shared" si="26"/>
        <v>0</v>
      </c>
    </row>
    <row r="107" spans="3:20" x14ac:dyDescent="0.25">
      <c r="M107" s="30" t="s">
        <v>1146</v>
      </c>
      <c r="N107">
        <f t="shared" ref="N107:Q107" si="27">(N34-N71)/SUM($G$25:$G$27)</f>
        <v>0</v>
      </c>
      <c r="O107">
        <f t="shared" si="27"/>
        <v>0</v>
      </c>
      <c r="P107">
        <f t="shared" si="27"/>
        <v>0</v>
      </c>
      <c r="Q107" s="31">
        <f t="shared" si="27"/>
        <v>2.71440319435402E-8</v>
      </c>
    </row>
    <row r="108" spans="3:20" x14ac:dyDescent="0.25">
      <c r="M108" s="30" t="s">
        <v>1152</v>
      </c>
      <c r="N108">
        <f t="shared" ref="N108:Q108" si="28">(N35-N72)/SUM($G$25:$G$27)</f>
        <v>0</v>
      </c>
      <c r="O108">
        <f t="shared" si="28"/>
        <v>0</v>
      </c>
      <c r="P108">
        <f t="shared" si="28"/>
        <v>0</v>
      </c>
      <c r="Q108" s="31">
        <f t="shared" si="28"/>
        <v>0</v>
      </c>
    </row>
    <row r="109" spans="3:20" x14ac:dyDescent="0.25">
      <c r="M109" s="30" t="s">
        <v>1145</v>
      </c>
      <c r="N109">
        <f t="shared" ref="N109:Q109" si="29">(N36-N73)/SUM($G$25:$G$27)</f>
        <v>0</v>
      </c>
      <c r="O109">
        <f t="shared" si="29"/>
        <v>0</v>
      </c>
      <c r="P109">
        <f t="shared" si="29"/>
        <v>0</v>
      </c>
      <c r="Q109" s="31">
        <f t="shared" si="29"/>
        <v>1.2056431661298184E-8</v>
      </c>
    </row>
    <row r="110" spans="3:20" ht="15.75" thickBot="1" x14ac:dyDescent="0.3">
      <c r="M110" s="32" t="s">
        <v>1151</v>
      </c>
      <c r="N110" s="306">
        <f t="shared" ref="N110:Q110" si="30">(N37-N74)/SUM($G$25:$G$27)</f>
        <v>0</v>
      </c>
      <c r="O110" s="306">
        <f t="shared" si="30"/>
        <v>0</v>
      </c>
      <c r="P110" s="306">
        <f t="shared" si="30"/>
        <v>0</v>
      </c>
      <c r="Q110" s="33">
        <f t="shared" si="30"/>
        <v>0</v>
      </c>
    </row>
    <row r="114" spans="14:17" x14ac:dyDescent="0.25">
      <c r="N114" s="241"/>
      <c r="O114" s="241"/>
      <c r="P114" s="241"/>
      <c r="Q114" s="241"/>
    </row>
    <row r="115" spans="14:17" x14ac:dyDescent="0.25">
      <c r="N115" s="241"/>
      <c r="O115" s="241"/>
      <c r="P115" s="241"/>
      <c r="Q115" s="241"/>
    </row>
  </sheetData>
  <mergeCells count="13">
    <mergeCell ref="M23:Q23"/>
    <mergeCell ref="M3:Q3"/>
    <mergeCell ref="S3:W3"/>
    <mergeCell ref="B4:D4"/>
    <mergeCell ref="C5:C6"/>
    <mergeCell ref="D5:D6"/>
    <mergeCell ref="B5:B6"/>
    <mergeCell ref="S23:W23"/>
    <mergeCell ref="M96:Q96"/>
    <mergeCell ref="S76:W76"/>
    <mergeCell ref="S40:W40"/>
    <mergeCell ref="M40:Q40"/>
    <mergeCell ref="M60:Q60"/>
  </mergeCells>
  <hyperlinks>
    <hyperlink ref="K24" r:id="rId1" xr:uid="{7DFA9FD8-4AD8-4ECC-94BB-8AC738A16C47}"/>
  </hyperlinks>
  <pageMargins left="0.7" right="0.7" top="0.75" bottom="0.75" header="0.3" footer="0.3"/>
  <pageSetup paperSize="164" fitToWidth="5" fitToHeight="6" orientation="portrait" r:id="rId2"/>
  <colBreaks count="1" manualBreakCount="1">
    <brk id="4" max="12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D7500-B49A-4E1A-BA26-7CF081C01841}">
  <sheetPr>
    <tabColor rgb="FF00B050"/>
  </sheetPr>
  <dimension ref="A1:Z65"/>
  <sheetViews>
    <sheetView view="pageBreakPreview" zoomScale="85" zoomScaleNormal="100" zoomScaleSheetLayoutView="85" workbookViewId="0">
      <selection activeCell="B2" sqref="B2"/>
    </sheetView>
  </sheetViews>
  <sheetFormatPr defaultColWidth="9.140625" defaultRowHeight="15" x14ac:dyDescent="0.25"/>
  <cols>
    <col min="1" max="1" width="9.140625" style="7"/>
    <col min="2" max="2" width="10.140625" customWidth="1"/>
    <col min="3" max="5" width="11.42578125" customWidth="1"/>
    <col min="6" max="6" width="12.42578125" customWidth="1"/>
    <col min="7" max="7" width="13.7109375" style="20" bestFit="1" customWidth="1"/>
    <col min="8" max="8" width="11.42578125" style="20" customWidth="1"/>
    <col min="9" max="9" width="12.42578125" customWidth="1"/>
    <col min="11" max="11" width="33.28515625" customWidth="1"/>
    <col min="12" max="12" width="26.85546875" bestFit="1" customWidth="1"/>
    <col min="13" max="13" width="16.28515625" bestFit="1" customWidth="1"/>
    <col min="14" max="14" width="18.5703125" bestFit="1" customWidth="1"/>
    <col min="15" max="15" width="25" bestFit="1" customWidth="1"/>
    <col min="16" max="16" width="33" customWidth="1"/>
    <col min="17" max="17" width="16" customWidth="1"/>
    <col min="18" max="18" width="18.140625" customWidth="1"/>
    <col min="19" max="19" width="17.7109375" customWidth="1"/>
    <col min="20" max="20" width="30.5703125" customWidth="1"/>
  </cols>
  <sheetData>
    <row r="1" spans="2:19" ht="16.5" customHeight="1" x14ac:dyDescent="0.25">
      <c r="B1" s="83"/>
    </row>
    <row r="2" spans="2:19" ht="16.5" customHeight="1" x14ac:dyDescent="0.35">
      <c r="B2" s="6" t="s">
        <v>335</v>
      </c>
      <c r="H2" s="242"/>
    </row>
    <row r="3" spans="2:19" ht="15.75" thickBot="1" x14ac:dyDescent="0.3">
      <c r="I3" s="83"/>
    </row>
    <row r="4" spans="2:19" ht="15.75" thickBot="1" x14ac:dyDescent="0.3">
      <c r="C4" s="542" t="s">
        <v>336</v>
      </c>
      <c r="D4" s="543"/>
      <c r="E4" s="239" t="s">
        <v>337</v>
      </c>
      <c r="F4" s="243"/>
      <c r="G4" s="544" t="s">
        <v>2</v>
      </c>
      <c r="H4" s="543"/>
      <c r="K4" s="45" t="s">
        <v>338</v>
      </c>
      <c r="L4" s="135">
        <v>2021</v>
      </c>
    </row>
    <row r="5" spans="2:19" ht="18" customHeight="1" x14ac:dyDescent="0.25">
      <c r="B5" s="532" t="s">
        <v>0</v>
      </c>
      <c r="C5" s="534" t="s">
        <v>339</v>
      </c>
      <c r="D5" s="536" t="s">
        <v>340</v>
      </c>
      <c r="E5" s="534" t="s">
        <v>341</v>
      </c>
      <c r="F5" s="538" t="s">
        <v>342</v>
      </c>
      <c r="G5" s="545" t="s">
        <v>343</v>
      </c>
      <c r="H5" s="547" t="s">
        <v>1</v>
      </c>
      <c r="K5" s="45" t="s">
        <v>344</v>
      </c>
      <c r="L5" s="218">
        <v>0.32200000000000001</v>
      </c>
      <c r="M5" s="83"/>
    </row>
    <row r="6" spans="2:19" ht="18.75" customHeight="1" thickBot="1" x14ac:dyDescent="0.3">
      <c r="B6" s="533"/>
      <c r="C6" s="535"/>
      <c r="D6" s="537"/>
      <c r="E6" s="535"/>
      <c r="F6" s="539"/>
      <c r="G6" s="546"/>
      <c r="H6" s="548"/>
    </row>
    <row r="7" spans="2:19" ht="18.75" customHeight="1" x14ac:dyDescent="0.25">
      <c r="B7" s="198">
        <f>Assumptions!C10</f>
        <v>2027</v>
      </c>
      <c r="C7" s="244">
        <f>$M$22*(1+$N$14)^(B7-2019)</f>
        <v>13.506980764180865</v>
      </c>
      <c r="D7" s="245">
        <f>$N$22*(1+$N$14)^(B7-2019)</f>
        <v>34.346322514631339</v>
      </c>
      <c r="E7" s="246">
        <f>(C7*$N$31)*$N$27*$N$28*$N$29*$N$30*$M$35</f>
        <v>30571.747806219253</v>
      </c>
      <c r="F7" s="246">
        <f>SUM(C7:D7)*L$5*N$32*N$27</f>
        <v>6818.3779176815569</v>
      </c>
      <c r="G7" s="246">
        <f>SUM(E7:F7)</f>
        <v>37390.125723900812</v>
      </c>
      <c r="H7" s="246">
        <f>$G7*(1+0.07)^-(B7-2021)</f>
        <v>24914.619523643058</v>
      </c>
      <c r="I7" s="317"/>
      <c r="K7" s="6" t="s">
        <v>345</v>
      </c>
      <c r="N7" s="83"/>
    </row>
    <row r="8" spans="2:19" x14ac:dyDescent="0.25">
      <c r="B8" s="200">
        <f>B7+1</f>
        <v>2028</v>
      </c>
      <c r="C8" s="247">
        <f t="shared" ref="C8:C26" si="0">$M$22*(1+$N$14)^(B8-2019)</f>
        <v>13.479966802652502</v>
      </c>
      <c r="D8" s="248">
        <f t="shared" ref="D8:D26" si="1">$N$22*(1+$N$14)^(B8-2019)</f>
        <v>34.27762986960208</v>
      </c>
      <c r="E8" s="249">
        <f>(C8*$N$31)*$N$27*$N$28*$N$29*$N$30*$M$35</f>
        <v>30510.604310606814</v>
      </c>
      <c r="F8" s="249">
        <f t="shared" ref="F8:F26" si="2">SUM(C8:D8)*L$5*N$32*N$27</f>
        <v>6804.7411618461938</v>
      </c>
      <c r="G8" s="249">
        <f t="shared" ref="G8:G26" si="3">SUM(E8:F8)</f>
        <v>37315.345472453009</v>
      </c>
      <c r="H8" s="249">
        <f t="shared" ref="H8:H26" si="4">$G8*(1+0.07)^-(B8-2021)</f>
        <v>23238.121761304457</v>
      </c>
      <c r="I8" s="317"/>
      <c r="K8" s="549" t="s">
        <v>346</v>
      </c>
      <c r="L8" s="549"/>
      <c r="M8" s="250" t="s">
        <v>347</v>
      </c>
      <c r="N8" s="251"/>
      <c r="O8" s="20"/>
      <c r="P8" s="20"/>
    </row>
    <row r="9" spans="2:19" x14ac:dyDescent="0.25">
      <c r="B9" s="200">
        <f t="shared" ref="B9:B24" si="5">B8+1</f>
        <v>2029</v>
      </c>
      <c r="C9" s="247">
        <f t="shared" si="0"/>
        <v>13.453006869047197</v>
      </c>
      <c r="D9" s="248">
        <f t="shared" si="1"/>
        <v>34.209074609862874</v>
      </c>
      <c r="E9" s="249">
        <f t="shared" ref="E9:E26" si="6">(C9*$N$31)*$N$27*$N$28*$N$29*$N$30*$M$35</f>
        <v>30449.583101985594</v>
      </c>
      <c r="F9" s="249">
        <f t="shared" si="2"/>
        <v>6791.1316795225011</v>
      </c>
      <c r="G9" s="249">
        <f t="shared" si="3"/>
        <v>37240.714781508097</v>
      </c>
      <c r="H9" s="249">
        <f t="shared" si="4"/>
        <v>21674.435063347519</v>
      </c>
      <c r="I9" s="317"/>
      <c r="K9" s="550" t="s">
        <v>348</v>
      </c>
      <c r="L9" s="550"/>
      <c r="M9" s="252">
        <v>1211</v>
      </c>
      <c r="N9" s="253"/>
      <c r="O9" s="254"/>
      <c r="P9" s="254"/>
    </row>
    <row r="10" spans="2:19" x14ac:dyDescent="0.25">
      <c r="B10" s="200">
        <f t="shared" si="5"/>
        <v>2030</v>
      </c>
      <c r="C10" s="247">
        <f t="shared" si="0"/>
        <v>13.426100855309103</v>
      </c>
      <c r="D10" s="248">
        <f t="shared" si="1"/>
        <v>34.14065646064315</v>
      </c>
      <c r="E10" s="249">
        <f t="shared" si="6"/>
        <v>30388.683935781632</v>
      </c>
      <c r="F10" s="249">
        <f t="shared" si="2"/>
        <v>6777.549416163457</v>
      </c>
      <c r="G10" s="249">
        <f t="shared" si="3"/>
        <v>37166.233351945091</v>
      </c>
      <c r="H10" s="249">
        <f t="shared" si="4"/>
        <v>20215.968404879281</v>
      </c>
      <c r="I10" s="317"/>
      <c r="K10" s="550" t="s">
        <v>349</v>
      </c>
      <c r="L10" s="550"/>
      <c r="M10" s="252">
        <v>2537</v>
      </c>
      <c r="N10" s="254"/>
      <c r="O10" s="254"/>
      <c r="P10" s="254"/>
    </row>
    <row r="11" spans="2:19" x14ac:dyDescent="0.25">
      <c r="B11" s="200">
        <f t="shared" si="5"/>
        <v>2031</v>
      </c>
      <c r="C11" s="247">
        <f t="shared" si="0"/>
        <v>13.399248653598486</v>
      </c>
      <c r="D11" s="248">
        <f t="shared" si="1"/>
        <v>34.072375147721864</v>
      </c>
      <c r="E11" s="249">
        <f t="shared" si="6"/>
        <v>30327.906567910068</v>
      </c>
      <c r="F11" s="249">
        <f t="shared" si="2"/>
        <v>6763.9943173311294</v>
      </c>
      <c r="G11" s="249">
        <f t="shared" si="3"/>
        <v>37091.900885241193</v>
      </c>
      <c r="H11" s="249">
        <f t="shared" si="4"/>
        <v>18855.641558943473</v>
      </c>
      <c r="I11" s="317"/>
      <c r="K11" s="550" t="s">
        <v>350</v>
      </c>
      <c r="L11" s="550"/>
      <c r="M11" s="252">
        <v>3421</v>
      </c>
      <c r="N11" s="254"/>
      <c r="O11" s="83"/>
      <c r="P11" s="254"/>
    </row>
    <row r="12" spans="2:19" x14ac:dyDescent="0.25">
      <c r="B12" s="200">
        <f t="shared" si="5"/>
        <v>2032</v>
      </c>
      <c r="C12" s="247">
        <f t="shared" si="0"/>
        <v>13.372450156291288</v>
      </c>
      <c r="D12" s="248">
        <f t="shared" si="1"/>
        <v>34.004230397426419</v>
      </c>
      <c r="E12" s="249">
        <f t="shared" si="6"/>
        <v>30267.250754774246</v>
      </c>
      <c r="F12" s="249">
        <f t="shared" si="2"/>
        <v>6750.4663286964678</v>
      </c>
      <c r="G12" s="249">
        <f t="shared" si="3"/>
        <v>37017.717083470714</v>
      </c>
      <c r="H12" s="249">
        <f t="shared" si="4"/>
        <v>17586.850725070639</v>
      </c>
      <c r="I12" s="317"/>
      <c r="O12" s="83"/>
    </row>
    <row r="13" spans="2:19" x14ac:dyDescent="0.25">
      <c r="B13" s="200">
        <f t="shared" si="5"/>
        <v>2033</v>
      </c>
      <c r="C13" s="247">
        <f t="shared" si="0"/>
        <v>13.345705255978705</v>
      </c>
      <c r="D13" s="248">
        <f t="shared" si="1"/>
        <v>33.936221936631568</v>
      </c>
      <c r="E13" s="249">
        <f t="shared" si="6"/>
        <v>30206.716253264698</v>
      </c>
      <c r="F13" s="249">
        <f t="shared" si="2"/>
        <v>6736.9653960390751</v>
      </c>
      <c r="G13" s="249">
        <f t="shared" si="3"/>
        <v>36943.681649303777</v>
      </c>
      <c r="H13" s="249">
        <f t="shared" si="4"/>
        <v>16403.436470673369</v>
      </c>
      <c r="I13" s="317"/>
      <c r="K13" s="6" t="s">
        <v>351</v>
      </c>
    </row>
    <row r="14" spans="2:19" ht="17.25" x14ac:dyDescent="0.25">
      <c r="B14" s="200">
        <f t="shared" si="5"/>
        <v>2034</v>
      </c>
      <c r="C14" s="247">
        <f t="shared" si="0"/>
        <v>13.319013845466749</v>
      </c>
      <c r="D14" s="248">
        <f t="shared" si="1"/>
        <v>33.868349492758306</v>
      </c>
      <c r="E14" s="249">
        <f t="shared" si="6"/>
        <v>30146.30282075817</v>
      </c>
      <c r="F14" s="249">
        <f t="shared" si="2"/>
        <v>6723.491465246997</v>
      </c>
      <c r="G14" s="249">
        <f t="shared" si="3"/>
        <v>36869.79428600517</v>
      </c>
      <c r="H14" s="249">
        <f t="shared" si="4"/>
        <v>15299.653829656094</v>
      </c>
      <c r="I14" s="317"/>
      <c r="K14" s="541" t="s">
        <v>352</v>
      </c>
      <c r="L14" s="541"/>
      <c r="M14" s="541"/>
      <c r="N14" s="255">
        <v>-2E-3</v>
      </c>
      <c r="O14" s="83"/>
      <c r="Q14" s="49"/>
      <c r="R14" s="49"/>
      <c r="S14" s="49"/>
    </row>
    <row r="15" spans="2:19" ht="17.25" x14ac:dyDescent="0.25">
      <c r="B15" s="200">
        <f t="shared" si="5"/>
        <v>2035</v>
      </c>
      <c r="C15" s="247">
        <f t="shared" si="0"/>
        <v>13.292375817775815</v>
      </c>
      <c r="D15" s="248">
        <f t="shared" si="1"/>
        <v>33.800612793772792</v>
      </c>
      <c r="E15" s="249">
        <f t="shared" si="6"/>
        <v>30086.010215116654</v>
      </c>
      <c r="F15" s="249">
        <f t="shared" si="2"/>
        <v>6710.0444823165035</v>
      </c>
      <c r="G15" s="249">
        <f t="shared" si="3"/>
        <v>36796.054697433159</v>
      </c>
      <c r="H15" s="249">
        <f t="shared" si="4"/>
        <v>14270.144413081105</v>
      </c>
      <c r="I15" s="317"/>
      <c r="K15" s="541" t="s">
        <v>353</v>
      </c>
      <c r="L15" s="541"/>
      <c r="M15" s="541"/>
      <c r="N15" s="256">
        <f>54.7%</f>
        <v>0.54700000000000004</v>
      </c>
      <c r="O15" s="83"/>
      <c r="Q15" s="257"/>
      <c r="R15" s="257"/>
      <c r="S15" s="257"/>
    </row>
    <row r="16" spans="2:19" ht="17.25" x14ac:dyDescent="0.25">
      <c r="B16" s="200">
        <f t="shared" si="5"/>
        <v>2036</v>
      </c>
      <c r="C16" s="247">
        <f t="shared" si="0"/>
        <v>13.265791066140265</v>
      </c>
      <c r="D16" s="248">
        <f t="shared" si="1"/>
        <v>33.733011568185248</v>
      </c>
      <c r="E16" s="249">
        <f t="shared" si="6"/>
        <v>30025.838194686425</v>
      </c>
      <c r="F16" s="249">
        <f t="shared" si="2"/>
        <v>6696.6243933518708</v>
      </c>
      <c r="G16" s="249">
        <f t="shared" si="3"/>
        <v>36722.462588038296</v>
      </c>
      <c r="H16" s="249">
        <f t="shared" si="4"/>
        <v>13309.910396499947</v>
      </c>
      <c r="I16" s="317"/>
      <c r="K16" s="541" t="s">
        <v>354</v>
      </c>
      <c r="L16" s="541"/>
      <c r="M16" s="541"/>
      <c r="N16" s="256">
        <v>7.0000000000000001E-3</v>
      </c>
      <c r="O16" s="83"/>
      <c r="Q16" s="257"/>
      <c r="R16" s="257"/>
      <c r="S16" s="257"/>
    </row>
    <row r="17" spans="1:20" ht="17.25" x14ac:dyDescent="0.25">
      <c r="B17" s="200">
        <f t="shared" si="5"/>
        <v>2037</v>
      </c>
      <c r="C17" s="247">
        <f t="shared" si="0"/>
        <v>13.239259484007983</v>
      </c>
      <c r="D17" s="248">
        <f t="shared" si="1"/>
        <v>33.665545545048872</v>
      </c>
      <c r="E17" s="249">
        <f t="shared" si="6"/>
        <v>29965.786518297049</v>
      </c>
      <c r="F17" s="249">
        <f t="shared" si="2"/>
        <v>6683.2311445651658</v>
      </c>
      <c r="G17" s="249">
        <f t="shared" si="3"/>
        <v>36649.017662862214</v>
      </c>
      <c r="H17" s="249">
        <f t="shared" si="4"/>
        <v>12414.290257670044</v>
      </c>
      <c r="I17" s="317"/>
      <c r="K17" s="541" t="s">
        <v>355</v>
      </c>
      <c r="L17" s="541"/>
      <c r="M17" s="541"/>
      <c r="N17" s="258">
        <v>0.5</v>
      </c>
      <c r="O17" s="259"/>
    </row>
    <row r="18" spans="1:20" ht="17.25" customHeight="1" x14ac:dyDescent="0.25">
      <c r="B18" s="200">
        <f t="shared" si="5"/>
        <v>2038</v>
      </c>
      <c r="C18" s="247">
        <f t="shared" si="0"/>
        <v>13.212780965039967</v>
      </c>
      <c r="D18" s="248">
        <f t="shared" si="1"/>
        <v>33.598214453958775</v>
      </c>
      <c r="E18" s="249">
        <f t="shared" si="6"/>
        <v>29905.854945260449</v>
      </c>
      <c r="F18" s="249">
        <f t="shared" si="2"/>
        <v>6669.8646822760365</v>
      </c>
      <c r="G18" s="249">
        <f t="shared" si="3"/>
        <v>36575.719627536484</v>
      </c>
      <c r="H18" s="249">
        <f t="shared" si="4"/>
        <v>11578.936146873553</v>
      </c>
      <c r="I18" s="317"/>
      <c r="K18" s="541" t="s">
        <v>357</v>
      </c>
      <c r="L18" s="541"/>
      <c r="M18" s="541"/>
      <c r="N18" s="261">
        <v>2.38</v>
      </c>
      <c r="O18" s="262"/>
    </row>
    <row r="19" spans="1:20" x14ac:dyDescent="0.25">
      <c r="B19" s="200">
        <f t="shared" si="5"/>
        <v>2039</v>
      </c>
      <c r="C19" s="247">
        <f t="shared" si="0"/>
        <v>13.186355403109889</v>
      </c>
      <c r="D19" s="248">
        <f t="shared" si="1"/>
        <v>33.531018025050862</v>
      </c>
      <c r="E19" s="249">
        <f t="shared" si="6"/>
        <v>29846.04323536994</v>
      </c>
      <c r="F19" s="249">
        <f t="shared" si="2"/>
        <v>6656.5249529114863</v>
      </c>
      <c r="G19" s="249">
        <f t="shared" si="3"/>
        <v>36502.568188281424</v>
      </c>
      <c r="H19" s="249">
        <f t="shared" si="4"/>
        <v>10799.79277998113</v>
      </c>
      <c r="I19" s="317"/>
      <c r="K19" s="50"/>
      <c r="L19" s="50"/>
      <c r="M19" s="50"/>
      <c r="N19" s="263"/>
    </row>
    <row r="20" spans="1:20" x14ac:dyDescent="0.25">
      <c r="B20" s="200">
        <f t="shared" si="5"/>
        <v>2040</v>
      </c>
      <c r="C20" s="247">
        <f t="shared" si="0"/>
        <v>13.159982692303668</v>
      </c>
      <c r="D20" s="248">
        <f t="shared" si="1"/>
        <v>33.463955989000759</v>
      </c>
      <c r="E20" s="249">
        <f t="shared" si="6"/>
        <v>29786.351148899197</v>
      </c>
      <c r="F20" s="249">
        <f t="shared" si="2"/>
        <v>6643.2119030056601</v>
      </c>
      <c r="G20" s="249">
        <f t="shared" si="3"/>
        <v>36429.563051904857</v>
      </c>
      <c r="H20" s="249">
        <f t="shared" si="4"/>
        <v>10073.077751795483</v>
      </c>
      <c r="I20" s="317"/>
      <c r="O20" s="83"/>
    </row>
    <row r="21" spans="1:20" ht="17.25" x14ac:dyDescent="0.25">
      <c r="B21" s="200">
        <f t="shared" si="5"/>
        <v>2041</v>
      </c>
      <c r="C21" s="247">
        <f t="shared" si="0"/>
        <v>13.133662726919061</v>
      </c>
      <c r="D21" s="248">
        <f t="shared" si="1"/>
        <v>33.39702807702276</v>
      </c>
      <c r="E21" s="249">
        <f t="shared" si="6"/>
        <v>29726.778446601398</v>
      </c>
      <c r="F21" s="249">
        <f t="shared" si="2"/>
        <v>6629.9254791996518</v>
      </c>
      <c r="G21" s="249">
        <f t="shared" si="3"/>
        <v>36356.703925801048</v>
      </c>
      <c r="H21" s="249">
        <f t="shared" si="4"/>
        <v>9395.2631741045716</v>
      </c>
      <c r="I21" s="317"/>
      <c r="K21" s="557" t="s">
        <v>360</v>
      </c>
      <c r="L21" s="557"/>
      <c r="M21" s="264" t="s">
        <v>361</v>
      </c>
      <c r="N21" s="264" t="s">
        <v>362</v>
      </c>
      <c r="O21" s="264" t="s">
        <v>363</v>
      </c>
      <c r="P21" s="49"/>
    </row>
    <row r="22" spans="1:20" ht="15.75" thickBot="1" x14ac:dyDescent="0.3">
      <c r="B22" s="200">
        <f t="shared" si="5"/>
        <v>2042</v>
      </c>
      <c r="C22" s="247">
        <f t="shared" si="0"/>
        <v>13.107395401465222</v>
      </c>
      <c r="D22" s="248">
        <f t="shared" si="1"/>
        <v>33.330234020868708</v>
      </c>
      <c r="E22" s="249">
        <f t="shared" si="6"/>
        <v>29667.32488970819</v>
      </c>
      <c r="F22" s="249">
        <f t="shared" si="2"/>
        <v>6616.6656282412505</v>
      </c>
      <c r="G22" s="249">
        <f t="shared" si="3"/>
        <v>36283.990517949438</v>
      </c>
      <c r="H22" s="249">
        <f t="shared" si="4"/>
        <v>8763.0585493050112</v>
      </c>
      <c r="I22" s="317"/>
      <c r="K22" s="551" t="s">
        <v>367</v>
      </c>
      <c r="L22" s="552"/>
      <c r="M22" s="266">
        <f>SUM(M9:M11)*N15*N16*N17</f>
        <v>13.725050500000002</v>
      </c>
      <c r="N22" s="266">
        <f>O22-M22</f>
        <v>34.900842700000005</v>
      </c>
      <c r="O22" s="266">
        <f>L39</f>
        <v>48.625893200000007</v>
      </c>
      <c r="P22" s="267"/>
      <c r="T22" s="83"/>
    </row>
    <row r="23" spans="1:20" ht="15.75" thickTop="1" x14ac:dyDescent="0.25">
      <c r="B23" s="200">
        <f t="shared" si="5"/>
        <v>2043</v>
      </c>
      <c r="C23" s="247">
        <f t="shared" si="0"/>
        <v>13.081180610662292</v>
      </c>
      <c r="D23" s="248">
        <f t="shared" si="1"/>
        <v>33.263573552826976</v>
      </c>
      <c r="E23" s="249">
        <f t="shared" si="6"/>
        <v>29607.990239928775</v>
      </c>
      <c r="F23" s="249">
        <f t="shared" si="2"/>
        <v>6603.432296984769</v>
      </c>
      <c r="G23" s="249">
        <f t="shared" si="3"/>
        <v>36211.422536913546</v>
      </c>
      <c r="H23" s="249">
        <f t="shared" si="4"/>
        <v>8173.3947964545814</v>
      </c>
      <c r="I23" s="317"/>
      <c r="K23" s="553" t="s">
        <v>368</v>
      </c>
      <c r="L23" s="554"/>
      <c r="M23" s="269">
        <f>SUM(M22:M22)</f>
        <v>13.725050500000002</v>
      </c>
      <c r="N23" s="269">
        <f>SUM(N22:N22)</f>
        <v>34.900842700000005</v>
      </c>
      <c r="O23" s="269">
        <f>SUM(O22:O22)</f>
        <v>48.625893200000007</v>
      </c>
      <c r="P23" s="83"/>
    </row>
    <row r="24" spans="1:20" x14ac:dyDescent="0.25">
      <c r="B24" s="200">
        <f t="shared" si="5"/>
        <v>2044</v>
      </c>
      <c r="C24" s="247">
        <f t="shared" si="0"/>
        <v>13.055018249440968</v>
      </c>
      <c r="D24" s="248">
        <f t="shared" si="1"/>
        <v>33.197046405721323</v>
      </c>
      <c r="E24" s="249">
        <f t="shared" si="6"/>
        <v>29548.774259448917</v>
      </c>
      <c r="F24" s="249">
        <f t="shared" si="2"/>
        <v>6590.2254323908001</v>
      </c>
      <c r="G24" s="249">
        <f t="shared" si="3"/>
        <v>36138.999691839716</v>
      </c>
      <c r="H24" s="249">
        <f t="shared" si="4"/>
        <v>7623.4093522071689</v>
      </c>
      <c r="I24" s="317"/>
      <c r="P24" s="270"/>
    </row>
    <row r="25" spans="1:20" x14ac:dyDescent="0.25">
      <c r="B25" s="200">
        <f>B24+1</f>
        <v>2045</v>
      </c>
      <c r="C25" s="247">
        <f t="shared" si="0"/>
        <v>13.028908212942087</v>
      </c>
      <c r="D25" s="248">
        <f t="shared" si="1"/>
        <v>33.130652312909874</v>
      </c>
      <c r="E25" s="249">
        <f t="shared" si="6"/>
        <v>29489.676710930027</v>
      </c>
      <c r="F25" s="249">
        <f t="shared" si="2"/>
        <v>6577.0449815260172</v>
      </c>
      <c r="G25" s="249">
        <f t="shared" si="3"/>
        <v>36066.721692456042</v>
      </c>
      <c r="H25" s="249">
        <f t="shared" si="4"/>
        <v>7110.432274301641</v>
      </c>
      <c r="I25" s="317"/>
      <c r="K25" s="272"/>
      <c r="L25" s="272"/>
      <c r="M25" s="272"/>
      <c r="N25" s="272"/>
      <c r="O25" s="272">
        <f>(49*1.2*1.77)*365</f>
        <v>37987.74</v>
      </c>
    </row>
    <row r="26" spans="1:20" ht="15.75" thickBot="1" x14ac:dyDescent="0.3">
      <c r="B26" s="201">
        <f>B25+1</f>
        <v>2046</v>
      </c>
      <c r="C26" s="273">
        <f t="shared" si="0"/>
        <v>13.002850396516202</v>
      </c>
      <c r="D26" s="274">
        <f t="shared" si="1"/>
        <v>33.064391008284055</v>
      </c>
      <c r="E26" s="275">
        <f t="shared" si="6"/>
        <v>29430.697357508165</v>
      </c>
      <c r="F26" s="275">
        <f t="shared" si="2"/>
        <v>6563.8908915629645</v>
      </c>
      <c r="G26" s="275">
        <f t="shared" si="3"/>
        <v>35994.58824907113</v>
      </c>
      <c r="H26" s="275">
        <f t="shared" si="4"/>
        <v>6631.9732801430255</v>
      </c>
      <c r="I26" s="317"/>
      <c r="K26" s="6" t="s">
        <v>370</v>
      </c>
      <c r="M26" s="272"/>
      <c r="N26" s="272"/>
      <c r="O26" s="272"/>
    </row>
    <row r="27" spans="1:20" ht="18" thickBot="1" x14ac:dyDescent="0.3">
      <c r="B27" s="4"/>
      <c r="C27" s="4"/>
      <c r="D27" s="4" t="s">
        <v>371</v>
      </c>
      <c r="E27" s="276">
        <f t="shared" ref="E27:F27" si="7">SUM(E7:E26)</f>
        <v>599955.92171305558</v>
      </c>
      <c r="F27" s="276">
        <f t="shared" si="7"/>
        <v>133807.40395085956</v>
      </c>
      <c r="G27" s="276">
        <f>SUM(G7:G26)</f>
        <v>733763.32566391525</v>
      </c>
      <c r="H27" s="276">
        <f>SUM(H7:H26)</f>
        <v>278332.41050993517</v>
      </c>
      <c r="K27" s="551" t="s">
        <v>372</v>
      </c>
      <c r="L27" s="555"/>
      <c r="M27" s="552"/>
      <c r="N27" s="277">
        <f>50*5</f>
        <v>250</v>
      </c>
      <c r="O27" s="83"/>
      <c r="P27" s="49"/>
      <c r="Q27" s="49"/>
      <c r="R27" s="49"/>
      <c r="S27" s="49"/>
    </row>
    <row r="28" spans="1:20" ht="17.25" x14ac:dyDescent="0.25">
      <c r="B28" s="4"/>
      <c r="C28" s="4"/>
      <c r="D28" s="4"/>
      <c r="E28" s="4"/>
      <c r="F28" s="278"/>
      <c r="G28" s="279"/>
      <c r="H28" s="279"/>
      <c r="I28" s="279"/>
      <c r="K28" s="550" t="s">
        <v>373</v>
      </c>
      <c r="L28" s="550"/>
      <c r="M28" s="550"/>
      <c r="N28" s="280">
        <v>2</v>
      </c>
      <c r="O28" s="83"/>
      <c r="P28" s="272"/>
    </row>
    <row r="29" spans="1:20" ht="17.25" x14ac:dyDescent="0.25">
      <c r="C29" s="281"/>
      <c r="D29" s="281"/>
      <c r="K29" s="556" t="s">
        <v>374</v>
      </c>
      <c r="L29" s="556"/>
      <c r="M29" s="556"/>
      <c r="N29" s="282">
        <v>21.6</v>
      </c>
      <c r="O29" s="83"/>
    </row>
    <row r="30" spans="1:20" ht="17.25" x14ac:dyDescent="0.25">
      <c r="C30" s="281"/>
      <c r="D30" s="281"/>
      <c r="K30" s="540" t="s">
        <v>744</v>
      </c>
      <c r="L30" s="540"/>
      <c r="M30" s="540"/>
      <c r="N30" s="283">
        <f>'Annualized Operations'!N22/60</f>
        <v>0.52393599999999985</v>
      </c>
      <c r="O30" s="83"/>
    </row>
    <row r="31" spans="1:20" ht="15" customHeight="1" x14ac:dyDescent="0.25">
      <c r="B31" s="6" t="s">
        <v>3</v>
      </c>
      <c r="J31" s="21"/>
      <c r="K31" s="541" t="s">
        <v>375</v>
      </c>
      <c r="L31" s="541"/>
      <c r="M31" s="541"/>
      <c r="N31" s="284">
        <v>0.4</v>
      </c>
    </row>
    <row r="32" spans="1:20" ht="15" customHeight="1" x14ac:dyDescent="0.25">
      <c r="A32" s="7" t="s">
        <v>20</v>
      </c>
      <c r="B32" s="503" t="s">
        <v>376</v>
      </c>
      <c r="C32" s="503"/>
      <c r="D32" s="503"/>
      <c r="E32" s="503"/>
      <c r="F32" s="503"/>
      <c r="G32" s="503"/>
      <c r="H32" s="503"/>
      <c r="I32" s="503"/>
      <c r="J32" s="21"/>
      <c r="K32" s="541" t="s">
        <v>377</v>
      </c>
      <c r="L32" s="541"/>
      <c r="M32" s="541"/>
      <c r="N32" s="280">
        <v>1.77</v>
      </c>
    </row>
    <row r="33" spans="1:16" ht="15" customHeight="1" x14ac:dyDescent="0.25">
      <c r="B33" s="503"/>
      <c r="C33" s="503"/>
      <c r="D33" s="503"/>
      <c r="E33" s="503"/>
      <c r="F33" s="503"/>
      <c r="G33" s="503"/>
      <c r="H33" s="503"/>
      <c r="I33" s="503"/>
      <c r="J33" s="21"/>
      <c r="K33" s="505"/>
      <c r="L33" s="505"/>
    </row>
    <row r="34" spans="1:16" ht="17.25" customHeight="1" x14ac:dyDescent="0.25">
      <c r="B34" s="503"/>
      <c r="C34" s="503"/>
      <c r="D34" s="503"/>
      <c r="E34" s="503"/>
      <c r="F34" s="503"/>
      <c r="G34" s="503"/>
      <c r="H34" s="503"/>
      <c r="I34" s="503"/>
      <c r="J34" s="21"/>
      <c r="K34" s="22" t="s">
        <v>379</v>
      </c>
    </row>
    <row r="35" spans="1:16" ht="17.25" customHeight="1" x14ac:dyDescent="0.25">
      <c r="J35" s="21"/>
      <c r="K35" s="551"/>
      <c r="L35" s="552"/>
      <c r="M35" s="286">
        <v>1</v>
      </c>
      <c r="N35" s="83"/>
    </row>
    <row r="36" spans="1:16" ht="17.25" customHeight="1" x14ac:dyDescent="0.25">
      <c r="A36" s="7" t="s">
        <v>19</v>
      </c>
      <c r="B36" s="503" t="s">
        <v>382</v>
      </c>
      <c r="C36" s="503"/>
      <c r="D36" s="503"/>
      <c r="E36" s="503"/>
      <c r="F36" s="503"/>
      <c r="G36" s="503"/>
      <c r="H36" s="503"/>
      <c r="I36" s="503"/>
      <c r="M36" s="39"/>
      <c r="N36" s="83"/>
    </row>
    <row r="37" spans="1:16" ht="15" customHeight="1" x14ac:dyDescent="0.25">
      <c r="B37" s="503"/>
      <c r="C37" s="503"/>
      <c r="D37" s="503"/>
      <c r="E37" s="503"/>
      <c r="F37" s="503"/>
      <c r="G37" s="503"/>
      <c r="H37" s="503"/>
      <c r="I37" s="503"/>
      <c r="K37" s="519" t="s">
        <v>359</v>
      </c>
      <c r="L37" s="519"/>
      <c r="M37" s="519"/>
    </row>
    <row r="38" spans="1:16" ht="17.25" customHeight="1" x14ac:dyDescent="0.25">
      <c r="C38" s="320"/>
      <c r="D38" s="320"/>
      <c r="E38" s="320"/>
      <c r="F38" s="320"/>
      <c r="G38" s="320"/>
      <c r="H38" s="320"/>
      <c r="I38" s="320"/>
      <c r="K38" s="265" t="s">
        <v>364</v>
      </c>
      <c r="L38" s="265" t="s">
        <v>365</v>
      </c>
      <c r="M38" s="265" t="s">
        <v>366</v>
      </c>
    </row>
    <row r="39" spans="1:16" ht="15" customHeight="1" x14ac:dyDescent="0.25">
      <c r="A39" s="7" t="s">
        <v>88</v>
      </c>
      <c r="B39" s="559" t="s">
        <v>385</v>
      </c>
      <c r="C39" s="559"/>
      <c r="D39" s="559"/>
      <c r="E39" s="559"/>
      <c r="F39" s="559"/>
      <c r="G39" s="559"/>
      <c r="H39" s="559"/>
      <c r="I39" s="559"/>
      <c r="K39" s="268">
        <f>N16*SUM(M9:M11)*N15</f>
        <v>27.450101000000004</v>
      </c>
      <c r="L39" s="268">
        <f>(0.004+1.2*N16)*SUM(M9:M11)*N15</f>
        <v>48.625893200000007</v>
      </c>
      <c r="M39" s="268">
        <f>(0.006+3*N16)*SUM(M9:M11)*N15</f>
        <v>105.87896100000002</v>
      </c>
      <c r="N39" s="83"/>
    </row>
    <row r="40" spans="1:16" ht="15" customHeight="1" x14ac:dyDescent="0.25">
      <c r="B40" s="559"/>
      <c r="C40" s="559"/>
      <c r="D40" s="559"/>
      <c r="E40" s="559"/>
      <c r="F40" s="559"/>
      <c r="G40" s="559"/>
      <c r="H40" s="559"/>
      <c r="I40" s="559"/>
      <c r="K40" s="268">
        <f>N16*N15*(M9*(2.93-1)+M10*(2.11-1)+M11*(1.39-1))</f>
        <v>24.840599209999997</v>
      </c>
      <c r="L40" s="268">
        <f>(0.004+1.2*N16)*N15*(M9*1.93+M10*1.11+M11*0.39)</f>
        <v>44.003347171999998</v>
      </c>
      <c r="M40" s="268">
        <f>(0.006+3*N16)*N15*(M9*1.93+M10*1.11+M11*0.39)</f>
        <v>95.813739810000015</v>
      </c>
      <c r="N40" s="83"/>
    </row>
    <row r="41" spans="1:16" ht="15" customHeight="1" x14ac:dyDescent="0.25">
      <c r="L41" s="271" t="s">
        <v>369</v>
      </c>
    </row>
    <row r="42" spans="1:16" ht="15" customHeight="1" x14ac:dyDescent="0.25">
      <c r="A42" s="7" t="s">
        <v>387</v>
      </c>
      <c r="B42" s="560" t="s">
        <v>388</v>
      </c>
      <c r="C42" s="560"/>
      <c r="D42" s="560"/>
      <c r="E42" s="560"/>
      <c r="F42" s="560"/>
      <c r="G42" s="560"/>
      <c r="H42" s="560"/>
      <c r="I42" s="560"/>
      <c r="O42" s="83"/>
    </row>
    <row r="43" spans="1:16" ht="17.25" customHeight="1" x14ac:dyDescent="0.25">
      <c r="B43" s="560"/>
      <c r="C43" s="560"/>
      <c r="D43" s="560"/>
      <c r="E43" s="560"/>
      <c r="F43" s="560"/>
      <c r="G43" s="560"/>
      <c r="H43" s="560"/>
      <c r="I43" s="560"/>
      <c r="K43" s="260" t="s">
        <v>356</v>
      </c>
    </row>
    <row r="44" spans="1:16" ht="17.25" customHeight="1" x14ac:dyDescent="0.25">
      <c r="K44" s="558" t="s">
        <v>358</v>
      </c>
      <c r="L44" s="558"/>
      <c r="M44" s="558"/>
      <c r="N44" s="558"/>
      <c r="O44" s="558"/>
      <c r="P44" s="558"/>
    </row>
    <row r="45" spans="1:16" ht="17.25" customHeight="1" x14ac:dyDescent="0.25">
      <c r="A45" s="7" t="s">
        <v>89</v>
      </c>
      <c r="B45" s="503" t="s">
        <v>390</v>
      </c>
      <c r="C45" s="503"/>
      <c r="D45" s="503"/>
      <c r="E45" s="503"/>
      <c r="F45" s="503"/>
      <c r="G45" s="503"/>
      <c r="H45" s="503"/>
      <c r="I45" s="503"/>
      <c r="K45" s="558"/>
      <c r="L45" s="558"/>
      <c r="M45" s="558"/>
      <c r="N45" s="558"/>
      <c r="O45" s="558"/>
      <c r="P45" s="558"/>
    </row>
    <row r="46" spans="1:16" ht="17.25" customHeight="1" x14ac:dyDescent="0.25">
      <c r="B46" s="503"/>
      <c r="C46" s="503"/>
      <c r="D46" s="503"/>
      <c r="E46" s="503"/>
      <c r="F46" s="503"/>
      <c r="G46" s="503"/>
      <c r="H46" s="503"/>
      <c r="I46" s="503"/>
      <c r="K46" s="558"/>
      <c r="L46" s="558"/>
      <c r="M46" s="558"/>
      <c r="N46" s="558"/>
      <c r="O46" s="558"/>
      <c r="P46" s="558"/>
    </row>
    <row r="47" spans="1:16" ht="17.25" customHeight="1" x14ac:dyDescent="0.25">
      <c r="B47" s="503"/>
      <c r="C47" s="503"/>
      <c r="D47" s="503"/>
      <c r="E47" s="503"/>
      <c r="F47" s="503"/>
      <c r="G47" s="503"/>
      <c r="H47" s="503"/>
      <c r="I47" s="503"/>
      <c r="K47" s="285" t="s">
        <v>378</v>
      </c>
    </row>
    <row r="48" spans="1:16" x14ac:dyDescent="0.25">
      <c r="A48" s="7" t="s">
        <v>391</v>
      </c>
      <c r="B48" s="503" t="s">
        <v>392</v>
      </c>
      <c r="C48" s="503"/>
      <c r="D48" s="503"/>
      <c r="E48" s="503"/>
      <c r="F48" s="503"/>
      <c r="G48" s="503"/>
      <c r="H48" s="503"/>
      <c r="I48" s="503"/>
      <c r="K48" s="285" t="s">
        <v>380</v>
      </c>
    </row>
    <row r="49" spans="1:26" ht="15" customHeight="1" x14ac:dyDescent="0.25">
      <c r="B49" s="321"/>
      <c r="C49" s="321"/>
      <c r="D49" s="321"/>
      <c r="E49" s="321"/>
      <c r="F49" s="321"/>
      <c r="G49" s="321"/>
      <c r="H49" s="321"/>
      <c r="I49" s="321"/>
      <c r="K49" s="285" t="s">
        <v>381</v>
      </c>
      <c r="L49" s="315"/>
      <c r="M49" s="315"/>
      <c r="N49" s="315"/>
    </row>
    <row r="50" spans="1:26" ht="15" customHeight="1" x14ac:dyDescent="0.25">
      <c r="A50" s="7" t="s">
        <v>394</v>
      </c>
      <c r="B50" s="503" t="s">
        <v>395</v>
      </c>
      <c r="C50" s="503"/>
      <c r="D50" s="503"/>
      <c r="E50" s="503"/>
      <c r="F50" s="503"/>
      <c r="G50" s="503"/>
      <c r="H50" s="503"/>
      <c r="I50" s="503"/>
      <c r="K50" s="285" t="s">
        <v>383</v>
      </c>
      <c r="L50" s="315"/>
      <c r="M50" s="315"/>
      <c r="N50" s="315"/>
    </row>
    <row r="51" spans="1:26" ht="17.25" customHeight="1" x14ac:dyDescent="0.25">
      <c r="B51" s="503"/>
      <c r="C51" s="503"/>
      <c r="D51" s="503"/>
      <c r="E51" s="503"/>
      <c r="F51" s="503"/>
      <c r="G51" s="503"/>
      <c r="H51" s="503"/>
      <c r="I51" s="503"/>
      <c r="K51" s="285" t="s">
        <v>384</v>
      </c>
    </row>
    <row r="52" spans="1:26" ht="17.25" customHeight="1" x14ac:dyDescent="0.25">
      <c r="K52" s="285" t="s">
        <v>386</v>
      </c>
      <c r="O52" s="50"/>
    </row>
    <row r="53" spans="1:26" ht="15" customHeight="1" x14ac:dyDescent="0.25">
      <c r="A53" s="7" t="s">
        <v>396</v>
      </c>
      <c r="B53" s="490" t="s">
        <v>397</v>
      </c>
      <c r="C53" s="490"/>
      <c r="D53" s="490"/>
      <c r="E53" s="490"/>
      <c r="F53" s="490"/>
      <c r="G53" s="490"/>
      <c r="H53" s="490"/>
      <c r="I53" s="490"/>
      <c r="K53" s="285" t="s">
        <v>378</v>
      </c>
      <c r="O53" s="50"/>
      <c r="U53" s="287"/>
      <c r="V53" s="287"/>
      <c r="W53" s="287"/>
      <c r="X53" s="287"/>
    </row>
    <row r="54" spans="1:26" ht="15" customHeight="1" x14ac:dyDescent="0.25">
      <c r="B54" s="490"/>
      <c r="C54" s="490"/>
      <c r="D54" s="490"/>
      <c r="E54" s="490"/>
      <c r="F54" s="490"/>
      <c r="G54" s="490"/>
      <c r="H54" s="490"/>
      <c r="I54" s="490"/>
      <c r="K54" s="260" t="s">
        <v>389</v>
      </c>
      <c r="U54" s="288"/>
      <c r="V54" s="288"/>
      <c r="W54" s="288"/>
      <c r="X54" s="288"/>
      <c r="Y54" s="289"/>
      <c r="Z54" s="289"/>
    </row>
    <row r="55" spans="1:26" ht="15" customHeight="1" x14ac:dyDescent="0.25">
      <c r="K55" s="260" t="s">
        <v>389</v>
      </c>
      <c r="U55" s="289"/>
      <c r="V55" s="289"/>
      <c r="W55" s="289"/>
      <c r="X55" s="289"/>
      <c r="Y55" s="289"/>
      <c r="Z55" s="289"/>
    </row>
    <row r="56" spans="1:26" ht="16.5" customHeight="1" x14ac:dyDescent="0.25">
      <c r="H56" s="21"/>
      <c r="I56" s="21"/>
      <c r="K56" s="285" t="s">
        <v>393</v>
      </c>
      <c r="T56" s="289"/>
      <c r="U56" s="289"/>
      <c r="V56" s="289"/>
      <c r="W56" s="289"/>
      <c r="X56" s="289"/>
      <c r="Y56" s="289"/>
      <c r="Z56" s="289"/>
    </row>
    <row r="57" spans="1:26" x14ac:dyDescent="0.25">
      <c r="H57" s="21"/>
      <c r="K57" s="285" t="s">
        <v>378</v>
      </c>
    </row>
    <row r="58" spans="1:26" ht="15" customHeight="1" x14ac:dyDescent="0.25">
      <c r="H58" s="21"/>
      <c r="K58" s="260" t="s">
        <v>389</v>
      </c>
    </row>
    <row r="59" spans="1:26" ht="18" customHeight="1" x14ac:dyDescent="0.25">
      <c r="H59" s="21"/>
      <c r="K59" s="288" t="s">
        <v>398</v>
      </c>
    </row>
    <row r="60" spans="1:26" x14ac:dyDescent="0.25">
      <c r="B60" s="21"/>
      <c r="C60" s="21"/>
      <c r="D60" s="21"/>
      <c r="E60" s="21"/>
      <c r="F60" s="21"/>
      <c r="G60" s="21"/>
      <c r="H60" s="21"/>
      <c r="I60" s="21"/>
      <c r="K60" s="285" t="s">
        <v>378</v>
      </c>
    </row>
    <row r="61" spans="1:26" x14ac:dyDescent="0.25">
      <c r="C61" s="21"/>
      <c r="D61" s="21"/>
      <c r="E61" s="21"/>
      <c r="F61" s="21"/>
      <c r="G61" s="21"/>
      <c r="H61" s="21"/>
    </row>
    <row r="62" spans="1:26" ht="15" customHeight="1" x14ac:dyDescent="0.25">
      <c r="G62"/>
      <c r="H62"/>
    </row>
    <row r="64" spans="1:26" x14ac:dyDescent="0.25">
      <c r="T64" s="260"/>
    </row>
    <row r="65" ht="15" customHeight="1" x14ac:dyDescent="0.25"/>
  </sheetData>
  <mergeCells count="39">
    <mergeCell ref="B48:I48"/>
    <mergeCell ref="B50:I51"/>
    <mergeCell ref="B53:I54"/>
    <mergeCell ref="K44:P46"/>
    <mergeCell ref="B32:I34"/>
    <mergeCell ref="K32:M32"/>
    <mergeCell ref="K33:L33"/>
    <mergeCell ref="K35:L35"/>
    <mergeCell ref="B45:I47"/>
    <mergeCell ref="B39:I40"/>
    <mergeCell ref="B42:I43"/>
    <mergeCell ref="K37:M37"/>
    <mergeCell ref="B36:I37"/>
    <mergeCell ref="K21:L21"/>
    <mergeCell ref="K15:M15"/>
    <mergeCell ref="K16:M16"/>
    <mergeCell ref="K17:M17"/>
    <mergeCell ref="K18:M18"/>
    <mergeCell ref="K30:M30"/>
    <mergeCell ref="K31:M31"/>
    <mergeCell ref="C4:D4"/>
    <mergeCell ref="G4:H4"/>
    <mergeCell ref="G5:G6"/>
    <mergeCell ref="H5:H6"/>
    <mergeCell ref="K8:L8"/>
    <mergeCell ref="K9:L9"/>
    <mergeCell ref="K10:L10"/>
    <mergeCell ref="K11:L11"/>
    <mergeCell ref="K14:M14"/>
    <mergeCell ref="K22:L22"/>
    <mergeCell ref="K23:L23"/>
    <mergeCell ref="K27:M27"/>
    <mergeCell ref="K28:M28"/>
    <mergeCell ref="K29:M29"/>
    <mergeCell ref="B5:B6"/>
    <mergeCell ref="C5:C6"/>
    <mergeCell ref="D5:D6"/>
    <mergeCell ref="E5:E6"/>
    <mergeCell ref="F5:F6"/>
  </mergeCells>
  <pageMargins left="0.7" right="0.7" top="0.75" bottom="0.75" header="0.3" footer="0.3"/>
  <pageSetup scale="20" orientation="portrait" horizontalDpi="3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m W V S U L 6 8 F Z + o A A A A + A A A A B I A H A B D b 2 5 m a W c v U G F j a 2 F n Z S 5 4 b W w g o h g A K K A U A A A A A A A A A A A A A A A A A A A A A A A A A A A A h Y 9 B D o I w F E S v Q r q n L Q g q 5 F M W b i U x I R q 3 D V R o h G J o s d z N h U f y C p I o 6 s 7 l T N 4 k b x 6 3 O 6 R j 2 z h X 0 W v Z q Q R 5 m C J H q K I r p a o S N J i T u 0 Y p g x 0 v z r w S z g Q r H Y 9 a J q g 2 5 h I T Y q 3 F d o G 7 v i I + p R 4 5 Z t u 8 q E X L X a m 0 4 a o Q 6 L M q / 6 8 Q g 8 N L h v l 4 F e J w G U Q 4 C j w g c w 2 Z V F / E n 4 w x B f J T w m Z o z N A L J p S 7 z 4 H M E c j 7 B X s C U E s D B B Q A A g A I A J l l U l 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Z Z V J Q K I p H u A 4 A A A A R A A A A E w A c A E Z v c m 1 1 b G F z L 1 N l Y 3 R p b 2 4 x L m 0 g o h g A K K A U A A A A A A A A A A A A A A A A A A A A A A A A A A A A K 0 5 N L s n M z 1 M I h t C G 1 g B Q S w E C L Q A U A A I A C A C Z Z V J Q v r w V n 6 g A A A D 4 A A A A E g A A A A A A A A A A A A A A A A A A A A A A Q 2 9 u Z m l n L 1 B h Y 2 t h Z 2 U u e G 1 s U E s B A i 0 A F A A C A A g A m W V S U A / K 6 a u k A A A A 6 Q A A A B M A A A A A A A A A A A A A A A A A 9 A A A A F t D b 2 5 0 Z W 5 0 X 1 R 5 c G V z X S 5 4 b W x Q S w E C L Q A U A A I A C A C Z Z V J 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b P w f 6 H S W H k 2 k 6 O 1 c W / h y s Q A A A A A C A A A A A A A D Z g A A w A A A A B A A A A A Y W K e X P y v h U O f D z J K 1 o Y 9 7 A A A A A A S A A A C g A A A A E A A A A I K x K S a W z q w L A Q 9 9 h v q y D W t Q A A A A m c S y Q r s U 1 V x W 7 l 7 8 G F U e t Z X W s W s p I a 5 + j 0 2 q r y z 9 R y u / N 3 x F H 3 8 K N 4 P H d o O 2 K k r f 7 c F L u v G B Y e 5 / + W p 0 h 2 + / j A s G 2 9 u R M 8 k f 8 2 l o r L J z L 6 8 U A A A A O 5 5 3 s / I L i C x 9 Y m P 9 u k d V Z J F k I 7 w = < / D a t a M a s h u p > 
</file>

<file path=customXml/itemProps1.xml><?xml version="1.0" encoding="utf-8"?>
<ds:datastoreItem xmlns:ds="http://schemas.openxmlformats.org/officeDocument/2006/customXml" ds:itemID="{DD0C0C97-B770-489B-BA56-8E9FDB35152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Assumptions</vt:lpstr>
      <vt:lpstr>BCA Summary</vt:lpstr>
      <vt:lpstr>Annualized Operations</vt:lpstr>
      <vt:lpstr>Delay Reduction Savings</vt:lpstr>
      <vt:lpstr>Corridor Travel Time Savings</vt:lpstr>
      <vt:lpstr>Operating Cost-Roughness</vt:lpstr>
      <vt:lpstr>Operating Costs-Fuel</vt:lpstr>
      <vt:lpstr>Crash Costs</vt:lpstr>
      <vt:lpstr>Quality of Life Benefits </vt:lpstr>
      <vt:lpstr>Pedestrian Amenities</vt:lpstr>
      <vt:lpstr>Air Quality</vt:lpstr>
      <vt:lpstr>Operation and Maintenance</vt:lpstr>
      <vt:lpstr>Capital Costs</vt:lpstr>
      <vt:lpstr>AADTS</vt:lpstr>
      <vt:lpstr>Intersections</vt:lpstr>
      <vt:lpstr>Segments</vt:lpstr>
      <vt:lpstr>AADTS!Print_Area</vt:lpstr>
      <vt:lpstr>'Air Quality'!Print_Area</vt:lpstr>
      <vt:lpstr>Assumptions!Print_Area</vt:lpstr>
      <vt:lpstr>'Capital Costs'!Print_Area</vt:lpstr>
      <vt:lpstr>'Corridor Travel Time Savings'!Print_Area</vt:lpstr>
      <vt:lpstr>'Crash Costs'!Print_Area</vt:lpstr>
      <vt:lpstr>'Delay Reduction Savings'!Print_Area</vt:lpstr>
      <vt:lpstr>'Operating Cost-Roughness'!Print_Area</vt:lpstr>
      <vt:lpstr>'Operating Costs-Fuel'!Print_Area</vt:lpstr>
      <vt:lpstr>'Operation and Maintenance'!Print_Area</vt:lpstr>
      <vt:lpstr>'Pedestrian Amenities'!Print_Area</vt:lpstr>
    </vt:vector>
  </TitlesOfParts>
  <Company>SRF Consulting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Loos</dc:creator>
  <cp:lastModifiedBy>Erik Kappelman</cp:lastModifiedBy>
  <cp:lastPrinted>2019-03-04T18:55:28Z</cp:lastPrinted>
  <dcterms:created xsi:type="dcterms:W3CDTF">2013-05-17T20:57:43Z</dcterms:created>
  <dcterms:modified xsi:type="dcterms:W3CDTF">2023-02-24T20:25:41Z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m_Crash_Cost" linkTarget="Prop_Dam_Crash_Cost">
    <vt:r8>0</vt:r8>
  </property>
</Properties>
</file>