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K:\Trans\Grant Applications\2022 Grants\RAISE\Maple Grove\BCA\Final\"/>
    </mc:Choice>
  </mc:AlternateContent>
  <xr:revisionPtr revIDLastSave="0" documentId="13_ncr:1_{164945AB-C175-4C07-954E-5F5BDE3F900F}" xr6:coauthVersionLast="47" xr6:coauthVersionMax="47" xr10:uidLastSave="{00000000-0000-0000-0000-000000000000}"/>
  <bookViews>
    <workbookView xWindow="-28920" yWindow="-1380" windowWidth="29040" windowHeight="15840" tabRatio="872" activeTab="10" xr2:uid="{00000000-000D-0000-FFFF-FFFF00000000}"/>
  </bookViews>
  <sheets>
    <sheet name="Assumptions" sheetId="51" r:id="rId1"/>
    <sheet name="BCA Summary" sheetId="12" r:id="rId2"/>
    <sheet name="Annualized Operations" sheetId="47" r:id="rId3"/>
    <sheet name="VMT-VHT" sheetId="57" r:id="rId4"/>
    <sheet name="Travel Time Cost Savings" sheetId="46" r:id="rId5"/>
    <sheet name="Operating Cost Savings" sheetId="55" r:id="rId6"/>
    <sheet name="Safety Benefits" sheetId="52" r:id="rId7"/>
    <sheet name="Air Quality" sheetId="58" r:id="rId8"/>
    <sheet name="Quality of Life Benefits " sheetId="60" r:id="rId9"/>
    <sheet name="Capital Costs" sheetId="8" r:id="rId10"/>
    <sheet name="Maintenance" sheetId="56" r:id="rId11"/>
    <sheet name="RCV Calculator" sheetId="10" r:id="rId12"/>
  </sheets>
  <externalReferences>
    <externalReference r:id="rId13"/>
    <externalReference r:id="rId14"/>
    <externalReference r:id="rId15"/>
    <externalReference r:id="rId16"/>
    <externalReference r:id="rId17"/>
    <externalReference r:id="rId18"/>
  </externalReferences>
  <definedNames>
    <definedName name="BCAnalysisPeriod" localSheetId="5">[1]Assumptions!#REF!</definedName>
    <definedName name="BCAnalysisPeriod" localSheetId="8">[2]Assumptions!#REF!</definedName>
    <definedName name="BCAnalysisPeriod">[1]Assumptions!#REF!</definedName>
    <definedName name="_xlnm.Print_Area" localSheetId="7">'Air Quality'!$A$3:$W$53</definedName>
    <definedName name="_xlnm.Print_Area" localSheetId="2">'Annualized Operations'!$A$8:$L$33</definedName>
    <definedName name="_xlnm.Print_Area" localSheetId="0">Assumptions!$A$1:$F$21</definedName>
    <definedName name="_xlnm.Print_Area" localSheetId="1">'BCA Summary'!$A$1:$M$71</definedName>
    <definedName name="_xlnm.Print_Area" localSheetId="9">'Capital Costs'!$A$2:$P$49</definedName>
    <definedName name="_xlnm.Print_Area" localSheetId="10">Maintenance!$A$1:$H$30</definedName>
    <definedName name="_xlnm.Print_Area" localSheetId="5">'Operating Cost Savings'!$A$2:$Q$43</definedName>
    <definedName name="_xlnm.Print_Area" localSheetId="8">'Quality of Life Benefits '!$A$2:$AK$68</definedName>
    <definedName name="_xlnm.Print_Area" localSheetId="6">'Safety Benefits'!$A$1:$L$46</definedName>
    <definedName name="_xlnm.Print_Area" localSheetId="4">'Travel Time Cost Savings'!$A$2:$N$55</definedName>
    <definedName name="TruckCost" localSheetId="5">[1]Assumptions!#REF!</definedName>
    <definedName name="TruckCost" localSheetId="8">[2]Assumptions!#REF!</definedName>
    <definedName name="TruckCost">[1]Assumptions!#REF!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9" i="12" l="1"/>
  <c r="J10" i="12"/>
  <c r="J11" i="12"/>
  <c r="J12" i="12"/>
  <c r="J13" i="12"/>
  <c r="J14" i="12"/>
  <c r="J15" i="12"/>
  <c r="J16" i="12"/>
  <c r="J17" i="12"/>
  <c r="J18" i="12"/>
  <c r="J19" i="12"/>
  <c r="J20" i="12"/>
  <c r="J21" i="12"/>
  <c r="J22" i="12"/>
  <c r="J23" i="12"/>
  <c r="J24" i="12"/>
  <c r="J25" i="12"/>
  <c r="J26" i="12"/>
  <c r="J27" i="12"/>
  <c r="J28" i="12"/>
  <c r="J9" i="12"/>
  <c r="K9" i="12" s="1"/>
  <c r="C5" i="56"/>
  <c r="C6" i="56"/>
  <c r="C7" i="56"/>
  <c r="C8" i="56"/>
  <c r="C9" i="56"/>
  <c r="C10" i="56"/>
  <c r="C11" i="56"/>
  <c r="C12" i="56"/>
  <c r="C13" i="56"/>
  <c r="C14" i="56"/>
  <c r="C15" i="56"/>
  <c r="C16" i="56"/>
  <c r="C17" i="56"/>
  <c r="C18" i="56"/>
  <c r="C19" i="56"/>
  <c r="C20" i="56"/>
  <c r="C21" i="56"/>
  <c r="C22" i="56"/>
  <c r="C23" i="56"/>
  <c r="C24" i="56"/>
  <c r="K7" i="55" l="1"/>
  <c r="R14" i="60"/>
  <c r="Y9" i="60"/>
  <c r="X8" i="60"/>
  <c r="Y8" i="60"/>
  <c r="W8" i="60"/>
  <c r="X7" i="60"/>
  <c r="Y7" i="60"/>
  <c r="W7" i="60"/>
  <c r="J29" i="8"/>
  <c r="J36" i="8"/>
  <c r="D40" i="12"/>
  <c r="C40" i="12"/>
  <c r="J17" i="8"/>
  <c r="J18" i="8"/>
  <c r="J19" i="8"/>
  <c r="J20" i="8"/>
  <c r="J21" i="8"/>
  <c r="J16" i="8"/>
  <c r="L17" i="8"/>
  <c r="L18" i="8"/>
  <c r="L19" i="8"/>
  <c r="L20" i="8"/>
  <c r="L21" i="8"/>
  <c r="L16" i="8"/>
  <c r="E8" i="8"/>
  <c r="F8" i="8" s="1"/>
  <c r="B40" i="12"/>
  <c r="B41" i="12"/>
  <c r="B7" i="12"/>
  <c r="F9" i="8"/>
  <c r="E9" i="8"/>
  <c r="C8" i="8" l="1"/>
  <c r="D8" i="8" s="1"/>
  <c r="R15" i="60" l="1"/>
  <c r="H29" i="12"/>
  <c r="B7" i="60"/>
  <c r="B8" i="60" s="1"/>
  <c r="B9" i="60" s="1"/>
  <c r="B10" i="60" s="1"/>
  <c r="B11" i="60" s="1"/>
  <c r="B12" i="60" s="1"/>
  <c r="B13" i="60" s="1"/>
  <c r="B14" i="60" s="1"/>
  <c r="B15" i="60" s="1"/>
  <c r="B16" i="60" s="1"/>
  <c r="B17" i="60" s="1"/>
  <c r="B18" i="60" s="1"/>
  <c r="B19" i="60" s="1"/>
  <c r="B20" i="60" s="1"/>
  <c r="B21" i="60" s="1"/>
  <c r="B22" i="60" s="1"/>
  <c r="B23" i="60" s="1"/>
  <c r="B24" i="60" s="1"/>
  <c r="B25" i="60" s="1"/>
  <c r="B26" i="60" s="1"/>
  <c r="P5" i="60"/>
  <c r="R18" i="60" s="1"/>
  <c r="Q55" i="60"/>
  <c r="R51" i="60"/>
  <c r="R50" i="60"/>
  <c r="R46" i="60"/>
  <c r="R42" i="60"/>
  <c r="R41" i="60"/>
  <c r="R36" i="60"/>
  <c r="R33" i="60"/>
  <c r="O7" i="58"/>
  <c r="N7" i="58"/>
  <c r="M7" i="58"/>
  <c r="L7" i="58"/>
  <c r="K7" i="58"/>
  <c r="J7" i="58"/>
  <c r="I7" i="58"/>
  <c r="H7" i="58" a="1"/>
  <c r="H7" i="58" s="1"/>
  <c r="G7" i="58" a="1"/>
  <c r="G7" i="58" s="1"/>
  <c r="F7" i="58" a="1"/>
  <c r="F7" i="58" s="1"/>
  <c r="E7" i="58"/>
  <c r="D7" i="58"/>
  <c r="C7" i="58" a="1"/>
  <c r="C7" i="58" s="1"/>
  <c r="V23" i="60" l="1"/>
  <c r="S23" i="60" s="1"/>
  <c r="Q23" i="60"/>
  <c r="Q29" i="60" s="1"/>
  <c r="V22" i="60"/>
  <c r="S22" i="60" s="1"/>
  <c r="Q22" i="60"/>
  <c r="U22" i="60"/>
  <c r="W23" i="60"/>
  <c r="W22" i="60"/>
  <c r="U23" i="60"/>
  <c r="K8" i="55"/>
  <c r="E26" i="60" l="1"/>
  <c r="E25" i="60"/>
  <c r="E23" i="60"/>
  <c r="E13" i="60"/>
  <c r="E12" i="60"/>
  <c r="E11" i="60"/>
  <c r="E9" i="60"/>
  <c r="E7" i="60"/>
  <c r="E24" i="60"/>
  <c r="E22" i="60"/>
  <c r="E21" i="60"/>
  <c r="E20" i="60"/>
  <c r="E19" i="60"/>
  <c r="E18" i="60"/>
  <c r="E17" i="60"/>
  <c r="E16" i="60"/>
  <c r="E15" i="60"/>
  <c r="E14" i="60"/>
  <c r="E10" i="60"/>
  <c r="E8" i="60"/>
  <c r="C26" i="60"/>
  <c r="G26" i="60" s="1"/>
  <c r="C25" i="60"/>
  <c r="G25" i="60" s="1"/>
  <c r="Q24" i="60"/>
  <c r="C24" i="60"/>
  <c r="G24" i="60" s="1"/>
  <c r="C22" i="60"/>
  <c r="G22" i="60" s="1"/>
  <c r="C21" i="60"/>
  <c r="G21" i="60" s="1"/>
  <c r="C20" i="60"/>
  <c r="G20" i="60" s="1"/>
  <c r="C19" i="60"/>
  <c r="G19" i="60" s="1"/>
  <c r="C18" i="60"/>
  <c r="G18" i="60" s="1"/>
  <c r="C17" i="60"/>
  <c r="G17" i="60" s="1"/>
  <c r="C16" i="60"/>
  <c r="G16" i="60" s="1"/>
  <c r="C10" i="60"/>
  <c r="G10" i="60" s="1"/>
  <c r="C8" i="60"/>
  <c r="G8" i="60" s="1"/>
  <c r="C7" i="60"/>
  <c r="G7" i="60" s="1"/>
  <c r="Q28" i="60"/>
  <c r="Q30" i="60" s="1"/>
  <c r="C23" i="60"/>
  <c r="G23" i="60" s="1"/>
  <c r="C15" i="60"/>
  <c r="G15" i="60" s="1"/>
  <c r="C14" i="60"/>
  <c r="G14" i="60" s="1"/>
  <c r="C13" i="60"/>
  <c r="G13" i="60" s="1"/>
  <c r="C12" i="60"/>
  <c r="G12" i="60" s="1"/>
  <c r="C11" i="60"/>
  <c r="G11" i="60" s="1"/>
  <c r="C9" i="60"/>
  <c r="G9" i="60" s="1"/>
  <c r="S24" i="60"/>
  <c r="S28" i="60"/>
  <c r="R22" i="60"/>
  <c r="S29" i="60"/>
  <c r="R29" i="60" s="1"/>
  <c r="R23" i="60"/>
  <c r="F24" i="60" l="1"/>
  <c r="I24" i="60" s="1"/>
  <c r="F23" i="60"/>
  <c r="I23" i="60" s="1"/>
  <c r="F22" i="60"/>
  <c r="I22" i="60" s="1"/>
  <c r="F21" i="60"/>
  <c r="I21" i="60" s="1"/>
  <c r="F20" i="60"/>
  <c r="I20" i="60" s="1"/>
  <c r="F19" i="60"/>
  <c r="I19" i="60" s="1"/>
  <c r="F18" i="60"/>
  <c r="I18" i="60" s="1"/>
  <c r="F17" i="60"/>
  <c r="I17" i="60" s="1"/>
  <c r="F16" i="60"/>
  <c r="I16" i="60" s="1"/>
  <c r="F15" i="60"/>
  <c r="I15" i="60" s="1"/>
  <c r="F14" i="60"/>
  <c r="I14" i="60" s="1"/>
  <c r="F13" i="60"/>
  <c r="I13" i="60" s="1"/>
  <c r="F12" i="60"/>
  <c r="I12" i="60" s="1"/>
  <c r="F11" i="60"/>
  <c r="I11" i="60" s="1"/>
  <c r="F10" i="60"/>
  <c r="I10" i="60" s="1"/>
  <c r="F9" i="60"/>
  <c r="I9" i="60" s="1"/>
  <c r="F8" i="60"/>
  <c r="I8" i="60" s="1"/>
  <c r="F7" i="60"/>
  <c r="I7" i="60" s="1"/>
  <c r="F26" i="60"/>
  <c r="I26" i="60" s="1"/>
  <c r="F25" i="60"/>
  <c r="I25" i="60" s="1"/>
  <c r="J8" i="60"/>
  <c r="K8" i="60"/>
  <c r="J14" i="60"/>
  <c r="K14" i="60"/>
  <c r="H16" i="60"/>
  <c r="K16" i="60"/>
  <c r="J18" i="60"/>
  <c r="K18" i="60"/>
  <c r="H20" i="60"/>
  <c r="K20" i="60"/>
  <c r="J22" i="60"/>
  <c r="K22" i="60"/>
  <c r="K7" i="60"/>
  <c r="H11" i="60"/>
  <c r="K11" i="60"/>
  <c r="J13" i="60"/>
  <c r="K13" i="60"/>
  <c r="K25" i="60"/>
  <c r="S30" i="60"/>
  <c r="R28" i="60"/>
  <c r="R30" i="60" s="1"/>
  <c r="G29" i="60"/>
  <c r="D24" i="60"/>
  <c r="D23" i="60"/>
  <c r="D22" i="60"/>
  <c r="D21" i="60"/>
  <c r="D20" i="60"/>
  <c r="D19" i="60"/>
  <c r="D18" i="60"/>
  <c r="D17" i="60"/>
  <c r="D16" i="60"/>
  <c r="D26" i="60"/>
  <c r="D25" i="60"/>
  <c r="R24" i="60"/>
  <c r="D15" i="60"/>
  <c r="D14" i="60"/>
  <c r="D13" i="60"/>
  <c r="D12" i="60"/>
  <c r="D11" i="60"/>
  <c r="D10" i="60"/>
  <c r="D9" i="60"/>
  <c r="D8" i="60"/>
  <c r="D7" i="60"/>
  <c r="H10" i="60"/>
  <c r="K10" i="60"/>
  <c r="K15" i="60"/>
  <c r="J15" i="60"/>
  <c r="H17" i="60"/>
  <c r="K17" i="60"/>
  <c r="J19" i="60"/>
  <c r="K19" i="60"/>
  <c r="H21" i="60"/>
  <c r="K21" i="60"/>
  <c r="J24" i="60"/>
  <c r="H24" i="60"/>
  <c r="K24" i="60"/>
  <c r="H9" i="60"/>
  <c r="K9" i="60"/>
  <c r="J12" i="60"/>
  <c r="H12" i="60"/>
  <c r="K12" i="60"/>
  <c r="H23" i="60"/>
  <c r="K23" i="60"/>
  <c r="K26" i="60"/>
  <c r="J26" i="60"/>
  <c r="J7" i="60" l="1"/>
  <c r="H26" i="60"/>
  <c r="J10" i="60"/>
  <c r="H22" i="60"/>
  <c r="L22" i="60" s="1"/>
  <c r="H24" i="12" s="1"/>
  <c r="J20" i="60"/>
  <c r="L20" i="60" s="1"/>
  <c r="H22" i="12" s="1"/>
  <c r="H18" i="60"/>
  <c r="L18" i="60" s="1"/>
  <c r="H20" i="12" s="1"/>
  <c r="J16" i="60"/>
  <c r="H14" i="60"/>
  <c r="L14" i="60" s="1"/>
  <c r="H16" i="12" s="1"/>
  <c r="J23" i="60"/>
  <c r="L23" i="60" s="1"/>
  <c r="H25" i="12" s="1"/>
  <c r="J9" i="60"/>
  <c r="J21" i="60"/>
  <c r="L21" i="60" s="1"/>
  <c r="H23" i="12" s="1"/>
  <c r="H19" i="60"/>
  <c r="J17" i="60"/>
  <c r="L17" i="60" s="1"/>
  <c r="H19" i="12" s="1"/>
  <c r="H15" i="60"/>
  <c r="L15" i="60" s="1"/>
  <c r="H17" i="12" s="1"/>
  <c r="L16" i="60"/>
  <c r="H18" i="12" s="1"/>
  <c r="H25" i="60"/>
  <c r="M22" i="60"/>
  <c r="M20" i="60"/>
  <c r="M14" i="60"/>
  <c r="M18" i="60"/>
  <c r="J25" i="60"/>
  <c r="H13" i="60"/>
  <c r="L13" i="60" s="1"/>
  <c r="H15" i="12" s="1"/>
  <c r="J11" i="60"/>
  <c r="L11" i="60" s="1"/>
  <c r="H13" i="12" s="1"/>
  <c r="H7" i="60"/>
  <c r="L7" i="60" s="1"/>
  <c r="H9" i="12" s="1"/>
  <c r="L9" i="60"/>
  <c r="H11" i="12" s="1"/>
  <c r="L10" i="60"/>
  <c r="H12" i="12" s="1"/>
  <c r="L26" i="60"/>
  <c r="H28" i="12" s="1"/>
  <c r="L12" i="60"/>
  <c r="H14" i="12" s="1"/>
  <c r="L24" i="60"/>
  <c r="H26" i="12" s="1"/>
  <c r="L19" i="60"/>
  <c r="H21" i="12" s="1"/>
  <c r="H8" i="60"/>
  <c r="L8" i="60" s="1"/>
  <c r="H10" i="12" s="1"/>
  <c r="I29" i="60"/>
  <c r="K29" i="60"/>
  <c r="J29" i="60"/>
  <c r="M16" i="60" l="1"/>
  <c r="M7" i="60"/>
  <c r="L25" i="60"/>
  <c r="M12" i="60"/>
  <c r="M17" i="60"/>
  <c r="M8" i="60"/>
  <c r="M24" i="60"/>
  <c r="M26" i="60"/>
  <c r="M15" i="60"/>
  <c r="M21" i="60"/>
  <c r="M23" i="60"/>
  <c r="M11" i="60"/>
  <c r="M19" i="60"/>
  <c r="M10" i="60"/>
  <c r="M9" i="60"/>
  <c r="M13" i="60"/>
  <c r="H29" i="60"/>
  <c r="M25" i="60" l="1"/>
  <c r="H27" i="12"/>
  <c r="M29" i="60"/>
  <c r="L29" i="60"/>
  <c r="B8" i="8"/>
  <c r="B9" i="8"/>
  <c r="H19" i="52" l="1"/>
  <c r="L11" i="46"/>
  <c r="K22" i="8"/>
  <c r="U13" i="58" l="1"/>
  <c r="U12" i="58"/>
  <c r="U11" i="58"/>
  <c r="U10" i="58"/>
  <c r="T13" i="58"/>
  <c r="T12" i="58"/>
  <c r="T11" i="58"/>
  <c r="T10" i="58"/>
  <c r="S13" i="58"/>
  <c r="S12" i="58"/>
  <c r="S11" i="58"/>
  <c r="S10" i="58"/>
  <c r="R13" i="58"/>
  <c r="R12" i="58"/>
  <c r="R11" i="58"/>
  <c r="R10" i="58"/>
  <c r="C10" i="51" l="1"/>
  <c r="C11" i="51" s="1"/>
  <c r="D6" i="47" l="1"/>
  <c r="C6" i="47"/>
  <c r="D5" i="47"/>
  <c r="C5" i="47"/>
  <c r="J22" i="8" l="1"/>
  <c r="I18" i="52"/>
  <c r="C11" i="8" l="1"/>
  <c r="C9" i="8"/>
  <c r="D9" i="8" s="1"/>
  <c r="C10" i="8"/>
  <c r="H18" i="52"/>
  <c r="I5" i="47"/>
  <c r="J6" i="47" l="1"/>
  <c r="I6" i="47"/>
  <c r="J5" i="47"/>
  <c r="K6" i="47" l="1"/>
  <c r="K5" i="47"/>
  <c r="G6" i="47" l="1"/>
  <c r="F5" i="47"/>
  <c r="F6" i="47" l="1"/>
  <c r="G5" i="47"/>
  <c r="E5" i="47"/>
  <c r="I7" i="47" l="1"/>
  <c r="K7" i="47"/>
  <c r="J7" i="47"/>
  <c r="I26" i="52" l="1"/>
  <c r="I27" i="52"/>
  <c r="I28" i="52"/>
  <c r="I29" i="52"/>
  <c r="I25" i="52"/>
  <c r="H20" i="52"/>
  <c r="H21" i="52"/>
  <c r="H22" i="52"/>
  <c r="I13" i="52" l="1"/>
  <c r="H12" i="52"/>
  <c r="H13" i="52" l="1"/>
  <c r="I12" i="52"/>
  <c r="I21" i="52" l="1"/>
  <c r="I19" i="52"/>
  <c r="I20" i="52"/>
  <c r="I22" i="52"/>
  <c r="H27" i="52" l="1"/>
  <c r="H29" i="52"/>
  <c r="H26" i="52"/>
  <c r="H28" i="52"/>
  <c r="H25" i="52"/>
  <c r="I6" i="8" l="1"/>
  <c r="B5" i="56" l="1"/>
  <c r="D5" i="56" s="1"/>
  <c r="B7" i="58"/>
  <c r="B6" i="56" l="1"/>
  <c r="D6" i="56" s="1"/>
  <c r="B8" i="58"/>
  <c r="C1" i="8"/>
  <c r="B7" i="56" l="1"/>
  <c r="D7" i="56" s="1"/>
  <c r="B9" i="58"/>
  <c r="B8" i="56"/>
  <c r="D8" i="56" s="1"/>
  <c r="K12" i="55"/>
  <c r="B10" i="58" l="1"/>
  <c r="B9" i="56"/>
  <c r="D9" i="56" s="1"/>
  <c r="B11" i="58" l="1"/>
  <c r="B10" i="56"/>
  <c r="D10" i="56" s="1"/>
  <c r="B12" i="58" l="1"/>
  <c r="B11" i="56"/>
  <c r="D11" i="56" s="1"/>
  <c r="B13" i="58" l="1"/>
  <c r="G13" i="58" s="1" a="1"/>
  <c r="G13" i="58" s="1"/>
  <c r="I13" i="58" s="1"/>
  <c r="B12" i="56"/>
  <c r="D12" i="56" s="1"/>
  <c r="B14" i="58" l="1"/>
  <c r="H14" i="58" s="1" a="1"/>
  <c r="H14" i="58" s="1"/>
  <c r="K14" i="58" s="1"/>
  <c r="B13" i="56"/>
  <c r="D13" i="56" s="1"/>
  <c r="B15" i="58" l="1"/>
  <c r="B14" i="56"/>
  <c r="D14" i="56" s="1"/>
  <c r="J22" i="52"/>
  <c r="J21" i="52"/>
  <c r="J20" i="52"/>
  <c r="J19" i="52"/>
  <c r="J18" i="52"/>
  <c r="B16" i="58" l="1"/>
  <c r="B15" i="56"/>
  <c r="D15" i="56" s="1"/>
  <c r="I34" i="52"/>
  <c r="I33" i="52"/>
  <c r="H34" i="52"/>
  <c r="H33" i="52"/>
  <c r="B17" i="58" l="1"/>
  <c r="B16" i="56"/>
  <c r="D16" i="56" s="1"/>
  <c r="J34" i="52"/>
  <c r="J33" i="52"/>
  <c r="B18" i="58" l="1"/>
  <c r="B17" i="56"/>
  <c r="D17" i="56" s="1"/>
  <c r="B19" i="58" l="1"/>
  <c r="B18" i="56"/>
  <c r="D18" i="56" s="1"/>
  <c r="B20" i="58" l="1"/>
  <c r="B19" i="56"/>
  <c r="D19" i="56" s="1"/>
  <c r="K11" i="55"/>
  <c r="K15" i="55" s="1"/>
  <c r="C1" i="55"/>
  <c r="D1" i="55" s="1"/>
  <c r="E1" i="55" s="1"/>
  <c r="F1" i="55" s="1"/>
  <c r="G1" i="55" s="1"/>
  <c r="C1" i="46"/>
  <c r="D1" i="46" s="1"/>
  <c r="E1" i="46" s="1"/>
  <c r="F1" i="46" s="1"/>
  <c r="G1" i="46" s="1"/>
  <c r="H1" i="46" s="1"/>
  <c r="I1" i="46" s="1"/>
  <c r="B21" i="58" l="1"/>
  <c r="B20" i="56"/>
  <c r="D20" i="56" s="1"/>
  <c r="D7" i="47"/>
  <c r="G7" i="47"/>
  <c r="E6" i="47"/>
  <c r="C7" i="47"/>
  <c r="F7" i="47"/>
  <c r="H6" i="47"/>
  <c r="H5" i="47"/>
  <c r="B22" i="58" l="1"/>
  <c r="B21" i="56"/>
  <c r="D21" i="56" s="1"/>
  <c r="E7" i="47"/>
  <c r="H7" i="47"/>
  <c r="B23" i="58" l="1"/>
  <c r="F23" i="58" s="1" a="1"/>
  <c r="F23" i="58" s="1"/>
  <c r="J23" i="58" s="1"/>
  <c r="B22" i="56"/>
  <c r="D22" i="56" s="1"/>
  <c r="B7" i="55"/>
  <c r="C1" i="52"/>
  <c r="D1" i="52" s="1"/>
  <c r="E1" i="52" s="1"/>
  <c r="B24" i="58" l="1"/>
  <c r="B23" i="56"/>
  <c r="D23" i="56" s="1"/>
  <c r="D1" i="8"/>
  <c r="B8" i="55"/>
  <c r="B25" i="58" l="1"/>
  <c r="B24" i="56"/>
  <c r="D24" i="56" s="1"/>
  <c r="E1" i="8"/>
  <c r="F1" i="8" s="1"/>
  <c r="B9" i="55"/>
  <c r="B26" i="58" l="1"/>
  <c r="D25" i="56"/>
  <c r="B10" i="55"/>
  <c r="B10" i="8"/>
  <c r="B27" i="58" l="1"/>
  <c r="B11" i="55"/>
  <c r="B11" i="8"/>
  <c r="D11" i="8" s="1"/>
  <c r="B28" i="58" l="1"/>
  <c r="B12" i="55"/>
  <c r="B12" i="8"/>
  <c r="B29" i="58" l="1"/>
  <c r="B13" i="55"/>
  <c r="B13" i="8"/>
  <c r="B14" i="8" s="1"/>
  <c r="B30" i="58" l="1"/>
  <c r="B15" i="8"/>
  <c r="B14" i="55"/>
  <c r="B31" i="58" l="1"/>
  <c r="B16" i="8"/>
  <c r="B15" i="55"/>
  <c r="B32" i="58" l="1"/>
  <c r="B17" i="8"/>
  <c r="B16" i="55"/>
  <c r="B33" i="58" l="1"/>
  <c r="B18" i="8"/>
  <c r="B17" i="55"/>
  <c r="B34" i="58" l="1"/>
  <c r="B19" i="8"/>
  <c r="B18" i="55"/>
  <c r="B35" i="58" l="1"/>
  <c r="B20" i="8"/>
  <c r="B19" i="55"/>
  <c r="B36" i="58" l="1"/>
  <c r="B21" i="8"/>
  <c r="B20" i="55"/>
  <c r="B22" i="8" l="1"/>
  <c r="B21" i="55"/>
  <c r="B23" i="8" l="1"/>
  <c r="B22" i="55"/>
  <c r="B24" i="8" l="1"/>
  <c r="B23" i="55"/>
  <c r="B25" i="8" l="1"/>
  <c r="B24" i="55"/>
  <c r="B26" i="8" l="1"/>
  <c r="B25" i="55"/>
  <c r="B27" i="8" l="1"/>
  <c r="B26" i="55"/>
  <c r="B28" i="8" l="1"/>
  <c r="B6" i="52"/>
  <c r="C6" i="52" s="1"/>
  <c r="B29" i="8" l="1"/>
  <c r="D6" i="52"/>
  <c r="B7" i="52"/>
  <c r="C7" i="52" s="1"/>
  <c r="B30" i="8" l="1"/>
  <c r="D7" i="52"/>
  <c r="B8" i="52"/>
  <c r="C8" i="52" s="1"/>
  <c r="B31" i="8" l="1"/>
  <c r="D8" i="52"/>
  <c r="B9" i="52"/>
  <c r="C9" i="52" s="1"/>
  <c r="D9" i="52" l="1"/>
  <c r="B10" i="52"/>
  <c r="C10" i="52" s="1"/>
  <c r="D10" i="52" l="1"/>
  <c r="B11" i="52"/>
  <c r="C11" i="52" s="1"/>
  <c r="D11" i="52" l="1"/>
  <c r="B12" i="52"/>
  <c r="C12" i="52" s="1"/>
  <c r="D12" i="52" l="1"/>
  <c r="B13" i="52"/>
  <c r="C13" i="52" s="1"/>
  <c r="D13" i="52" l="1"/>
  <c r="B14" i="52"/>
  <c r="C14" i="52" s="1"/>
  <c r="D14" i="52" l="1"/>
  <c r="B15" i="52"/>
  <c r="C15" i="52" s="1"/>
  <c r="D15" i="52" l="1"/>
  <c r="B16" i="52"/>
  <c r="C16" i="52" s="1"/>
  <c r="D16" i="52" l="1"/>
  <c r="B17" i="52"/>
  <c r="C17" i="52" s="1"/>
  <c r="D17" i="52" l="1"/>
  <c r="B18" i="52"/>
  <c r="C18" i="52" s="1"/>
  <c r="D18" i="52" l="1"/>
  <c r="B19" i="52"/>
  <c r="C19" i="52" s="1"/>
  <c r="D19" i="52" l="1"/>
  <c r="B20" i="52"/>
  <c r="C20" i="52" s="1"/>
  <c r="D20" i="52" l="1"/>
  <c r="B21" i="52"/>
  <c r="C21" i="52" s="1"/>
  <c r="D21" i="52" l="1"/>
  <c r="B22" i="52"/>
  <c r="C22" i="52" s="1"/>
  <c r="D22" i="52" l="1"/>
  <c r="B23" i="52"/>
  <c r="C23" i="52" s="1"/>
  <c r="D23" i="52" l="1"/>
  <c r="B24" i="52"/>
  <c r="C24" i="52" s="1"/>
  <c r="D24" i="52" l="1"/>
  <c r="B25" i="52"/>
  <c r="C25" i="52" s="1"/>
  <c r="D25" i="52" l="1"/>
  <c r="J30" i="8"/>
  <c r="J31" i="8"/>
  <c r="J33" i="8"/>
  <c r="J34" i="8"/>
  <c r="J35" i="8"/>
  <c r="E30" i="8" l="1"/>
  <c r="F30" i="8" s="1"/>
  <c r="B42" i="12"/>
  <c r="B43" i="12" l="1"/>
  <c r="B44" i="12" l="1"/>
  <c r="B45" i="12" l="1"/>
  <c r="B7" i="46"/>
  <c r="B13" i="47"/>
  <c r="I13" i="47" l="1"/>
  <c r="J13" i="47"/>
  <c r="C45" i="12"/>
  <c r="D45" i="12" s="1"/>
  <c r="G13" i="47"/>
  <c r="D13" i="47"/>
  <c r="C13" i="47"/>
  <c r="F13" i="47"/>
  <c r="B8" i="46"/>
  <c r="B46" i="12"/>
  <c r="F8" i="58" l="1" a="1"/>
  <c r="F8" i="58" s="1"/>
  <c r="J8" i="58" s="1"/>
  <c r="C10" i="58" a="1"/>
  <c r="C10" i="58" s="1"/>
  <c r="D10" i="58" s="1"/>
  <c r="E10" i="58" s="1"/>
  <c r="G10" i="58" a="1"/>
  <c r="G10" i="58" s="1"/>
  <c r="I10" i="58" s="1"/>
  <c r="G11" i="58" a="1"/>
  <c r="G11" i="58" s="1"/>
  <c r="I11" i="58" s="1"/>
  <c r="H11" i="58" a="1"/>
  <c r="H11" i="58" s="1"/>
  <c r="K11" i="58" s="1"/>
  <c r="H24" i="58" a="1"/>
  <c r="H24" i="58" s="1"/>
  <c r="K24" i="58" s="1"/>
  <c r="F24" i="58" a="1"/>
  <c r="F24" i="58" s="1"/>
  <c r="J24" i="58" s="1"/>
  <c r="H8" i="58" a="1"/>
  <c r="H8" i="58" s="1"/>
  <c r="K8" i="58" s="1"/>
  <c r="C8" i="58" a="1"/>
  <c r="C8" i="58" s="1"/>
  <c r="D8" i="58" s="1"/>
  <c r="E8" i="58" s="1"/>
  <c r="G8" i="58" a="1"/>
  <c r="G8" i="58" s="1"/>
  <c r="I8" i="58" s="1"/>
  <c r="F9" i="58" a="1"/>
  <c r="F9" i="58" s="1"/>
  <c r="J9" i="58" s="1"/>
  <c r="C9" i="58" a="1"/>
  <c r="C9" i="58" s="1"/>
  <c r="D9" i="58" s="1"/>
  <c r="E9" i="58" s="1"/>
  <c r="G9" i="58" a="1"/>
  <c r="G9" i="58" s="1"/>
  <c r="I9" i="58" s="1"/>
  <c r="H9" i="58" a="1"/>
  <c r="H9" i="58" s="1"/>
  <c r="K9" i="58" s="1"/>
  <c r="F10" i="58" a="1"/>
  <c r="F10" i="58" s="1"/>
  <c r="J10" i="58" s="1"/>
  <c r="H10" i="58" a="1"/>
  <c r="H10" i="58" s="1"/>
  <c r="K10" i="58" s="1"/>
  <c r="F11" i="58" a="1"/>
  <c r="F11" i="58" s="1"/>
  <c r="J11" i="58" s="1"/>
  <c r="C11" i="58" a="1"/>
  <c r="C11" i="58" s="1"/>
  <c r="G12" i="58" a="1"/>
  <c r="G12" i="58" s="1"/>
  <c r="I12" i="58" s="1"/>
  <c r="C12" i="58" a="1"/>
  <c r="C12" i="58" s="1"/>
  <c r="D12" i="58" s="1"/>
  <c r="E12" i="58" s="1"/>
  <c r="H12" i="58" a="1"/>
  <c r="H12" i="58" s="1"/>
  <c r="K12" i="58" s="1"/>
  <c r="F12" i="58" a="1"/>
  <c r="F12" i="58" s="1"/>
  <c r="J12" i="58" s="1"/>
  <c r="H13" i="58" a="1"/>
  <c r="H13" i="58" s="1"/>
  <c r="K13" i="58" s="1"/>
  <c r="C13" i="58" a="1"/>
  <c r="C13" i="58" s="1"/>
  <c r="D13" i="58" s="1"/>
  <c r="E13" i="58" s="1"/>
  <c r="F13" i="58" a="1"/>
  <c r="F13" i="58" s="1"/>
  <c r="J13" i="58" s="1"/>
  <c r="G14" i="58" a="1"/>
  <c r="G14" i="58" s="1"/>
  <c r="I14" i="58" s="1"/>
  <c r="C14" i="58" a="1"/>
  <c r="C14" i="58" s="1"/>
  <c r="D14" i="58" s="1"/>
  <c r="E14" i="58" s="1"/>
  <c r="F14" i="58" a="1"/>
  <c r="F14" i="58" s="1"/>
  <c r="J14" i="58" s="1"/>
  <c r="H15" i="58" a="1"/>
  <c r="H15" i="58" s="1"/>
  <c r="K15" i="58" s="1"/>
  <c r="C15" i="58" a="1"/>
  <c r="C15" i="58" s="1"/>
  <c r="D15" i="58" s="1"/>
  <c r="E15" i="58" s="1"/>
  <c r="G15" i="58" a="1"/>
  <c r="G15" i="58" s="1"/>
  <c r="I15" i="58" s="1"/>
  <c r="F15" i="58" a="1"/>
  <c r="F15" i="58" s="1"/>
  <c r="J15" i="58" s="1"/>
  <c r="H16" i="58" a="1"/>
  <c r="H16" i="58" s="1"/>
  <c r="K16" i="58" s="1"/>
  <c r="F16" i="58" a="1"/>
  <c r="F16" i="58" s="1"/>
  <c r="J16" i="58" s="1"/>
  <c r="G16" i="58" a="1"/>
  <c r="G16" i="58" s="1"/>
  <c r="I16" i="58" s="1"/>
  <c r="C16" i="58" a="1"/>
  <c r="C16" i="58" s="1"/>
  <c r="D16" i="58" s="1"/>
  <c r="E16" i="58" s="1"/>
  <c r="F17" i="58" a="1"/>
  <c r="F17" i="58" s="1"/>
  <c r="J17" i="58" s="1"/>
  <c r="C17" i="58" a="1"/>
  <c r="C17" i="58" s="1"/>
  <c r="D17" i="58" s="1"/>
  <c r="E17" i="58" s="1"/>
  <c r="G17" i="58" a="1"/>
  <c r="G17" i="58" s="1"/>
  <c r="I17" i="58" s="1"/>
  <c r="H17" i="58" a="1"/>
  <c r="H17" i="58" s="1"/>
  <c r="K17" i="58" s="1"/>
  <c r="G18" i="58" a="1"/>
  <c r="G18" i="58" s="1"/>
  <c r="I18" i="58" s="1"/>
  <c r="C18" i="58" a="1"/>
  <c r="C18" i="58" s="1"/>
  <c r="D18" i="58" s="1"/>
  <c r="E18" i="58" s="1"/>
  <c r="H18" i="58" a="1"/>
  <c r="H18" i="58" s="1"/>
  <c r="K18" i="58" s="1"/>
  <c r="F18" i="58" a="1"/>
  <c r="F18" i="58" s="1"/>
  <c r="J18" i="58" s="1"/>
  <c r="F19" i="58" a="1"/>
  <c r="F19" i="58" s="1"/>
  <c r="J19" i="58" s="1"/>
  <c r="C19" i="58" a="1"/>
  <c r="C19" i="58" s="1"/>
  <c r="D19" i="58" s="1"/>
  <c r="E19" i="58" s="1"/>
  <c r="G19" i="58" a="1"/>
  <c r="G19" i="58" s="1"/>
  <c r="I19" i="58" s="1"/>
  <c r="H19" i="58" a="1"/>
  <c r="H19" i="58" s="1"/>
  <c r="K19" i="58" s="1"/>
  <c r="G20" i="58" a="1"/>
  <c r="G20" i="58" s="1"/>
  <c r="I20" i="58" s="1"/>
  <c r="C20" i="58" a="1"/>
  <c r="C20" i="58" s="1"/>
  <c r="D20" i="58" s="1"/>
  <c r="E20" i="58" s="1"/>
  <c r="H20" i="58" a="1"/>
  <c r="H20" i="58" s="1"/>
  <c r="K20" i="58" s="1"/>
  <c r="F20" i="58" a="1"/>
  <c r="F20" i="58" s="1"/>
  <c r="J20" i="58" s="1"/>
  <c r="F21" i="58" a="1"/>
  <c r="F21" i="58" s="1"/>
  <c r="J21" i="58" s="1"/>
  <c r="G21" i="58" a="1"/>
  <c r="G21" i="58" s="1"/>
  <c r="I21" i="58" s="1"/>
  <c r="H21" i="58" a="1"/>
  <c r="H21" i="58" s="1"/>
  <c r="K21" i="58" s="1"/>
  <c r="C21" i="58" a="1"/>
  <c r="C21" i="58" s="1"/>
  <c r="D21" i="58" s="1"/>
  <c r="E21" i="58" s="1"/>
  <c r="H22" i="58" a="1"/>
  <c r="H22" i="58" s="1"/>
  <c r="K22" i="58" s="1"/>
  <c r="F22" i="58" a="1"/>
  <c r="F22" i="58" s="1"/>
  <c r="J22" i="58" s="1"/>
  <c r="G22" i="58" a="1"/>
  <c r="G22" i="58" s="1"/>
  <c r="I22" i="58" s="1"/>
  <c r="C22" i="58" a="1"/>
  <c r="C22" i="58" s="1"/>
  <c r="D22" i="58" s="1"/>
  <c r="E22" i="58" s="1"/>
  <c r="H23" i="58" a="1"/>
  <c r="H23" i="58" s="1"/>
  <c r="K23" i="58" s="1"/>
  <c r="C23" i="58" a="1"/>
  <c r="C23" i="58" s="1"/>
  <c r="D23" i="58" s="1"/>
  <c r="E23" i="58" s="1"/>
  <c r="G23" i="58" a="1"/>
  <c r="G23" i="58" s="1"/>
  <c r="I23" i="58" s="1"/>
  <c r="G24" i="58" a="1"/>
  <c r="G24" i="58" s="1"/>
  <c r="I24" i="58" s="1"/>
  <c r="C24" i="58" a="1"/>
  <c r="C24" i="58" s="1"/>
  <c r="D24" i="58" s="1"/>
  <c r="E24" i="58" s="1"/>
  <c r="F25" i="58" a="1"/>
  <c r="F25" i="58" s="1"/>
  <c r="J25" i="58" s="1"/>
  <c r="C25" i="58" a="1"/>
  <c r="C25" i="58" s="1"/>
  <c r="D25" i="58" s="1"/>
  <c r="E25" i="58" s="1"/>
  <c r="G25" i="58" a="1"/>
  <c r="G25" i="58" s="1"/>
  <c r="I25" i="58" s="1"/>
  <c r="H25" i="58" a="1"/>
  <c r="H25" i="58" s="1"/>
  <c r="K25" i="58" s="1"/>
  <c r="G26" i="58" a="1"/>
  <c r="G26" i="58" s="1"/>
  <c r="I26" i="58" s="1"/>
  <c r="C26" i="58" a="1"/>
  <c r="C26" i="58" s="1"/>
  <c r="D26" i="58" s="1"/>
  <c r="E26" i="58" s="1"/>
  <c r="F26" i="58" a="1"/>
  <c r="F26" i="58" s="1"/>
  <c r="J26" i="58" s="1"/>
  <c r="H26" i="58" a="1"/>
  <c r="H26" i="58" s="1"/>
  <c r="K26" i="58" s="1"/>
  <c r="F27" i="58" a="1"/>
  <c r="F27" i="58" s="1"/>
  <c r="J27" i="58" s="1"/>
  <c r="C27" i="58" a="1"/>
  <c r="C27" i="58" s="1"/>
  <c r="D27" i="58" s="1"/>
  <c r="E27" i="58" s="1"/>
  <c r="G27" i="58" a="1"/>
  <c r="G27" i="58" s="1"/>
  <c r="I27" i="58" s="1"/>
  <c r="H27" i="58" a="1"/>
  <c r="H27" i="58" s="1"/>
  <c r="K27" i="58" s="1"/>
  <c r="G28" i="58" a="1"/>
  <c r="G28" i="58" s="1"/>
  <c r="I28" i="58" s="1"/>
  <c r="C28" i="58" a="1"/>
  <c r="C28" i="58" s="1"/>
  <c r="D28" i="58" s="1"/>
  <c r="E28" i="58" s="1"/>
  <c r="H28" i="58" a="1"/>
  <c r="H28" i="58" s="1"/>
  <c r="K28" i="58" s="1"/>
  <c r="F28" i="58" a="1"/>
  <c r="F28" i="58" s="1"/>
  <c r="J28" i="58" s="1"/>
  <c r="G29" i="58" a="1"/>
  <c r="G29" i="58" s="1"/>
  <c r="I29" i="58" s="1"/>
  <c r="C29" i="58" a="1"/>
  <c r="C29" i="58" s="1"/>
  <c r="D29" i="58" s="1"/>
  <c r="E29" i="58" s="1"/>
  <c r="H29" i="58" a="1"/>
  <c r="H29" i="58" s="1"/>
  <c r="K29" i="58" s="1"/>
  <c r="F29" i="58" a="1"/>
  <c r="F29" i="58" s="1"/>
  <c r="J29" i="58" s="1"/>
  <c r="G30" i="58" a="1"/>
  <c r="G30" i="58" s="1"/>
  <c r="I30" i="58" s="1"/>
  <c r="C30" i="58" a="1"/>
  <c r="C30" i="58" s="1"/>
  <c r="D30" i="58" s="1"/>
  <c r="E30" i="58" s="1"/>
  <c r="H30" i="58" a="1"/>
  <c r="H30" i="58" s="1"/>
  <c r="K30" i="58" s="1"/>
  <c r="F30" i="58" a="1"/>
  <c r="F30" i="58" s="1"/>
  <c r="J30" i="58" s="1"/>
  <c r="F31" i="58" a="1"/>
  <c r="F31" i="58" s="1"/>
  <c r="J31" i="58" s="1"/>
  <c r="C31" i="58" a="1"/>
  <c r="C31" i="58" s="1"/>
  <c r="D31" i="58" s="1"/>
  <c r="E31" i="58" s="1"/>
  <c r="G31" i="58" a="1"/>
  <c r="G31" i="58" s="1"/>
  <c r="I31" i="58" s="1"/>
  <c r="H31" i="58" a="1"/>
  <c r="H31" i="58" s="1"/>
  <c r="K31" i="58" s="1"/>
  <c r="H32" i="58" a="1"/>
  <c r="H32" i="58" s="1"/>
  <c r="K32" i="58" s="1"/>
  <c r="F32" i="58" a="1"/>
  <c r="F32" i="58" s="1"/>
  <c r="J32" i="58" s="1"/>
  <c r="C32" i="58" a="1"/>
  <c r="C32" i="58" s="1"/>
  <c r="D32" i="58" s="1"/>
  <c r="E32" i="58" s="1"/>
  <c r="G32" i="58" a="1"/>
  <c r="G32" i="58" s="1"/>
  <c r="I32" i="58" s="1"/>
  <c r="H33" i="58" a="1"/>
  <c r="H33" i="58" s="1"/>
  <c r="K33" i="58" s="1"/>
  <c r="C33" i="58" a="1"/>
  <c r="C33" i="58" s="1"/>
  <c r="D33" i="58" s="1"/>
  <c r="E33" i="58" s="1"/>
  <c r="F33" i="58" a="1"/>
  <c r="F33" i="58" s="1"/>
  <c r="J33" i="58" s="1"/>
  <c r="G33" i="58" a="1"/>
  <c r="G33" i="58" s="1"/>
  <c r="I33" i="58" s="1"/>
  <c r="G34" i="58" a="1"/>
  <c r="G34" i="58" s="1"/>
  <c r="I34" i="58" s="1"/>
  <c r="C34" i="58" a="1"/>
  <c r="C34" i="58" s="1"/>
  <c r="D34" i="58" s="1"/>
  <c r="E34" i="58" s="1"/>
  <c r="H34" i="58" a="1"/>
  <c r="H34" i="58" s="1"/>
  <c r="K34" i="58" s="1"/>
  <c r="F34" i="58" a="1"/>
  <c r="F34" i="58" s="1"/>
  <c r="J34" i="58" s="1"/>
  <c r="H35" i="58" a="1"/>
  <c r="H35" i="58" s="1"/>
  <c r="K35" i="58" s="1"/>
  <c r="C35" i="58" a="1"/>
  <c r="C35" i="58" s="1"/>
  <c r="D35" i="58" s="1"/>
  <c r="E35" i="58" s="1"/>
  <c r="G35" i="58" a="1"/>
  <c r="G35" i="58" s="1"/>
  <c r="I35" i="58" s="1"/>
  <c r="F35" i="58" a="1"/>
  <c r="F35" i="58" s="1"/>
  <c r="J35" i="58" s="1"/>
  <c r="H36" i="58" a="1"/>
  <c r="H36" i="58" s="1"/>
  <c r="K36" i="58" s="1"/>
  <c r="F36" i="58" a="1"/>
  <c r="F36" i="58" s="1"/>
  <c r="J36" i="58" s="1"/>
  <c r="G36" i="58" a="1"/>
  <c r="G36" i="58" s="1"/>
  <c r="I36" i="58" s="1"/>
  <c r="C36" i="58" a="1"/>
  <c r="C36" i="58" s="1"/>
  <c r="D36" i="58" s="1"/>
  <c r="E36" i="58" s="1"/>
  <c r="E31" i="8"/>
  <c r="E14" i="8"/>
  <c r="F14" i="8" s="1"/>
  <c r="E15" i="8"/>
  <c r="F15" i="8" s="1"/>
  <c r="E16" i="8"/>
  <c r="F16" i="8" s="1"/>
  <c r="E17" i="8"/>
  <c r="F17" i="8" s="1"/>
  <c r="E18" i="8"/>
  <c r="F18" i="8" s="1"/>
  <c r="E19" i="8"/>
  <c r="F19" i="8" s="1"/>
  <c r="E20" i="8"/>
  <c r="F20" i="8" s="1"/>
  <c r="E21" i="8"/>
  <c r="F21" i="8" s="1"/>
  <c r="E22" i="8"/>
  <c r="F22" i="8" s="1"/>
  <c r="E23" i="8"/>
  <c r="F23" i="8" s="1"/>
  <c r="E24" i="8"/>
  <c r="F24" i="8" s="1"/>
  <c r="E25" i="8"/>
  <c r="F25" i="8" s="1"/>
  <c r="E26" i="8"/>
  <c r="F26" i="8" s="1"/>
  <c r="E27" i="8"/>
  <c r="F27" i="8" s="1"/>
  <c r="E28" i="8"/>
  <c r="F28" i="8" s="1"/>
  <c r="E29" i="8"/>
  <c r="F29" i="8" s="1"/>
  <c r="F31" i="8"/>
  <c r="K13" i="47"/>
  <c r="E10" i="8"/>
  <c r="E11" i="8"/>
  <c r="E12" i="8"/>
  <c r="E13" i="8"/>
  <c r="H13" i="47"/>
  <c r="B9" i="46"/>
  <c r="B47" i="12"/>
  <c r="L8" i="58" l="1"/>
  <c r="L22" i="58"/>
  <c r="N22" i="58" s="1"/>
  <c r="L19" i="58"/>
  <c r="M19" i="58" s="1"/>
  <c r="O19" i="58" s="1"/>
  <c r="L17" i="58"/>
  <c r="N17" i="58" s="1"/>
  <c r="L16" i="58"/>
  <c r="N16" i="58" s="1"/>
  <c r="L15" i="58"/>
  <c r="N15" i="58" s="1"/>
  <c r="L9" i="58"/>
  <c r="N9" i="58" s="1"/>
  <c r="L31" i="58"/>
  <c r="M31" i="58" s="1"/>
  <c r="O31" i="58" s="1"/>
  <c r="L27" i="58"/>
  <c r="N27" i="58" s="1"/>
  <c r="L25" i="58"/>
  <c r="N25" i="58" s="1"/>
  <c r="D11" i="58"/>
  <c r="E11" i="58" s="1"/>
  <c r="L11" i="58"/>
  <c r="M11" i="58" s="1"/>
  <c r="L24" i="58"/>
  <c r="N24" i="58" s="1"/>
  <c r="L36" i="58"/>
  <c r="N36" i="58" s="1"/>
  <c r="L35" i="58"/>
  <c r="N35" i="58" s="1"/>
  <c r="L33" i="58"/>
  <c r="L32" i="58"/>
  <c r="L23" i="58"/>
  <c r="L21" i="58"/>
  <c r="L13" i="58"/>
  <c r="L34" i="58"/>
  <c r="L30" i="58"/>
  <c r="L29" i="58"/>
  <c r="L28" i="58"/>
  <c r="L26" i="58"/>
  <c r="L20" i="58"/>
  <c r="N19" i="58"/>
  <c r="L18" i="58"/>
  <c r="M15" i="58"/>
  <c r="O15" i="58" s="1"/>
  <c r="L14" i="58"/>
  <c r="L12" i="58"/>
  <c r="L10" i="58"/>
  <c r="M9" i="58"/>
  <c r="O9" i="58" s="1"/>
  <c r="F12" i="8"/>
  <c r="F11" i="8"/>
  <c r="F10" i="8"/>
  <c r="F13" i="8"/>
  <c r="I7" i="12"/>
  <c r="B48" i="12"/>
  <c r="B10" i="46"/>
  <c r="M16" i="58" l="1"/>
  <c r="O16" i="58" s="1"/>
  <c r="M35" i="58"/>
  <c r="O35" i="58" s="1"/>
  <c r="M36" i="58"/>
  <c r="O36" i="58" s="1"/>
  <c r="M22" i="58"/>
  <c r="O22" i="58" s="1"/>
  <c r="M27" i="58"/>
  <c r="O27" i="58" s="1"/>
  <c r="M17" i="58"/>
  <c r="O17" i="58" s="1"/>
  <c r="M25" i="58"/>
  <c r="O25" i="58" s="1"/>
  <c r="N31" i="58"/>
  <c r="M24" i="58"/>
  <c r="O24" i="58" s="1"/>
  <c r="F7" i="12"/>
  <c r="N11" i="58"/>
  <c r="E37" i="58"/>
  <c r="O11" i="58"/>
  <c r="M8" i="58"/>
  <c r="N8" i="58"/>
  <c r="M21" i="58"/>
  <c r="O21" i="58" s="1"/>
  <c r="N21" i="58"/>
  <c r="M32" i="58"/>
  <c r="O32" i="58" s="1"/>
  <c r="N32" i="58"/>
  <c r="M12" i="58"/>
  <c r="O12" i="58" s="1"/>
  <c r="N12" i="58"/>
  <c r="M18" i="58"/>
  <c r="O18" i="58" s="1"/>
  <c r="N18" i="58"/>
  <c r="M26" i="58"/>
  <c r="O26" i="58" s="1"/>
  <c r="N26" i="58"/>
  <c r="M29" i="58"/>
  <c r="O29" i="58" s="1"/>
  <c r="N29" i="58"/>
  <c r="M34" i="58"/>
  <c r="O34" i="58" s="1"/>
  <c r="N34" i="58"/>
  <c r="M10" i="58"/>
  <c r="O10" i="58" s="1"/>
  <c r="N10" i="58"/>
  <c r="M14" i="58"/>
  <c r="O14" i="58" s="1"/>
  <c r="N14" i="58"/>
  <c r="M20" i="58"/>
  <c r="O20" i="58" s="1"/>
  <c r="N20" i="58"/>
  <c r="M28" i="58"/>
  <c r="O28" i="58" s="1"/>
  <c r="N28" i="58"/>
  <c r="M30" i="58"/>
  <c r="O30" i="58" s="1"/>
  <c r="N30" i="58"/>
  <c r="M13" i="58"/>
  <c r="O13" i="58" s="1"/>
  <c r="N13" i="58"/>
  <c r="M23" i="58"/>
  <c r="O23" i="58" s="1"/>
  <c r="N23" i="58"/>
  <c r="M33" i="58"/>
  <c r="O33" i="58" s="1"/>
  <c r="N33" i="58"/>
  <c r="F32" i="8"/>
  <c r="B49" i="12"/>
  <c r="B11" i="46"/>
  <c r="O8" i="58" l="1"/>
  <c r="M37" i="58"/>
  <c r="N37" i="58"/>
  <c r="O37" i="58"/>
  <c r="B50" i="12"/>
  <c r="E13" i="47"/>
  <c r="B12" i="46"/>
  <c r="G7" i="12" l="1"/>
  <c r="B51" i="12"/>
  <c r="B13" i="46"/>
  <c r="B52" i="12" l="1"/>
  <c r="B14" i="46"/>
  <c r="B53" i="12" l="1"/>
  <c r="B15" i="46"/>
  <c r="B54" i="12" l="1"/>
  <c r="B16" i="46"/>
  <c r="C1" i="47"/>
  <c r="D1" i="47" s="1"/>
  <c r="E1" i="47" s="1"/>
  <c r="F1" i="47" s="1"/>
  <c r="G1" i="47" s="1"/>
  <c r="H1" i="47" s="1"/>
  <c r="I1" i="47" s="1"/>
  <c r="J1" i="47" l="1"/>
  <c r="E7" i="46"/>
  <c r="D7" i="55"/>
  <c r="C7" i="55"/>
  <c r="B55" i="12"/>
  <c r="B17" i="46"/>
  <c r="B8" i="12"/>
  <c r="F8" i="12" l="1"/>
  <c r="G8" i="12"/>
  <c r="I8" i="12"/>
  <c r="K1" i="47"/>
  <c r="F7" i="46"/>
  <c r="E7" i="55"/>
  <c r="F7" i="55" s="1"/>
  <c r="G7" i="55" s="1"/>
  <c r="D8" i="12"/>
  <c r="E8" i="12"/>
  <c r="B56" i="12"/>
  <c r="B18" i="46"/>
  <c r="B9" i="12"/>
  <c r="F9" i="12" l="1"/>
  <c r="G9" i="12"/>
  <c r="I9" i="12"/>
  <c r="B57" i="12"/>
  <c r="E9" i="12"/>
  <c r="C7" i="46"/>
  <c r="B10" i="12"/>
  <c r="D9" i="12"/>
  <c r="B19" i="46"/>
  <c r="G10" i="12" l="1"/>
  <c r="F10" i="12"/>
  <c r="E10" i="12"/>
  <c r="I10" i="12"/>
  <c r="B58" i="12"/>
  <c r="D7" i="46"/>
  <c r="G7" i="46" s="1"/>
  <c r="B11" i="12"/>
  <c r="B20" i="46"/>
  <c r="G11" i="12" l="1"/>
  <c r="F11" i="12"/>
  <c r="E11" i="12"/>
  <c r="I11" i="12"/>
  <c r="B59" i="12"/>
  <c r="B12" i="12"/>
  <c r="B21" i="46"/>
  <c r="G12" i="12" l="1"/>
  <c r="F12" i="12"/>
  <c r="E12" i="12"/>
  <c r="I12" i="12"/>
  <c r="B60" i="12"/>
  <c r="B13" i="12"/>
  <c r="B22" i="46"/>
  <c r="F13" i="12" l="1"/>
  <c r="G13" i="12"/>
  <c r="B14" i="12"/>
  <c r="I14" i="12" s="1"/>
  <c r="E13" i="12"/>
  <c r="I13" i="12"/>
  <c r="B61" i="12"/>
  <c r="B23" i="46"/>
  <c r="F14" i="12" l="1"/>
  <c r="G14" i="12"/>
  <c r="B15" i="12"/>
  <c r="E14" i="12"/>
  <c r="B62" i="12"/>
  <c r="B24" i="46"/>
  <c r="I15" i="12" l="1"/>
  <c r="B16" i="12"/>
  <c r="F16" i="12" s="1"/>
  <c r="E15" i="12"/>
  <c r="F15" i="12"/>
  <c r="G15" i="12"/>
  <c r="I16" i="12"/>
  <c r="B25" i="46"/>
  <c r="H7" i="46"/>
  <c r="B17" i="12" l="1"/>
  <c r="E16" i="12"/>
  <c r="G16" i="12"/>
  <c r="F17" i="12"/>
  <c r="G17" i="12"/>
  <c r="E17" i="12"/>
  <c r="I17" i="12"/>
  <c r="I7" i="46"/>
  <c r="B26" i="46"/>
  <c r="C9" i="12" s="1"/>
  <c r="L9" i="12" s="1"/>
  <c r="B18" i="12"/>
  <c r="F18" i="12" l="1"/>
  <c r="G18" i="12"/>
  <c r="E18" i="12"/>
  <c r="I18" i="12"/>
  <c r="B19" i="12"/>
  <c r="F19" i="12" l="1"/>
  <c r="G19" i="12"/>
  <c r="E19" i="12"/>
  <c r="I19" i="12"/>
  <c r="B20" i="12"/>
  <c r="F20" i="12" l="1"/>
  <c r="G20" i="12"/>
  <c r="E20" i="12"/>
  <c r="I20" i="12"/>
  <c r="B21" i="12"/>
  <c r="F21" i="12" l="1"/>
  <c r="G21" i="12"/>
  <c r="E21" i="12"/>
  <c r="I21" i="12"/>
  <c r="B22" i="12"/>
  <c r="F22" i="12" l="1"/>
  <c r="G22" i="12"/>
  <c r="E22" i="12"/>
  <c r="I22" i="12"/>
  <c r="B23" i="12"/>
  <c r="F23" i="12" l="1"/>
  <c r="G23" i="12"/>
  <c r="E23" i="12"/>
  <c r="I23" i="12"/>
  <c r="B24" i="12"/>
  <c r="F24" i="12" l="1"/>
  <c r="G24" i="12"/>
  <c r="E24" i="12"/>
  <c r="I24" i="12"/>
  <c r="B25" i="12"/>
  <c r="F25" i="12" l="1"/>
  <c r="G25" i="12"/>
  <c r="E25" i="12"/>
  <c r="I25" i="12"/>
  <c r="B26" i="12"/>
  <c r="F26" i="12" l="1"/>
  <c r="G26" i="12"/>
  <c r="E26" i="12"/>
  <c r="I26" i="12"/>
  <c r="B27" i="12"/>
  <c r="B14" i="47"/>
  <c r="F27" i="12" l="1"/>
  <c r="G27" i="12"/>
  <c r="I14" i="47"/>
  <c r="E8" i="46" s="1"/>
  <c r="J14" i="47"/>
  <c r="E27" i="12"/>
  <c r="I27" i="12"/>
  <c r="D14" i="47"/>
  <c r="D8" i="55" s="1"/>
  <c r="F14" i="47"/>
  <c r="C8" i="46" s="1"/>
  <c r="C14" i="47"/>
  <c r="G14" i="47"/>
  <c r="D8" i="46" s="1"/>
  <c r="B28" i="12"/>
  <c r="B15" i="47"/>
  <c r="J15" i="47" s="1"/>
  <c r="F28" i="12" l="1"/>
  <c r="G28" i="12"/>
  <c r="B29" i="12"/>
  <c r="K14" i="47"/>
  <c r="F8" i="46"/>
  <c r="G8" i="46" s="1"/>
  <c r="H8" i="46" s="1"/>
  <c r="C10" i="12" s="1"/>
  <c r="I15" i="47"/>
  <c r="E9" i="46" s="1"/>
  <c r="E28" i="12"/>
  <c r="I28" i="12"/>
  <c r="E14" i="47"/>
  <c r="H14" i="47"/>
  <c r="F15" i="47"/>
  <c r="C9" i="46" s="1"/>
  <c r="G15" i="47"/>
  <c r="C15" i="47"/>
  <c r="C9" i="55" s="1"/>
  <c r="D15" i="47"/>
  <c r="C8" i="55"/>
  <c r="B16" i="47"/>
  <c r="F29" i="12" l="1"/>
  <c r="G29" i="12"/>
  <c r="I29" i="12"/>
  <c r="E29" i="12"/>
  <c r="K15" i="47"/>
  <c r="F9" i="46"/>
  <c r="C16" i="47"/>
  <c r="C10" i="55" s="1"/>
  <c r="I16" i="47"/>
  <c r="E10" i="46" s="1"/>
  <c r="J16" i="47"/>
  <c r="E15" i="47"/>
  <c r="H15" i="47"/>
  <c r="D9" i="46"/>
  <c r="F16" i="47"/>
  <c r="C10" i="46" s="1"/>
  <c r="G16" i="47"/>
  <c r="D10" i="46" s="1"/>
  <c r="D16" i="47"/>
  <c r="I8" i="46"/>
  <c r="D9" i="55"/>
  <c r="E9" i="55" s="1"/>
  <c r="F9" i="55" s="1"/>
  <c r="E8" i="55"/>
  <c r="F8" i="55" s="1"/>
  <c r="D10" i="12" s="1"/>
  <c r="K10" i="12" s="1"/>
  <c r="L10" i="12" s="1"/>
  <c r="B17" i="47"/>
  <c r="D11" i="12" l="1"/>
  <c r="K16" i="47"/>
  <c r="F10" i="46"/>
  <c r="G10" i="46" s="1"/>
  <c r="H10" i="46" s="1"/>
  <c r="I17" i="47"/>
  <c r="E11" i="46" s="1"/>
  <c r="J17" i="47"/>
  <c r="G9" i="46"/>
  <c r="H9" i="46" s="1"/>
  <c r="H16" i="47"/>
  <c r="E16" i="47"/>
  <c r="D10" i="55"/>
  <c r="E10" i="55" s="1"/>
  <c r="F10" i="55" s="1"/>
  <c r="D12" i="12" s="1"/>
  <c r="C17" i="47"/>
  <c r="C11" i="55" s="1"/>
  <c r="G17" i="47"/>
  <c r="D17" i="47"/>
  <c r="D11" i="55" s="1"/>
  <c r="F17" i="47"/>
  <c r="G9" i="55"/>
  <c r="G8" i="55"/>
  <c r="B18" i="47"/>
  <c r="C12" i="12" l="1"/>
  <c r="K12" i="12" s="1"/>
  <c r="L12" i="12" s="1"/>
  <c r="C11" i="46"/>
  <c r="F11" i="46"/>
  <c r="K17" i="47"/>
  <c r="I18" i="47"/>
  <c r="E12" i="46" s="1"/>
  <c r="J18" i="47"/>
  <c r="C11" i="12"/>
  <c r="K11" i="12" s="1"/>
  <c r="L11" i="12" s="1"/>
  <c r="I9" i="46"/>
  <c r="H17" i="47"/>
  <c r="I10" i="46"/>
  <c r="E17" i="47"/>
  <c r="D18" i="47"/>
  <c r="C18" i="47"/>
  <c r="C12" i="55" s="1"/>
  <c r="F18" i="47"/>
  <c r="C12" i="46" s="1"/>
  <c r="G18" i="47"/>
  <c r="D12" i="46" s="1"/>
  <c r="G10" i="55"/>
  <c r="E11" i="55"/>
  <c r="F11" i="55" s="1"/>
  <c r="D13" i="12" s="1"/>
  <c r="B19" i="47"/>
  <c r="F12" i="46" l="1"/>
  <c r="G12" i="46" s="1"/>
  <c r="K18" i="47"/>
  <c r="I19" i="47"/>
  <c r="E13" i="46" s="1"/>
  <c r="J19" i="47"/>
  <c r="E18" i="47"/>
  <c r="D19" i="47"/>
  <c r="F19" i="47"/>
  <c r="C13" i="46" s="1"/>
  <c r="G19" i="47"/>
  <c r="C19" i="47"/>
  <c r="C13" i="55" s="1"/>
  <c r="H18" i="47"/>
  <c r="G11" i="55"/>
  <c r="B20" i="47"/>
  <c r="F13" i="46" l="1"/>
  <c r="K19" i="47"/>
  <c r="I20" i="47"/>
  <c r="E14" i="46" s="1"/>
  <c r="J20" i="47"/>
  <c r="H19" i="47"/>
  <c r="D20" i="47"/>
  <c r="G20" i="47"/>
  <c r="C20" i="47"/>
  <c r="C14" i="55" s="1"/>
  <c r="F20" i="47"/>
  <c r="C14" i="46" s="1"/>
  <c r="E19" i="47"/>
  <c r="B21" i="47"/>
  <c r="K20" i="47" l="1"/>
  <c r="I21" i="47"/>
  <c r="E15" i="46" s="1"/>
  <c r="J21" i="47"/>
  <c r="H20" i="47"/>
  <c r="F21" i="47"/>
  <c r="C15" i="46" s="1"/>
  <c r="D21" i="47"/>
  <c r="C21" i="47"/>
  <c r="C15" i="55" s="1"/>
  <c r="G21" i="47"/>
  <c r="E20" i="47"/>
  <c r="B22" i="47"/>
  <c r="K21" i="47" l="1"/>
  <c r="I22" i="47"/>
  <c r="E16" i="46" s="1"/>
  <c r="J22" i="47"/>
  <c r="E21" i="47"/>
  <c r="G22" i="47"/>
  <c r="F22" i="47"/>
  <c r="C16" i="46" s="1"/>
  <c r="D22" i="47"/>
  <c r="C22" i="47"/>
  <c r="H21" i="47"/>
  <c r="B23" i="47"/>
  <c r="K22" i="47" l="1"/>
  <c r="I23" i="47"/>
  <c r="E17" i="46" s="1"/>
  <c r="J23" i="47"/>
  <c r="H22" i="47"/>
  <c r="C23" i="47"/>
  <c r="C17" i="55" s="1"/>
  <c r="D23" i="47"/>
  <c r="G23" i="47"/>
  <c r="F23" i="47"/>
  <c r="C17" i="46" s="1"/>
  <c r="E22" i="47"/>
  <c r="C16" i="55"/>
  <c r="B24" i="47"/>
  <c r="K23" i="47" l="1"/>
  <c r="I24" i="47"/>
  <c r="E18" i="46" s="1"/>
  <c r="J24" i="47"/>
  <c r="D24" i="47"/>
  <c r="C24" i="47"/>
  <c r="G24" i="47"/>
  <c r="F24" i="47"/>
  <c r="C18" i="46" s="1"/>
  <c r="H23" i="47"/>
  <c r="E23" i="47"/>
  <c r="B25" i="47"/>
  <c r="K24" i="47" l="1"/>
  <c r="I25" i="47"/>
  <c r="E19" i="46" s="1"/>
  <c r="J25" i="47"/>
  <c r="C18" i="55"/>
  <c r="E24" i="47"/>
  <c r="C25" i="47"/>
  <c r="G25" i="47"/>
  <c r="D25" i="47"/>
  <c r="F25" i="47"/>
  <c r="C19" i="46" s="1"/>
  <c r="H24" i="47"/>
  <c r="B26" i="47"/>
  <c r="F19" i="46" l="1"/>
  <c r="K25" i="47"/>
  <c r="I26" i="47"/>
  <c r="E20" i="46" s="1"/>
  <c r="J26" i="47"/>
  <c r="H25" i="47"/>
  <c r="C26" i="47"/>
  <c r="C20" i="55" s="1"/>
  <c r="G26" i="47"/>
  <c r="F26" i="47"/>
  <c r="C20" i="46" s="1"/>
  <c r="D26" i="47"/>
  <c r="E25" i="47"/>
  <c r="C19" i="55"/>
  <c r="B27" i="47"/>
  <c r="F20" i="46" l="1"/>
  <c r="K26" i="47"/>
  <c r="I27" i="47"/>
  <c r="E21" i="46" s="1"/>
  <c r="J27" i="47"/>
  <c r="E26" i="47"/>
  <c r="H26" i="47"/>
  <c r="C27" i="47"/>
  <c r="C21" i="55" s="1"/>
  <c r="D27" i="47"/>
  <c r="G27" i="47"/>
  <c r="F27" i="47"/>
  <c r="C21" i="46" s="1"/>
  <c r="B28" i="47"/>
  <c r="K27" i="47" l="1"/>
  <c r="I28" i="47"/>
  <c r="E22" i="46" s="1"/>
  <c r="J28" i="47"/>
  <c r="C28" i="47"/>
  <c r="C22" i="55" s="1"/>
  <c r="G28" i="47"/>
  <c r="F28" i="47"/>
  <c r="C22" i="46" s="1"/>
  <c r="D28" i="47"/>
  <c r="H27" i="47"/>
  <c r="E27" i="47"/>
  <c r="B29" i="47"/>
  <c r="K28" i="47" l="1"/>
  <c r="I29" i="47"/>
  <c r="E23" i="46" s="1"/>
  <c r="J29" i="47"/>
  <c r="E28" i="47"/>
  <c r="H28" i="47"/>
  <c r="F29" i="47"/>
  <c r="C23" i="46" s="1"/>
  <c r="C29" i="47"/>
  <c r="C23" i="55" s="1"/>
  <c r="G29" i="47"/>
  <c r="D29" i="47"/>
  <c r="B30" i="47"/>
  <c r="K29" i="47" l="1"/>
  <c r="I30" i="47"/>
  <c r="E24" i="46" s="1"/>
  <c r="J30" i="47"/>
  <c r="H29" i="47"/>
  <c r="C30" i="47"/>
  <c r="G30" i="47"/>
  <c r="F30" i="47"/>
  <c r="C24" i="46" s="1"/>
  <c r="D30" i="47"/>
  <c r="E29" i="47"/>
  <c r="B31" i="47"/>
  <c r="K30" i="47" l="1"/>
  <c r="I31" i="47"/>
  <c r="E25" i="46" s="1"/>
  <c r="J31" i="47"/>
  <c r="H30" i="47"/>
  <c r="C31" i="47"/>
  <c r="C25" i="55" s="1"/>
  <c r="F31" i="47"/>
  <c r="G31" i="47"/>
  <c r="D31" i="47"/>
  <c r="E30" i="47"/>
  <c r="C24" i="55"/>
  <c r="B32" i="47"/>
  <c r="K31" i="47" l="1"/>
  <c r="C25" i="46"/>
  <c r="I32" i="47"/>
  <c r="E26" i="46" s="1"/>
  <c r="J32" i="47"/>
  <c r="H31" i="47"/>
  <c r="E31" i="47"/>
  <c r="F32" i="47"/>
  <c r="C26" i="46" s="1"/>
  <c r="D32" i="47"/>
  <c r="G32" i="47"/>
  <c r="C32" i="47"/>
  <c r="C26" i="55" s="1"/>
  <c r="K32" i="47" l="1"/>
  <c r="F18" i="46"/>
  <c r="F26" i="46"/>
  <c r="F23" i="46"/>
  <c r="F17" i="46"/>
  <c r="F21" i="46"/>
  <c r="F14" i="46"/>
  <c r="F24" i="46"/>
  <c r="F22" i="46"/>
  <c r="F25" i="46"/>
  <c r="F15" i="46"/>
  <c r="F16" i="46"/>
  <c r="H32" i="47"/>
  <c r="D23" i="46"/>
  <c r="D13" i="55"/>
  <c r="E13" i="55" s="1"/>
  <c r="F13" i="55" s="1"/>
  <c r="D13" i="46"/>
  <c r="D15" i="55"/>
  <c r="E15" i="55" s="1"/>
  <c r="F15" i="55" s="1"/>
  <c r="D17" i="55"/>
  <c r="E17" i="55" s="1"/>
  <c r="F17" i="55" s="1"/>
  <c r="D15" i="46"/>
  <c r="D26" i="55"/>
  <c r="E26" i="55" s="1"/>
  <c r="F26" i="55" s="1"/>
  <c r="D29" i="12" s="1"/>
  <c r="D17" i="46"/>
  <c r="D11" i="46"/>
  <c r="D16" i="46"/>
  <c r="D12" i="55"/>
  <c r="E12" i="55" s="1"/>
  <c r="F12" i="55" s="1"/>
  <c r="D14" i="12" s="1"/>
  <c r="D16" i="55"/>
  <c r="E16" i="55" s="1"/>
  <c r="F16" i="55" s="1"/>
  <c r="D18" i="55"/>
  <c r="E18" i="55" s="1"/>
  <c r="F18" i="55" s="1"/>
  <c r="D20" i="12" s="1"/>
  <c r="D18" i="46"/>
  <c r="D14" i="46"/>
  <c r="D21" i="46"/>
  <c r="D14" i="55"/>
  <c r="E14" i="55" s="1"/>
  <c r="F14" i="55" s="1"/>
  <c r="H12" i="46"/>
  <c r="D26" i="46"/>
  <c r="D24" i="55"/>
  <c r="E24" i="55" s="1"/>
  <c r="F24" i="55" s="1"/>
  <c r="D22" i="55"/>
  <c r="E22" i="55" s="1"/>
  <c r="F22" i="55" s="1"/>
  <c r="D19" i="55"/>
  <c r="E19" i="55" s="1"/>
  <c r="F19" i="55" s="1"/>
  <c r="D23" i="55"/>
  <c r="E23" i="55" s="1"/>
  <c r="F23" i="55" s="1"/>
  <c r="D25" i="12" s="1"/>
  <c r="D21" i="55"/>
  <c r="E21" i="55" s="1"/>
  <c r="F21" i="55" s="1"/>
  <c r="D20" i="55"/>
  <c r="E20" i="55" s="1"/>
  <c r="F20" i="55" s="1"/>
  <c r="D25" i="55"/>
  <c r="E25" i="55" s="1"/>
  <c r="F25" i="55" s="1"/>
  <c r="D19" i="46"/>
  <c r="D20" i="46"/>
  <c r="D24" i="46"/>
  <c r="D25" i="46"/>
  <c r="D22" i="46"/>
  <c r="E32" i="47"/>
  <c r="D21" i="12" l="1"/>
  <c r="D26" i="12"/>
  <c r="D22" i="12"/>
  <c r="D18" i="12"/>
  <c r="D16" i="12"/>
  <c r="D27" i="12"/>
  <c r="D17" i="12"/>
  <c r="D23" i="12"/>
  <c r="D28" i="12"/>
  <c r="D15" i="12"/>
  <c r="D24" i="12"/>
  <c r="D19" i="12"/>
  <c r="G24" i="46"/>
  <c r="H24" i="46" s="1"/>
  <c r="G22" i="46"/>
  <c r="H22" i="46" s="1"/>
  <c r="G25" i="46"/>
  <c r="H25" i="46" s="1"/>
  <c r="G18" i="46"/>
  <c r="H18" i="46" s="1"/>
  <c r="G16" i="46"/>
  <c r="H16" i="46" s="1"/>
  <c r="G15" i="46"/>
  <c r="H15" i="46" s="1"/>
  <c r="G11" i="46"/>
  <c r="H11" i="46" s="1"/>
  <c r="C14" i="12" s="1"/>
  <c r="K14" i="12" s="1"/>
  <c r="L14" i="12" s="1"/>
  <c r="G23" i="46"/>
  <c r="H23" i="46" s="1"/>
  <c r="G20" i="46"/>
  <c r="H20" i="46" s="1"/>
  <c r="G21" i="46"/>
  <c r="H21" i="46" s="1"/>
  <c r="G17" i="46"/>
  <c r="H17" i="46" s="1"/>
  <c r="G19" i="46"/>
  <c r="H19" i="46" s="1"/>
  <c r="G14" i="46"/>
  <c r="H14" i="46" s="1"/>
  <c r="G13" i="46"/>
  <c r="H13" i="46" s="1"/>
  <c r="G26" i="46"/>
  <c r="H26" i="46" s="1"/>
  <c r="G23" i="55"/>
  <c r="G25" i="55"/>
  <c r="G24" i="55"/>
  <c r="G16" i="55"/>
  <c r="G22" i="55"/>
  <c r="G14" i="55"/>
  <c r="G21" i="55"/>
  <c r="G18" i="55"/>
  <c r="I12" i="46"/>
  <c r="G12" i="55"/>
  <c r="G15" i="55"/>
  <c r="G19" i="55"/>
  <c r="G13" i="55"/>
  <c r="G20" i="55"/>
  <c r="G17" i="55"/>
  <c r="G26" i="55"/>
  <c r="C15" i="12" l="1"/>
  <c r="K15" i="12" s="1"/>
  <c r="L15" i="12" s="1"/>
  <c r="I13" i="46"/>
  <c r="C16" i="12"/>
  <c r="K16" i="12" s="1"/>
  <c r="L16" i="12" s="1"/>
  <c r="I14" i="46"/>
  <c r="C21" i="12"/>
  <c r="K21" i="12" s="1"/>
  <c r="L21" i="12" s="1"/>
  <c r="I19" i="46"/>
  <c r="C25" i="12"/>
  <c r="K25" i="12" s="1"/>
  <c r="L25" i="12" s="1"/>
  <c r="I23" i="46"/>
  <c r="C20" i="12"/>
  <c r="K20" i="12" s="1"/>
  <c r="L20" i="12" s="1"/>
  <c r="I18" i="46"/>
  <c r="C19" i="12"/>
  <c r="K19" i="12" s="1"/>
  <c r="L19" i="12" s="1"/>
  <c r="I17" i="46"/>
  <c r="C13" i="12"/>
  <c r="K13" i="12" s="1"/>
  <c r="L13" i="12" s="1"/>
  <c r="I11" i="46"/>
  <c r="C27" i="12"/>
  <c r="K27" i="12" s="1"/>
  <c r="L27" i="12" s="1"/>
  <c r="I25" i="46"/>
  <c r="C23" i="12"/>
  <c r="K23" i="12" s="1"/>
  <c r="L23" i="12" s="1"/>
  <c r="I21" i="46"/>
  <c r="C17" i="12"/>
  <c r="K17" i="12" s="1"/>
  <c r="L17" i="12" s="1"/>
  <c r="I15" i="46"/>
  <c r="C24" i="12"/>
  <c r="K24" i="12" s="1"/>
  <c r="L24" i="12" s="1"/>
  <c r="I22" i="46"/>
  <c r="C28" i="12"/>
  <c r="K28" i="12" s="1"/>
  <c r="L28" i="12" s="1"/>
  <c r="I26" i="46"/>
  <c r="C29" i="12" s="1"/>
  <c r="K29" i="12" s="1"/>
  <c r="L29" i="12" s="1"/>
  <c r="C22" i="12"/>
  <c r="K22" i="12" s="1"/>
  <c r="L22" i="12" s="1"/>
  <c r="I20" i="46"/>
  <c r="C18" i="12"/>
  <c r="K18" i="12" s="1"/>
  <c r="L18" i="12" s="1"/>
  <c r="I16" i="46"/>
  <c r="C26" i="12"/>
  <c r="K26" i="12" s="1"/>
  <c r="L26" i="12" s="1"/>
  <c r="I24" i="46"/>
  <c r="D5" i="10"/>
  <c r="D4" i="10"/>
  <c r="D3" i="10"/>
  <c r="L32" i="12" l="1"/>
  <c r="G27" i="55"/>
  <c r="G6" i="10"/>
  <c r="D7" i="12" l="1"/>
  <c r="I27" i="46" l="1"/>
  <c r="C7" i="12" l="1"/>
  <c r="C8" i="12"/>
  <c r="K8" i="12" s="1"/>
  <c r="L8" i="12" s="1"/>
  <c r="D26" i="52" l="1"/>
  <c r="L33" i="12" s="1"/>
  <c r="E7" i="12" l="1"/>
  <c r="K7" i="12" s="1"/>
  <c r="L7" i="12" s="1"/>
  <c r="C68" i="12" l="1"/>
  <c r="C53" i="12" l="1"/>
  <c r="D53" i="12" s="1"/>
  <c r="C43" i="12"/>
  <c r="D43" i="12" s="1"/>
  <c r="C49" i="12"/>
  <c r="D49" i="12" s="1"/>
  <c r="C59" i="12"/>
  <c r="D59" i="12" s="1"/>
  <c r="C41" i="12"/>
  <c r="D41" i="12" s="1"/>
  <c r="D10" i="8"/>
  <c r="C55" i="12" l="1"/>
  <c r="D55" i="12" s="1"/>
  <c r="C61" i="12"/>
  <c r="D61" i="12" s="1"/>
  <c r="C62" i="12"/>
  <c r="D62" i="12" s="1"/>
  <c r="C57" i="12"/>
  <c r="D57" i="12" s="1"/>
  <c r="C60" i="12"/>
  <c r="D60" i="12" s="1"/>
  <c r="C58" i="12"/>
  <c r="D58" i="12" s="1"/>
  <c r="C47" i="12"/>
  <c r="D47" i="12" s="1"/>
  <c r="C42" i="12"/>
  <c r="D42" i="12" s="1"/>
  <c r="C50" i="12"/>
  <c r="D50" i="12" s="1"/>
  <c r="C56" i="12"/>
  <c r="D56" i="12" s="1"/>
  <c r="C48" i="12"/>
  <c r="D48" i="12" s="1"/>
  <c r="C46" i="12"/>
  <c r="D46" i="12" s="1"/>
  <c r="C44" i="12"/>
  <c r="D44" i="12" s="1"/>
  <c r="C52" i="12"/>
  <c r="D52" i="12" s="1"/>
  <c r="C51" i="12"/>
  <c r="D51" i="12" s="1"/>
  <c r="C54" i="12"/>
  <c r="D54" i="12" s="1"/>
  <c r="D32" i="8" l="1"/>
  <c r="D64" i="12" s="1"/>
  <c r="D63" i="12"/>
  <c r="C69" i="12" l="1"/>
  <c r="C70" i="12" s="1"/>
  <c r="C71"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<sst xmlns="http://schemas.openxmlformats.org/spreadsheetml/2006/main" count="471" uniqueCount="311">
  <si>
    <t>Analysis Year</t>
  </si>
  <si>
    <t>7% Discount</t>
  </si>
  <si>
    <t>Total Benefit</t>
  </si>
  <si>
    <t>NOTES:</t>
  </si>
  <si>
    <t>Total Cost</t>
  </si>
  <si>
    <t xml:space="preserve">Cost Category </t>
  </si>
  <si>
    <t>Life (years)</t>
  </si>
  <si>
    <t>RCV = A*(B-C)/B</t>
  </si>
  <si>
    <t>A = (1+r)^n</t>
  </si>
  <si>
    <t>=</t>
  </si>
  <si>
    <t>r = discount rate</t>
  </si>
  <si>
    <t>B = ((1+r)^L-1)/(r(1+r)^L)</t>
  </si>
  <si>
    <t>n = number of years in the analysis period</t>
  </si>
  <si>
    <t>C = ((1+r)^n-1)/(r(1+r)^n)</t>
  </si>
  <si>
    <t>L = expected lifespan of the asset</t>
  </si>
  <si>
    <t>r</t>
  </si>
  <si>
    <t>n</t>
  </si>
  <si>
    <t>L</t>
  </si>
  <si>
    <t>RCV</t>
  </si>
  <si>
    <t>BENEFITS</t>
  </si>
  <si>
    <t>COSTS</t>
  </si>
  <si>
    <t>Capital Costs</t>
  </si>
  <si>
    <t>Benefits</t>
  </si>
  <si>
    <t>Costs</t>
  </si>
  <si>
    <t>B/C Ratio</t>
  </si>
  <si>
    <t>ENVIRONMENTAL SUSTAINABILITY - AIR QUALITY</t>
  </si>
  <si>
    <t>SUMMARY</t>
  </si>
  <si>
    <t>n/a</t>
  </si>
  <si>
    <t>RCV Factor (7%)</t>
  </si>
  <si>
    <t>RCV  (7%)</t>
  </si>
  <si>
    <t>Remaining Capital Value</t>
  </si>
  <si>
    <t>2)</t>
  </si>
  <si>
    <t>1)</t>
  </si>
  <si>
    <t>Inputs</t>
  </si>
  <si>
    <t xml:space="preserve">Capital Cost </t>
  </si>
  <si>
    <t>Total Remaining Capital Value</t>
  </si>
  <si>
    <t>Right-of-Way</t>
  </si>
  <si>
    <t>Major Structures</t>
  </si>
  <si>
    <t>Grading and Drainage</t>
  </si>
  <si>
    <t>Sub Base and Base</t>
  </si>
  <si>
    <t>Surface</t>
  </si>
  <si>
    <t>Miscellaneous (Sunk)</t>
  </si>
  <si>
    <t>No Build</t>
  </si>
  <si>
    <t>Build</t>
  </si>
  <si>
    <t>Recommended Value</t>
  </si>
  <si>
    <t>Total</t>
  </si>
  <si>
    <r>
      <t xml:space="preserve">Table 1 - Years of Construction </t>
    </r>
    <r>
      <rPr>
        <b/>
        <vertAlign val="superscript"/>
        <sz val="11"/>
        <color theme="1"/>
        <rFont val="Calibri"/>
        <family val="2"/>
        <scheme val="minor"/>
      </rPr>
      <t>1</t>
    </r>
  </si>
  <si>
    <t>Construction Year</t>
  </si>
  <si>
    <t>Table 2 - Construction Costs</t>
  </si>
  <si>
    <t>Crash Cost Savings</t>
  </si>
  <si>
    <t>K</t>
  </si>
  <si>
    <t>A</t>
  </si>
  <si>
    <t>B</t>
  </si>
  <si>
    <t>C</t>
  </si>
  <si>
    <t>7% Discount Rate</t>
  </si>
  <si>
    <t>Economic Competitiveness</t>
  </si>
  <si>
    <t>Safety</t>
  </si>
  <si>
    <t>Environmental Sustainability</t>
  </si>
  <si>
    <t>Auto Vehicle Operating Cost</t>
  </si>
  <si>
    <t>Truck Vehicle Operating Cost</t>
  </si>
  <si>
    <t>Auto Percentage</t>
  </si>
  <si>
    <t>Truck Percentage</t>
  </si>
  <si>
    <t>Table 3 - Per-mile Operating Cost</t>
  </si>
  <si>
    <t>Aggregate Vehicle Operating Cost</t>
  </si>
  <si>
    <t>Truck Travel Time Cost</t>
  </si>
  <si>
    <t>Aggregate Travel Time Cost</t>
  </si>
  <si>
    <t>Auto Vehicle Occupancy</t>
  </si>
  <si>
    <t>Truck Vehicle Occupancy</t>
  </si>
  <si>
    <t>Table 4 - Per-mile Travel Time Cost</t>
  </si>
  <si>
    <t>Network VHT</t>
  </si>
  <si>
    <t>Difference</t>
  </si>
  <si>
    <t>Annual Growth</t>
  </si>
  <si>
    <t>Annualized Operations</t>
  </si>
  <si>
    <t>Differential</t>
  </si>
  <si>
    <t>Travel Time Savings</t>
  </si>
  <si>
    <t>Operations Savings</t>
  </si>
  <si>
    <t>Travel Time Cost Savings</t>
  </si>
  <si>
    <t>ECONOMIC COMPETITIVENESS - USER BENEFIT CALCULATION OF REGIONAL TRAVEL TIME CHANGE</t>
  </si>
  <si>
    <t>Travel Demand Model Analysis Year</t>
  </si>
  <si>
    <t>STATE OF GOOD REPAIR - OPERATION AND MAINTENANCE COSTS</t>
  </si>
  <si>
    <t>State of Good Repair</t>
  </si>
  <si>
    <t>Operation and Maintenance Costs</t>
  </si>
  <si>
    <t>PDO</t>
  </si>
  <si>
    <t>Network VMT</t>
  </si>
  <si>
    <t>No Build Daily VMT</t>
  </si>
  <si>
    <t>Build Daily VMT</t>
  </si>
  <si>
    <t>Table 1 - Analysis Timeframe Assumptions</t>
  </si>
  <si>
    <t>Year of Analysis</t>
  </si>
  <si>
    <t>Years of Benefit-Cost Analysis Period</t>
  </si>
  <si>
    <t>Benefit-Cost Final Year of Benefit</t>
  </si>
  <si>
    <t>Crash Severity</t>
  </si>
  <si>
    <t>Days in Traffic Analysis Year</t>
  </si>
  <si>
    <t>Year</t>
  </si>
  <si>
    <r>
      <t>Constant Dollar RCV in (7%)</t>
    </r>
    <r>
      <rPr>
        <vertAlign val="superscript"/>
        <sz val="9"/>
        <color theme="1"/>
        <rFont val="Calibri"/>
        <family val="2"/>
        <scheme val="minor"/>
      </rPr>
      <t>2</t>
    </r>
  </si>
  <si>
    <r>
      <t>Present Value RCV in (7%)</t>
    </r>
    <r>
      <rPr>
        <vertAlign val="superscript"/>
        <sz val="9"/>
        <color theme="1"/>
        <rFont val="Calibri"/>
        <family val="2"/>
        <scheme val="minor"/>
      </rPr>
      <t>2</t>
    </r>
  </si>
  <si>
    <t>SubTotal</t>
  </si>
  <si>
    <t>Existing</t>
  </si>
  <si>
    <t>Fatal</t>
  </si>
  <si>
    <t>Future</t>
  </si>
  <si>
    <r>
      <t xml:space="preserve">Table 3 - Remaining Capital Value Factors </t>
    </r>
    <r>
      <rPr>
        <b/>
        <vertAlign val="superscript"/>
        <sz val="11"/>
        <color theme="1"/>
        <rFont val="Calibri"/>
        <family val="2"/>
        <scheme val="minor"/>
      </rPr>
      <t>2</t>
    </r>
  </si>
  <si>
    <t>Remaining Capital Value (7%)</t>
  </si>
  <si>
    <t>NPV</t>
  </si>
  <si>
    <t>ECONOMIC COMPETITIVENESS - OPERATIONAL BENEFITS</t>
  </si>
  <si>
    <t>SAFETY - CRASH COST SAVINGS</t>
  </si>
  <si>
    <t>CAPITAL COST AND RESIDUAL PROJECT VALUE</t>
  </si>
  <si>
    <t>All-Purpose Travel Time Cost</t>
  </si>
  <si>
    <t>Crash Costs</t>
  </si>
  <si>
    <t>Operating Cost Savings</t>
  </si>
  <si>
    <t>Residual capital value (RCV) was calculated for those capital purchases with lifetimes extending beyond the study period. Values were calculated using the following formula and were included as a benefit:
RCV = A*(B-C)/B
where:
A = (1+r)^n
B = ((1+r)^L-1)/(r(1+r)^L)
C = ((1+r)^n-1)/(r(1+r)^n)
and: n = analysis period, r = discount rate, L = service life</t>
  </si>
  <si>
    <t>Savings</t>
  </si>
  <si>
    <t>Beginning of Construction</t>
  </si>
  <si>
    <t>Duration of Construction</t>
  </si>
  <si>
    <t>Benefit-Cost First Year of Benefit</t>
  </si>
  <si>
    <t>Forecast Traffic Year</t>
  </si>
  <si>
    <t>Year(s)</t>
  </si>
  <si>
    <t>Total Project</t>
  </si>
  <si>
    <t>3)</t>
  </si>
  <si>
    <t>4)</t>
  </si>
  <si>
    <t>The analysis assumed 365 days in a year to determine annual benefits.</t>
  </si>
  <si>
    <t>Annual Operation and Maintenance Savings ($)1</t>
  </si>
  <si>
    <t>Regional Crash Savings</t>
  </si>
  <si>
    <t>Nodal VHT</t>
  </si>
  <si>
    <t>Annual Regional Network VMT</t>
  </si>
  <si>
    <t>Annual Regional Network VHT</t>
  </si>
  <si>
    <t>Annual Nodal Network VHT</t>
  </si>
  <si>
    <t>Truck percentage in the project area is estimated based on year 2014 HCAADT values obtained from the Regional Model.</t>
  </si>
  <si>
    <r>
      <t xml:space="preserve">Table 1 - Per-hour Travel Time Cost by Mode </t>
    </r>
    <r>
      <rPr>
        <b/>
        <vertAlign val="superscript"/>
        <sz val="11"/>
        <color theme="1"/>
        <rFont val="Calibri"/>
        <family val="2"/>
        <scheme val="minor"/>
      </rPr>
      <t>1</t>
    </r>
  </si>
  <si>
    <r>
      <t xml:space="preserve">No Build Regional VHT </t>
    </r>
    <r>
      <rPr>
        <vertAlign val="superscript"/>
        <sz val="9"/>
        <color theme="1"/>
        <rFont val="Calibri"/>
        <family val="2"/>
        <scheme val="minor"/>
      </rPr>
      <t>4</t>
    </r>
  </si>
  <si>
    <r>
      <t xml:space="preserve">Build Regional VHT </t>
    </r>
    <r>
      <rPr>
        <vertAlign val="superscript"/>
        <sz val="9"/>
        <color theme="1"/>
        <rFont val="Calibri"/>
        <family val="2"/>
        <scheme val="minor"/>
      </rPr>
      <t>4</t>
    </r>
  </si>
  <si>
    <t>5)</t>
  </si>
  <si>
    <r>
      <t xml:space="preserve">No Build Nodal VHT </t>
    </r>
    <r>
      <rPr>
        <vertAlign val="superscript"/>
        <sz val="9"/>
        <color theme="1"/>
        <rFont val="Calibri"/>
        <family val="2"/>
        <scheme val="minor"/>
      </rPr>
      <t>5</t>
    </r>
  </si>
  <si>
    <r>
      <t xml:space="preserve">Build Nodal VHT </t>
    </r>
    <r>
      <rPr>
        <vertAlign val="superscript"/>
        <sz val="9"/>
        <color theme="1"/>
        <rFont val="Calibri"/>
        <family val="2"/>
        <scheme val="minor"/>
      </rPr>
      <t>5</t>
    </r>
  </si>
  <si>
    <t>In addition to the Regional Travel Demand Model, a microsimulation model was used to capture differences in signal delay at 12 key Maple Grove Parkway intersections that are most impacted by the proposed project. The analysis compared signal delay between the No Build and the Build Alternative for year of opening conditions (year 2018) using a Synchro/SimTraffic model. Existing traffic counts were obtained in year 2018. Travel pattern shifts were developed using travel patterns identified using the Regional Travel Demand model.
Signal delays were quantified for year 2018 p.m. peak hour. These peak hour delays were factored to daily values assuming that the a.m. peak hour and p.m. peak hour delays were split 40%/60%, respectively. It was also assumed that a.m. and p.m. peak hour delays accounted for 40% of the overall daily delay. The values for existing year delay were held constant for the entire analysis period. This should be considered a conservative estimate as traffic volumes are expected to grow.</t>
  </si>
  <si>
    <t>Year 2014 and 2040 VMT for the study area were obtained from the Twin Cities Regional Travel Demand Model. Values for years in between those provided were interpolated using an annual growth rate. VMT for years beyond 2040 were exptrapolated based on the growth rate used between years 2024 and 2040.</t>
  </si>
  <si>
    <r>
      <t xml:space="preserve">No Build Annual VMT </t>
    </r>
    <r>
      <rPr>
        <vertAlign val="superscript"/>
        <sz val="9"/>
        <color theme="1"/>
        <rFont val="Calibri"/>
        <family val="2"/>
        <scheme val="minor"/>
      </rPr>
      <t>1</t>
    </r>
  </si>
  <si>
    <r>
      <t xml:space="preserve">Build - Annual VMT </t>
    </r>
    <r>
      <rPr>
        <vertAlign val="superscript"/>
        <sz val="9"/>
        <color theme="1"/>
        <rFont val="Calibri"/>
        <family val="2"/>
        <scheme val="minor"/>
      </rPr>
      <t>1</t>
    </r>
  </si>
  <si>
    <t>Build 1</t>
  </si>
  <si>
    <t>% Difference</t>
  </si>
  <si>
    <t>VMT</t>
  </si>
  <si>
    <t>VHT</t>
  </si>
  <si>
    <t>VMT/VHT</t>
  </si>
  <si>
    <t>Freeway</t>
  </si>
  <si>
    <t>Expressway</t>
  </si>
  <si>
    <t>Divided Arterial</t>
  </si>
  <si>
    <t>Undivided Arterial</t>
  </si>
  <si>
    <t>Collector</t>
  </si>
  <si>
    <t>Ramp</t>
  </si>
  <si>
    <t>MnPASS</t>
  </si>
  <si>
    <t>Build 1 to NB</t>
  </si>
  <si>
    <t>Table 2 - Network Daily VMT Summary</t>
  </si>
  <si>
    <r>
      <t xml:space="preserve">Table 3 - Aggregated Regional Crash Rates (crashes per 100 million vehicle-miles traveled) by Severity </t>
    </r>
    <r>
      <rPr>
        <b/>
        <vertAlign val="superscript"/>
        <sz val="11"/>
        <color theme="1"/>
        <rFont val="Calibri"/>
        <family val="2"/>
        <scheme val="minor"/>
      </rPr>
      <t>1</t>
    </r>
  </si>
  <si>
    <r>
      <t xml:space="preserve">Table 4 - Regional Crash Costs </t>
    </r>
    <r>
      <rPr>
        <b/>
        <vertAlign val="superscript"/>
        <sz val="11"/>
        <color theme="1"/>
        <rFont val="Calibri"/>
        <family val="2"/>
        <scheme val="minor"/>
      </rPr>
      <t>1</t>
    </r>
  </si>
  <si>
    <r>
      <t xml:space="preserve">Table 2 - Fleet Composition </t>
    </r>
    <r>
      <rPr>
        <b/>
        <vertAlign val="superscript"/>
        <sz val="11"/>
        <rFont val="Calibri"/>
        <family val="2"/>
        <scheme val="minor"/>
      </rPr>
      <t>2</t>
    </r>
  </si>
  <si>
    <r>
      <t xml:space="preserve">Table 3 - Vehicle Occupancy </t>
    </r>
    <r>
      <rPr>
        <b/>
        <vertAlign val="superscript"/>
        <sz val="11"/>
        <rFont val="Calibri"/>
        <family val="2"/>
        <scheme val="minor"/>
      </rPr>
      <t>3</t>
    </r>
  </si>
  <si>
    <t>CO2 Savings Estimations</t>
  </si>
  <si>
    <t>Total (Carbon + Other Emissions)</t>
  </si>
  <si>
    <t>Change in C023 (metric tons)</t>
  </si>
  <si>
    <t>Yearly Emissions Savings Without Carbon in Current Dollars ($) 2</t>
  </si>
  <si>
    <t>3% Discount</t>
  </si>
  <si>
    <t>Change in NOx 
(metric tons)1</t>
  </si>
  <si>
    <t>Change in SO2
(metric tons)1</t>
  </si>
  <si>
    <t>Change in PM
(metric tons)1</t>
  </si>
  <si>
    <t>Change in NOx 
($)(2)</t>
  </si>
  <si>
    <t>Change in PM
($)(2)</t>
  </si>
  <si>
    <t>Yearly Emissions Savings in Current Dollars ($) (2)</t>
  </si>
  <si>
    <t>Subtotal</t>
  </si>
  <si>
    <t xml:space="preserve"> 7%Discounted</t>
  </si>
  <si>
    <t>Metric Tons</t>
  </si>
  <si>
    <t>Pollutant Name</t>
  </si>
  <si>
    <t>Future No Build</t>
  </si>
  <si>
    <t>Future Build</t>
  </si>
  <si>
    <t>Nox</t>
  </si>
  <si>
    <t>SO2</t>
  </si>
  <si>
    <t>CO2</t>
  </si>
  <si>
    <t>PM 2.5</t>
  </si>
  <si>
    <t>NOX</t>
  </si>
  <si>
    <t>PM2.5</t>
  </si>
  <si>
    <t xml:space="preserve">Existing, Opening Year, and Future Year emission quantities were developed using the latest Travel Demand Model (TDM) for the Twin Cities Metro region and the Environmental Protection Agency’s latest version of the Motor Vehicle Emission Simulator (MOVES) version 3. Vehicle Miles Traveled (VMT) in conjunction with link speeds are summarized for each scenario from the TDM within the project influence area and are then formatted to be run in MOVES. MOVES is then run for each scenario assuming a yearly aggregate for each pollutant to determine the number of metric tons of each pollutant per year. </t>
  </si>
  <si>
    <t>Existing No Build</t>
  </si>
  <si>
    <t>Existing Build</t>
  </si>
  <si>
    <t>Change in SO2 ($)(2)</t>
  </si>
  <si>
    <r>
      <t>Air quality (no CO</t>
    </r>
    <r>
      <rPr>
        <vertAlign val="subscript"/>
        <sz val="9"/>
        <color theme="1"/>
        <rFont val="Calibri"/>
        <family val="2"/>
        <scheme val="minor"/>
      </rPr>
      <t>2</t>
    </r>
    <r>
      <rPr>
        <sz val="9"/>
        <color theme="1"/>
        <rFont val="Calibri"/>
        <family val="2"/>
        <scheme val="minor"/>
      </rPr>
      <t>)</t>
    </r>
  </si>
  <si>
    <r>
      <t>CO</t>
    </r>
    <r>
      <rPr>
        <vertAlign val="subscript"/>
        <sz val="9"/>
        <color theme="1"/>
        <rFont val="Calibri"/>
        <family val="2"/>
        <scheme val="minor"/>
      </rPr>
      <t>2</t>
    </r>
    <r>
      <rPr>
        <sz val="9"/>
        <color theme="1"/>
        <rFont val="Calibri"/>
        <family val="2"/>
        <scheme val="minor"/>
      </rPr>
      <t xml:space="preserve"> Discounted at 3%</t>
    </r>
  </si>
  <si>
    <t>Regional year 2014 and 2040 VMT and VHT from the Twin Cities Regional Travel Demand Model were summarized for the No Build and Build Alternatives. The regional model captured travel time changes related to trip diversion by facility type. Benefits for the years between 2025 and 2044 were interpolated based on model results using an annual growth rate, and benefits for years beyond 2040 were extrapolated using the same growth rate.</t>
  </si>
  <si>
    <t>Months of Construction in Year 2023</t>
  </si>
  <si>
    <t xml:space="preserve">  </t>
  </si>
  <si>
    <t>Capital Costs (2020$)</t>
  </si>
  <si>
    <t xml:space="preserve">Capital Costs (2022$) </t>
  </si>
  <si>
    <t>Deflator 2022 to 2020</t>
  </si>
  <si>
    <r>
      <t>Table 1 - Per-mile Operating Cost by Mode (2021)</t>
    </r>
    <r>
      <rPr>
        <b/>
        <vertAlign val="superscript"/>
        <sz val="11"/>
        <color theme="1"/>
        <rFont val="Calibri"/>
        <family val="2"/>
        <scheme val="minor"/>
      </rPr>
      <t xml:space="preserve"> 2</t>
    </r>
  </si>
  <si>
    <t>*Damage costs for emissions in years beyond 2050 assume costs provided for year 2050.</t>
  </si>
  <si>
    <t xml:space="preserve">RAISE 2022 BCA SUMMARY - Highway 610 Completion </t>
  </si>
  <si>
    <r>
      <t>VMT by facility type (e.g. collector, expressway, freeway, etc.) was extracted from the regional travel demand model for each modeling scenario. Metro district average crash rates by facility type and severity were obtained from the</t>
    </r>
    <r>
      <rPr>
        <sz val="11"/>
        <color theme="1"/>
        <rFont val="Calibri"/>
        <family val="2"/>
        <scheme val="minor"/>
      </rPr>
      <t xml:space="preserve"> MnDOT Section Toolkit. Model VMT by facility type was then applied to crash rates by facility type to project the weighted crash rate by severity for each scenario. The crash rates by severity were then applied to the network VMT to estimate crashes by severity. </t>
    </r>
  </si>
  <si>
    <t>COMMUNITY LIVABILITY (QUALITY OF LIFE) BENEFITS OF TRAIL FACILITY</t>
  </si>
  <si>
    <t>Base year</t>
  </si>
  <si>
    <t>Existing Daily Cyclists - Commuter</t>
  </si>
  <si>
    <t>Existing Daily Cyclists - Recreational</t>
  </si>
  <si>
    <t>New Daily Cyclists - Commuter</t>
  </si>
  <si>
    <t>New Daily Cyclists - Recreational</t>
  </si>
  <si>
    <t>Mobility Cost Savings</t>
  </si>
  <si>
    <t>Mortality (Health) Cost Savings</t>
  </si>
  <si>
    <t>Recreation  Cost Savings</t>
  </si>
  <si>
    <t>Cycling Facility Improvement (Amenity) Cost Savings</t>
  </si>
  <si>
    <t>Reduced Auto Use (Congestion) Cost Savings</t>
  </si>
  <si>
    <t>Quality of Life Benefits</t>
  </si>
  <si>
    <t>New Trail Length (mi)</t>
  </si>
  <si>
    <r>
      <t>Table 1 - 2019 Population Near Project Area</t>
    </r>
    <r>
      <rPr>
        <b/>
        <vertAlign val="superscript"/>
        <sz val="11"/>
        <color theme="1"/>
        <rFont val="Calibri"/>
        <family val="2"/>
        <scheme val="minor"/>
      </rPr>
      <t>1</t>
    </r>
  </si>
  <si>
    <t>Distance from project</t>
  </si>
  <si>
    <t>Population</t>
  </si>
  <si>
    <t>Less than 1/4 mile</t>
  </si>
  <si>
    <t>1/4 mile to 1/2 mile</t>
  </si>
  <si>
    <t>1/2 mile to 1 mile</t>
  </si>
  <si>
    <r>
      <t>Population between 20-65 years old</t>
    </r>
    <r>
      <rPr>
        <vertAlign val="superscript"/>
        <sz val="11"/>
        <color theme="1"/>
        <rFont val="Calibri"/>
        <family val="2"/>
        <scheme val="minor"/>
      </rPr>
      <t>3</t>
    </r>
  </si>
  <si>
    <r>
      <t>Commute to work on bicycle</t>
    </r>
    <r>
      <rPr>
        <vertAlign val="superscript"/>
        <sz val="11"/>
        <color theme="1"/>
        <rFont val="Calibri"/>
        <family val="2"/>
        <scheme val="minor"/>
      </rPr>
      <t>4</t>
    </r>
  </si>
  <si>
    <r>
      <t>Adults who commute</t>
    </r>
    <r>
      <rPr>
        <vertAlign val="superscript"/>
        <sz val="11"/>
        <color theme="1"/>
        <rFont val="Calibri"/>
        <family val="2"/>
        <scheme val="minor"/>
      </rPr>
      <t>5</t>
    </r>
  </si>
  <si>
    <t>Rpt 552, page# 38</t>
  </si>
  <si>
    <r>
      <t>Table 3 - New and Existing Cyclists</t>
    </r>
    <r>
      <rPr>
        <b/>
        <vertAlign val="superscript"/>
        <sz val="11"/>
        <color theme="1"/>
        <rFont val="Calibri"/>
        <family val="2"/>
        <scheme val="minor"/>
      </rPr>
      <t>5</t>
    </r>
    <r>
      <rPr>
        <b/>
        <sz val="11"/>
        <color theme="1"/>
        <rFont val="Calibri"/>
        <family val="2"/>
        <scheme val="minor"/>
      </rPr>
      <t xml:space="preserve"> </t>
    </r>
    <r>
      <rPr>
        <b/>
        <i/>
        <sz val="11"/>
        <color theme="1"/>
        <rFont val="Calibri"/>
        <family val="2"/>
        <scheme val="minor"/>
      </rPr>
      <t>(Rpt 552 page 38-39)</t>
    </r>
  </si>
  <si>
    <t>Total daily adult cyclists</t>
  </si>
  <si>
    <t>Commuters</t>
  </si>
  <si>
    <t>Recreational</t>
  </si>
  <si>
    <t>All Adult Bicyclists</t>
  </si>
  <si>
    <t>Low Estimate</t>
  </si>
  <si>
    <t>Moderate Estimate</t>
  </si>
  <si>
    <t>High Estimate</t>
  </si>
  <si>
    <t>Existing daily cyclists (2019)</t>
  </si>
  <si>
    <t>New daily cyclists (2019)</t>
  </si>
  <si>
    <t>Daily Total (2019)</t>
  </si>
  <si>
    <t>Moderate Estimate Assumed</t>
  </si>
  <si>
    <t>Existing daily cyclists (2010)</t>
  </si>
  <si>
    <t>New daily cyclists (2010)</t>
  </si>
  <si>
    <t>Daily Total (2010)</t>
  </si>
  <si>
    <t>Table 5 - Mobility Benefit Calculations</t>
  </si>
  <si>
    <r>
      <t xml:space="preserve">Commuting days per year </t>
    </r>
    <r>
      <rPr>
        <vertAlign val="superscript"/>
        <sz val="11"/>
        <color theme="1"/>
        <rFont val="Calibri"/>
        <family val="2"/>
        <scheme val="minor"/>
      </rPr>
      <t>5</t>
    </r>
  </si>
  <si>
    <t>Rpt 552, page# 39</t>
  </si>
  <si>
    <r>
      <t xml:space="preserve">Trips per day </t>
    </r>
    <r>
      <rPr>
        <vertAlign val="superscript"/>
        <sz val="11"/>
        <color theme="1"/>
        <rFont val="Calibri"/>
        <family val="2"/>
        <scheme val="minor"/>
      </rPr>
      <t>5</t>
    </r>
  </si>
  <si>
    <r>
      <t xml:space="preserve">Willingness to travel (minutes) </t>
    </r>
    <r>
      <rPr>
        <vertAlign val="superscript"/>
        <sz val="11"/>
        <color theme="1"/>
        <rFont val="Calibri"/>
        <family val="2"/>
        <scheme val="minor"/>
      </rPr>
      <t>5</t>
    </r>
  </si>
  <si>
    <t>NCHRP 552 Logit model (page# D-11 Table 24): Facility D to A improvement is worth 21.6 min; B to A: 5.2 min; E to A: 30.5 min; and E to C: 16.4 min.</t>
  </si>
  <si>
    <r>
      <t>Value of time (2018 Dollars per minute)</t>
    </r>
    <r>
      <rPr>
        <vertAlign val="superscript"/>
        <sz val="11"/>
        <color theme="1"/>
        <rFont val="Calibri"/>
        <family val="2"/>
        <scheme val="minor"/>
      </rPr>
      <t>9</t>
    </r>
  </si>
  <si>
    <t>Rpt 552, page# 36</t>
  </si>
  <si>
    <t>Fraction of riders accounted for mobility benefits</t>
  </si>
  <si>
    <t>Rpt 552, page# 39, E-1</t>
  </si>
  <si>
    <t xml:space="preserve">Annual Recreational Days </t>
  </si>
  <si>
    <r>
      <t xml:space="preserve">Table 7 - Recreation Benefit Calculations </t>
    </r>
    <r>
      <rPr>
        <b/>
        <vertAlign val="superscript"/>
        <sz val="11"/>
        <color theme="1"/>
        <rFont val="Calibri"/>
        <family val="2"/>
        <scheme val="minor"/>
      </rPr>
      <t>5</t>
    </r>
  </si>
  <si>
    <t>Value of recreation per trip (2006$)</t>
  </si>
  <si>
    <t>Rpt 552, page# 39, G-1</t>
  </si>
  <si>
    <t xml:space="preserve">Commuting days per year </t>
  </si>
  <si>
    <t>Page# 39 uses 365 days. 3 months were excluded to acount for the local weather conditions</t>
  </si>
  <si>
    <r>
      <t xml:space="preserve">Table 8 - Reduced Auto Use (Congestion) Benefit Calculations </t>
    </r>
    <r>
      <rPr>
        <b/>
        <vertAlign val="superscript"/>
        <sz val="11"/>
        <color theme="1"/>
        <rFont val="Calibri"/>
        <family val="2"/>
        <scheme val="minor"/>
      </rPr>
      <t>5</t>
    </r>
  </si>
  <si>
    <t>Savings per mile (2006$)</t>
  </si>
  <si>
    <r>
      <t xml:space="preserve">Page# 39: 3.5₵ </t>
    </r>
    <r>
      <rPr>
        <i/>
        <sz val="9.35"/>
        <color theme="0" tint="-0.499984740745262"/>
        <rFont val="Calibri"/>
        <family val="2"/>
      </rPr>
      <t>for Congestion, 4₵ for pollution, and 3₵ for user cost savings assuming the average between central city and suburban land uses.</t>
    </r>
  </si>
  <si>
    <t>6)</t>
  </si>
  <si>
    <r>
      <t>Mobility benefit methodology</t>
    </r>
    <r>
      <rPr>
        <vertAlign val="superscript"/>
        <sz val="11"/>
        <color theme="1"/>
        <rFont val="Calibri"/>
        <family val="2"/>
        <scheme val="minor"/>
      </rPr>
      <t>5</t>
    </r>
    <r>
      <rPr>
        <sz val="11"/>
        <color theme="1"/>
        <rFont val="Calibri"/>
        <family val="2"/>
        <scheme val="minor"/>
      </rPr>
      <t xml:space="preserve"> assumes, "no bicycle facility previously existed nearby, aside from streets with parking". Therefore, some of estimated new cyclists should be considered as existing cyclists in case of a bike facility presence in the proximity of the study area.</t>
    </r>
  </si>
  <si>
    <t xml:space="preserve"> Convert 2006$ to 2020$</t>
  </si>
  <si>
    <t xml:space="preserve"> Convert 2018$ to 2020$</t>
  </si>
  <si>
    <t>7)</t>
  </si>
  <si>
    <t>Lack of Safe Bike Infrastructure - 50 % existing cyclists and not induced</t>
  </si>
  <si>
    <t>8)</t>
  </si>
  <si>
    <t>9)</t>
  </si>
  <si>
    <t xml:space="preserve">ROW Acqiusition </t>
  </si>
  <si>
    <t>Quality of Life</t>
  </si>
  <si>
    <t>Total Quality of Life Cost Savings</t>
  </si>
  <si>
    <t>Months of Construction in Year 2024</t>
  </si>
  <si>
    <t xml:space="preserve">User operating costs for all-purpose vehicle travel and truck drivers were valued in accordance with Benefit-Cost Analysis Guidance for Discretionary Grant Programs - - March 2022 (Revised) https://www.transportation.gov/sites/dot.gov/files/2022-03/Benefit%20Cost%20Analysis%20Guidance%202022%20%28Revised%29.pdf). The recommended values were provided in year 2020 dollars. </t>
  </si>
  <si>
    <t xml:space="preserve">Vehicle occupancy ratios were obtained from Benefit-Cost Analysis Guidance for Discretionary Grant Programs - - March 2022 (Revised) https://www.transportation.gov/sites/dot.gov/files/2022-03/Benefit%20Cost%20Analysis%20Guidance%202022%20%28Revised%29.pdf). The recommended values were provided in year 2020 dollars. </t>
  </si>
  <si>
    <t>Inflation Adustment - GDP Deflator</t>
  </si>
  <si>
    <t>Convert year 2021 to 2020</t>
  </si>
  <si>
    <r>
      <t xml:space="preserve">Table 2 - Fleet Composition </t>
    </r>
    <r>
      <rPr>
        <b/>
        <vertAlign val="superscript"/>
        <sz val="11"/>
        <color theme="1"/>
        <rFont val="Calibri"/>
        <family val="2"/>
        <scheme val="minor"/>
      </rPr>
      <t>3</t>
    </r>
  </si>
  <si>
    <t>User operating costs for all-purpose vehicle travel and truck drivers were valued in accordance with Recommended standard values for use in cost-effectiveness and benefit-cost analysis in SFY2022 from MnDOT Office of Transportation System Management, July 2021  https://www.dot.state.mn.us/planning/program/pdf/Table%20A.1%20SV%20L-ML-H%201-July-2021.pdf The recommended values for operative cost were deflated back to year 2020 dollars from year 2021 dollars.</t>
  </si>
  <si>
    <r>
      <t xml:space="preserve">Table 1 - Crash Costs by Severity </t>
    </r>
    <r>
      <rPr>
        <b/>
        <vertAlign val="superscript"/>
        <sz val="11"/>
        <color theme="1"/>
        <rFont val="Calibri"/>
        <family val="2"/>
        <scheme val="minor"/>
      </rPr>
      <t>2</t>
    </r>
  </si>
  <si>
    <t>Crash Costs by severity were valued in accordance with Benefit-Cost Analysis Guidance for Discretionary Grant Programs - March 2022 (Revised).</t>
  </si>
  <si>
    <r>
      <t xml:space="preserve">Table 1 - Pollution Emission by Mode (g/VMT) </t>
    </r>
    <r>
      <rPr>
        <b/>
        <vertAlign val="superscript"/>
        <sz val="11"/>
        <color theme="1"/>
        <rFont val="Calibri"/>
        <family val="2"/>
        <scheme val="minor"/>
      </rPr>
      <t>1</t>
    </r>
  </si>
  <si>
    <t>Other Emissions Cost Savings</t>
  </si>
  <si>
    <r>
      <t xml:space="preserve">Table 2 - Damage Costs for Emissions per metric ton </t>
    </r>
    <r>
      <rPr>
        <b/>
        <vertAlign val="superscript"/>
        <sz val="11"/>
        <color theme="1"/>
        <rFont val="Calibri"/>
        <family val="2"/>
        <scheme val="minor"/>
      </rPr>
      <t>2</t>
    </r>
  </si>
  <si>
    <t>Recommended emission values were obtained from Benefit-Cost Analysis Guidance for Discretionary Grant Programs - March 2022 (Revised).</t>
  </si>
  <si>
    <t xml:space="preserve">Impacted by New Trail </t>
  </si>
  <si>
    <t>Induced by New Trail</t>
  </si>
  <si>
    <t>Annual Quality of Benefits</t>
  </si>
  <si>
    <t>Table 2 - Relevent Population Characteristics</t>
  </si>
  <si>
    <r>
      <t>Average Cycling Trip Length (miles)</t>
    </r>
    <r>
      <rPr>
        <vertAlign val="superscript"/>
        <sz val="11"/>
        <color theme="1"/>
        <rFont val="Calibri"/>
        <family val="2"/>
        <scheme val="minor"/>
      </rPr>
      <t>6</t>
    </r>
  </si>
  <si>
    <t xml:space="preserve">Project length or average trip length, whichever is smaller. The estimated value per projected cyclist on a proposed facility should be capped at 2.38 miles, the average length of a cycling trip in the 2017 National Household Travel Survey </t>
  </si>
  <si>
    <r>
      <t xml:space="preserve">Table 4 - New and Existing Cyclists after Accounting for the New Bike Facility </t>
    </r>
    <r>
      <rPr>
        <b/>
        <vertAlign val="superscript"/>
        <sz val="11"/>
        <color theme="1"/>
        <rFont val="Calibri"/>
        <family val="2"/>
        <scheme val="minor"/>
      </rPr>
      <t>7</t>
    </r>
    <r>
      <rPr>
        <b/>
        <sz val="11"/>
        <color theme="1"/>
        <rFont val="Calibri"/>
        <family val="2"/>
        <scheme val="minor"/>
      </rPr>
      <t xml:space="preserve"> </t>
    </r>
  </si>
  <si>
    <r>
      <t>Existing rate</t>
    </r>
    <r>
      <rPr>
        <vertAlign val="superscript"/>
        <sz val="11"/>
        <color theme="1"/>
        <rFont val="Calibri"/>
        <family val="2"/>
        <scheme val="minor"/>
      </rPr>
      <t>8</t>
    </r>
    <r>
      <rPr>
        <sz val="11"/>
        <color theme="1"/>
        <rFont val="Calibri"/>
        <family val="2"/>
        <scheme val="minor"/>
      </rPr>
      <t>:</t>
    </r>
  </si>
  <si>
    <t>Rpt 552, page# 39 (50 wks, 5 days per week)</t>
  </si>
  <si>
    <t xml:space="preserve">Population was determined using 2015 - 2019 American Community Survey Estimates at the 2010 census tract level. A buffer was created in GIS with no overlap. The census tract data was apportioned based on the area meaning if 25% of the tract was in the buffer than 25% of the population from the ACS estimates was included in the buffer. A Map showing the buffer is to the right of Table 1. </t>
  </si>
  <si>
    <r>
      <t xml:space="preserve">Mobility adjustment factor </t>
    </r>
    <r>
      <rPr>
        <vertAlign val="superscript"/>
        <sz val="11"/>
        <color theme="1"/>
        <rFont val="Calibri"/>
        <family val="2"/>
        <scheme val="minor"/>
      </rPr>
      <t>7</t>
    </r>
  </si>
  <si>
    <t xml:space="preserve">Table 6 - Mortality (Health) Savings Calculations </t>
  </si>
  <si>
    <r>
      <t>Annual cycling savings per induced trip (2020)</t>
    </r>
    <r>
      <rPr>
        <vertAlign val="superscript"/>
        <sz val="11"/>
        <color theme="1"/>
        <rFont val="Calibri"/>
        <family val="2"/>
        <scheme val="minor"/>
      </rPr>
      <t>6</t>
    </r>
  </si>
  <si>
    <t xml:space="preserve">Population percentage between 20-65 was determined using the data gathered from the GIS buffers as described in Note 1. </t>
  </si>
  <si>
    <r>
      <rPr>
        <sz val="11"/>
        <rFont val="Calibri"/>
        <family val="2"/>
        <scheme val="minor"/>
      </rPr>
      <t>Percentage of Cycling commuters were determined by using 2019 ACS 5-Year Estimates (Table S0801) for MN</t>
    </r>
    <r>
      <rPr>
        <u/>
        <sz val="11"/>
        <color theme="10"/>
        <rFont val="Calibri"/>
        <family val="2"/>
        <scheme val="minor"/>
      </rPr>
      <t xml:space="preserve"> </t>
    </r>
    <r>
      <rPr>
        <sz val="11"/>
        <rFont val="Calibri"/>
        <family val="2"/>
        <scheme val="minor"/>
      </rPr>
      <t>https://data.census.gov/cedsci/table?q=cycling%20commuter&amp;g=0400000US27&amp;tid=ACSST5Y2019.S0801</t>
    </r>
  </si>
  <si>
    <t xml:space="preserve">Values for bicycle demand and benefit calculations based on a methodology described in the National Cooperative Highway Research Program's (NCHRP) Report 552: Guidelines for Analysis of Investments in Bicycle Facilities (2006). (http://onlinepubs.trb.org/onlinepubs/nchrp/nchrp_rpt_552.pdf). </t>
  </si>
  <si>
    <t xml:space="preserve">Table 7 - Cycling Facility Improvement (Amenity) Benefit Calculations </t>
  </si>
  <si>
    <r>
      <t xml:space="preserve">Daily value of recreation </t>
    </r>
    <r>
      <rPr>
        <vertAlign val="superscript"/>
        <sz val="11"/>
        <color theme="1"/>
        <rFont val="Calibri"/>
        <family val="2"/>
        <scheme val="minor"/>
      </rPr>
      <t>6</t>
    </r>
  </si>
  <si>
    <r>
      <t xml:space="preserve">Annual Recreational Days </t>
    </r>
    <r>
      <rPr>
        <vertAlign val="superscript"/>
        <sz val="11"/>
        <color theme="1"/>
        <rFont val="Calibri"/>
        <family val="2"/>
        <scheme val="minor"/>
      </rPr>
      <t>5</t>
    </r>
  </si>
  <si>
    <t>Benefit-Cost Analysis Guidance for BUILD Applications, January 2020 &amp; Implicit Price Deflators for Gross Domestic Product (Bureau of Economic Analysis). The recommended values for operative cost were inflated to year 2020 dollars from year 2018 dollars.</t>
  </si>
  <si>
    <r>
      <t xml:space="preserve">Table 9 - Inflation Factor </t>
    </r>
    <r>
      <rPr>
        <b/>
        <vertAlign val="superscript"/>
        <sz val="11"/>
        <color theme="1"/>
        <rFont val="Calibri"/>
        <family val="2"/>
        <scheme val="minor"/>
      </rPr>
      <t>6</t>
    </r>
  </si>
  <si>
    <t xml:space="preserve">10) </t>
  </si>
  <si>
    <t xml:space="preserve">Demand and benefit for pedestrians were not included as a part of the BCA.  According to NCHRP Report 552 (p. 44), "walking is 10 times as common as bicycling. An estimated 70% of adults walk at least once per week (in the NHTS baseline sample) while about 7% bike. Because so many people walk already it seems unlikely that new facilities will have a significant impact on total demand, although they may influence where walking is done." </t>
  </si>
  <si>
    <t>The average cycling trip length was assumed the total length since it is below the national average of 2.38 mi according to the Benefit-Cost Analysis Guidance for Discretionary Grant Programs - March 2022 (Revised).</t>
  </si>
  <si>
    <r>
      <t>Annual population growth</t>
    </r>
    <r>
      <rPr>
        <vertAlign val="superscript"/>
        <sz val="11"/>
        <color theme="1"/>
        <rFont val="Calibri"/>
        <family val="2"/>
        <scheme val="minor"/>
      </rPr>
      <t>2</t>
    </r>
  </si>
  <si>
    <t>Years</t>
  </si>
  <si>
    <t xml:space="preserve">Population </t>
  </si>
  <si>
    <t>Avg</t>
  </si>
  <si>
    <t>Pop Increase (10yr)</t>
  </si>
  <si>
    <t>Pop Increase (Annual)</t>
  </si>
  <si>
    <t>For the purpose of this analysis it was assumed that the project would begin construction in the year 2023. Project construction was assumed to take two years, ending in 2024; the first full year of project benefits was assumed to be 2025.</t>
  </si>
  <si>
    <t>Annual population growth was determined by taking the average growth forecasted from 2010-2040 as described in Maple Grove's 2040 Comprehensive Plan. https://www.maplegrovemn.gov/DocumentCenter/View/1718/Maple-Grove-2040-comprehensive-plan-PDF?bidId=</t>
  </si>
  <si>
    <t>This analysis assumed that ROW acquisting would be completed in 2022 and construction would take place from year 2023 to 2024. Capital costs were distributed evenly amongst the three calendar years from 2022 to 2024. Initial capital cost were brought back to 2020 dollars to determine present value.</t>
  </si>
  <si>
    <t>Table 1 Pavement Lane-Miles</t>
  </si>
  <si>
    <t>Existing (lane miles)</t>
  </si>
  <si>
    <t>Annual maintenance cost savings were computed by determining the net lane-miles added to the network under the Build Alternative compared to the No Build. A value of $8,100 per lane-mile was applied in calculating the yearly cost.</t>
  </si>
  <si>
    <t xml:space="preserve">Build (lane miles)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</si>
</sst>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 ;\(&quot;$&quot;#,##0\)"/>
    <numFmt numFmtId="167" formatCode="_(* #,##0_);_(* \(#,##0\);_(* &quot;-&quot;??_);_(@_)"/>
    <numFmt numFmtId="168" formatCode="0.0%"/>
    <numFmt numFmtId="169" formatCode="&quot;$&quot;#,##0.00"/>
    <numFmt numFmtId="170" formatCode="0.000"/>
    <numFmt numFmtId="171" formatCode="0.0"/>
    <numFmt numFmtId="172" formatCode="#,##0.000"/>
    <numFmt numFmtId="173" formatCode="_(* #,##0.0_);_(* \(#,##0.0\);_(* &quot;-&quot;??_);_(@_)"/>
    <numFmt numFmtId="174" formatCode="_(&quot;$&quot;* #,##0.000_);_(&quot;$&quot;* \(#,##0.000\);_(&quot;$&quot;* &quot;-&quot;??_);_(@_)"/>
  </numFmts>
  <fonts count="43"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vertAlign val="superscript"/>
      <sz val="9"/>
      <color theme="1"/>
      <name val="Calibri"/>
      <family val="2"/>
      <scheme val="minor"/>
    </font>
    <font>
      <sz val="11"/>
      <name val="Calibri"/>
      <family val="2"/>
      <scheme val="minor"/>
    </font>
    <font>
      <sz val="10"/>
      <name val="Arial"/>
      <family val="2"/>
    </font>
    <font>
      <b/>
      <sz val="9"/>
      <name val="Calibri"/>
      <family val="2"/>
      <scheme val="minor"/>
    </font>
    <font>
      <sz val="9"/>
      <name val="Calibri"/>
      <family val="2"/>
      <scheme val="minor"/>
    </font>
    <font>
      <b/>
      <sz val="12"/>
      <color theme="1"/>
      <name val="Calibri"/>
      <family val="2"/>
      <scheme val="minor"/>
    </font>
    <font>
      <sz val="11"/>
      <color theme="0" tint="-0.249977111117893"/>
      <name val="Calibri"/>
      <family val="2"/>
      <scheme val="minor"/>
    </font>
    <font>
      <sz val="9"/>
      <color theme="0" tint="-0.249977111117893"/>
      <name val="Calibri"/>
      <family val="2"/>
      <scheme val="minor"/>
    </font>
    <font>
      <sz val="11"/>
      <name val="Arial Narrow"/>
      <family val="2"/>
    </font>
    <font>
      <b/>
      <sz val="11"/>
      <name val="Calibri"/>
      <family val="2"/>
      <scheme val="minor"/>
    </font>
    <font>
      <b/>
      <sz val="18"/>
      <color theme="1"/>
      <name val="Calibri"/>
      <family val="2"/>
      <scheme val="minor"/>
    </font>
    <font>
      <b/>
      <vertAlign val="superscript"/>
      <sz val="11"/>
      <color theme="1"/>
      <name val="Calibri"/>
      <family val="2"/>
      <scheme val="minor"/>
    </font>
    <font>
      <sz val="11"/>
      <color rgb="FF00B0F0"/>
      <name val="Calibri"/>
      <family val="2"/>
      <scheme val="minor"/>
    </font>
    <font>
      <sz val="11"/>
      <color indexed="8"/>
      <name val="Calibri"/>
      <family val="2"/>
      <scheme val="minor"/>
    </font>
    <font>
      <b/>
      <i/>
      <sz val="11"/>
      <color theme="1"/>
      <name val="Calibri"/>
      <family val="2"/>
      <scheme val="minor"/>
    </font>
    <font>
      <sz val="9"/>
      <color rgb="FF0070C0"/>
      <name val="Calibri"/>
      <family val="2"/>
      <scheme val="minor"/>
    </font>
    <font>
      <b/>
      <sz val="16"/>
      <color theme="1"/>
      <name val="Calibri"/>
      <family val="2"/>
      <scheme val="minor"/>
    </font>
    <font>
      <u/>
      <sz val="11"/>
      <color theme="10"/>
      <name val="Calibri"/>
      <family val="2"/>
      <scheme val="minor"/>
    </font>
    <font>
      <sz val="11"/>
      <color rgb="FFFF0000"/>
      <name val="Calibri"/>
      <family val="2"/>
      <scheme val="minor"/>
    </font>
    <font>
      <sz val="9"/>
      <name val="Arial"/>
      <family val="2"/>
    </font>
    <font>
      <b/>
      <sz val="9"/>
      <name val="Arial"/>
      <family val="2"/>
    </font>
    <font>
      <b/>
      <sz val="8"/>
      <name val="Arial"/>
      <family val="2"/>
    </font>
    <font>
      <b/>
      <sz val="14"/>
      <color theme="1"/>
      <name val="Calibri"/>
      <family val="2"/>
      <scheme val="minor"/>
    </font>
    <font>
      <sz val="11"/>
      <color rgb="FF00B050"/>
      <name val="Calibri"/>
      <family val="2"/>
      <scheme val="minor"/>
    </font>
    <font>
      <sz val="9"/>
      <color theme="0" tint="-0.34998626667073579"/>
      <name val="Calibri"/>
      <family val="2"/>
      <scheme val="minor"/>
    </font>
    <font>
      <sz val="11"/>
      <color theme="5"/>
      <name val="Calibri"/>
      <family val="2"/>
      <scheme val="minor"/>
    </font>
    <font>
      <b/>
      <vertAlign val="superscript"/>
      <sz val="11"/>
      <name val="Calibri"/>
      <family val="2"/>
      <scheme val="minor"/>
    </font>
    <font>
      <vertAlign val="subscript"/>
      <sz val="9"/>
      <color theme="1"/>
      <name val="Calibri"/>
      <family val="2"/>
      <scheme val="minor"/>
    </font>
    <font>
      <sz val="8"/>
      <name val="Calibri"/>
      <family val="2"/>
      <scheme val="minor"/>
    </font>
    <font>
      <b/>
      <sz val="16"/>
      <color rgb="FFFF0000"/>
      <name val="Calibri"/>
      <family val="2"/>
      <scheme val="minor"/>
    </font>
    <font>
      <vertAlign val="superscript"/>
      <sz val="11"/>
      <color theme="1"/>
      <name val="Calibri"/>
      <family val="2"/>
      <scheme val="minor"/>
    </font>
    <font>
      <i/>
      <sz val="11"/>
      <color theme="0" tint="-0.499984740745262"/>
      <name val="Calibri"/>
      <family val="2"/>
      <scheme val="minor"/>
    </font>
    <font>
      <sz val="10"/>
      <color theme="0" tint="-0.499984740745262"/>
      <name val="Calibri"/>
      <family val="2"/>
      <scheme val="minor"/>
    </font>
    <font>
      <sz val="10"/>
      <color rgb="FFFF0000"/>
      <name val="Times"/>
      <family val="1"/>
    </font>
    <font>
      <i/>
      <sz val="9.35"/>
      <color theme="0" tint="-0.499984740745262"/>
      <name val="Calibri"/>
      <family val="2"/>
    </font>
    <font>
      <i/>
      <sz val="11"/>
      <color theme="1"/>
      <name val="Calibri"/>
      <family val="2"/>
      <scheme val="minor"/>
    </font>
    <font>
      <sz val="11"/>
      <color theme="0" tint="-0.499984740745262"/>
      <name val="Calibri"/>
      <family val="2"/>
      <scheme val="minor"/>
    </font>
    <font>
      <b/>
      <sz val="11"/>
      <color theme="0" tint="-0.499984740745262"/>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0070C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style="medium">
        <color auto="1"/>
      </right>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indexed="64"/>
      </right>
      <top style="medium">
        <color indexed="64"/>
      </top>
      <bottom style="thin">
        <color indexed="64"/>
      </bottom>
      <diagonal/>
    </border>
  </borders>
  <cellStyleXfs count="19">
    <xf numFmtId="0" fontId="0" fillId="0" borderId="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3"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1" fillId="0" borderId="0"/>
    <xf numFmtId="0" fontId="13"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8" fillId="0" borderId="0"/>
    <xf numFmtId="0" fontId="22" fillId="0" borderId="0" applyNumberFormat="0" applyFill="0" applyBorder="0" applyAlignment="0" applyProtection="0"/>
  </cellStyleXfs>
  <cellXfs count="728">
    <xf numFmtId="0" fontId="0" fillId="0" borderId="0" xfId="0"/>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xf numFmtId="0" fontId="4" fillId="0" borderId="0" xfId="0" applyFont="1"/>
    <xf numFmtId="0" fontId="0" fillId="0" borderId="0" xfId="0" applyAlignment="1">
      <alignment horizontal="right"/>
    </xf>
    <xf numFmtId="0" fontId="8" fillId="0" borderId="0" xfId="0" applyFont="1" applyFill="1" applyBorder="1" applyAlignment="1">
      <alignment horizontal="center"/>
    </xf>
    <xf numFmtId="0" fontId="9" fillId="0" borderId="28" xfId="0" applyFont="1" applyBorder="1" applyAlignment="1">
      <alignment vertical="center"/>
    </xf>
    <xf numFmtId="164" fontId="2" fillId="0" borderId="0" xfId="0" applyNumberFormat="1" applyFont="1" applyBorder="1" applyAlignment="1">
      <alignment horizontal="center"/>
    </xf>
    <xf numFmtId="0" fontId="0" fillId="0" borderId="0" xfId="0" applyAlignment="1"/>
    <xf numFmtId="0" fontId="2" fillId="0" borderId="0" xfId="0" applyFont="1" applyBorder="1" applyAlignment="1">
      <alignment horizontal="center"/>
    </xf>
    <xf numFmtId="1" fontId="2" fillId="0" borderId="0" xfId="0" applyNumberFormat="1" applyFont="1" applyBorder="1" applyAlignment="1">
      <alignment horizontal="center"/>
    </xf>
    <xf numFmtId="0" fontId="10" fillId="0" borderId="0" xfId="0" applyFont="1" applyBorder="1" applyAlignment="1">
      <alignment horizontal="center"/>
    </xf>
    <xf numFmtId="0" fontId="11" fillId="0" borderId="0" xfId="0" applyFont="1"/>
    <xf numFmtId="164" fontId="12" fillId="0" borderId="0" xfId="0" applyNumberFormat="1" applyFont="1" applyFill="1" applyBorder="1" applyAlignment="1">
      <alignment horizontal="center"/>
    </xf>
    <xf numFmtId="0" fontId="0" fillId="0" borderId="42" xfId="0" applyBorder="1"/>
    <xf numFmtId="0" fontId="4" fillId="2" borderId="47" xfId="0" applyFont="1" applyFill="1" applyBorder="1"/>
    <xf numFmtId="0" fontId="4" fillId="2" borderId="46" xfId="0" applyFont="1" applyFill="1" applyBorder="1"/>
    <xf numFmtId="0" fontId="0" fillId="0" borderId="0" xfId="0" applyFill="1"/>
    <xf numFmtId="0" fontId="0" fillId="0" borderId="0" xfId="0" applyFill="1" applyAlignment="1"/>
    <xf numFmtId="0" fontId="4" fillId="0" borderId="0" xfId="0" applyFont="1" applyFill="1"/>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0" xfId="0" applyFont="1" applyFill="1"/>
    <xf numFmtId="0" fontId="3" fillId="0" borderId="0" xfId="0" applyFont="1" applyFill="1"/>
    <xf numFmtId="164" fontId="2" fillId="0" borderId="0" xfId="0" applyNumberFormat="1" applyFont="1" applyFill="1" applyAlignment="1">
      <alignment horizontal="center"/>
    </xf>
    <xf numFmtId="0" fontId="0" fillId="0" borderId="0" xfId="0" applyFill="1" applyAlignment="1">
      <alignment wrapText="1"/>
    </xf>
    <xf numFmtId="0" fontId="0" fillId="0" borderId="0" xfId="0" applyFill="1" applyBorder="1"/>
    <xf numFmtId="0" fontId="0" fillId="0" borderId="0" xfId="0" applyFill="1" applyBorder="1" applyAlignment="1">
      <alignment horizontal="center"/>
    </xf>
    <xf numFmtId="0" fontId="0" fillId="0" borderId="0" xfId="0" applyFill="1" applyAlignment="1">
      <alignment vertical="top" wrapText="1"/>
    </xf>
    <xf numFmtId="0" fontId="0" fillId="0" borderId="0" xfId="0" applyBorder="1"/>
    <xf numFmtId="0" fontId="0" fillId="0" borderId="0" xfId="0" applyAlignment="1">
      <alignment vertical="top" wrapText="1"/>
    </xf>
    <xf numFmtId="0" fontId="4" fillId="0" borderId="0" xfId="0" applyFont="1" applyBorder="1"/>
    <xf numFmtId="6" fontId="0" fillId="0" borderId="0" xfId="0" applyNumberFormat="1" applyFill="1" applyBorder="1" applyAlignment="1">
      <alignment horizontal="center"/>
    </xf>
    <xf numFmtId="0" fontId="0" fillId="0" borderId="0" xfId="0" applyFont="1" applyFill="1"/>
    <xf numFmtId="0" fontId="0" fillId="0" borderId="28" xfId="0" applyFont="1" applyFill="1" applyBorder="1" applyAlignment="1">
      <alignment horizontal="center"/>
    </xf>
    <xf numFmtId="0" fontId="0" fillId="0" borderId="0" xfId="0" applyBorder="1" applyAlignment="1">
      <alignment horizontal="center"/>
    </xf>
    <xf numFmtId="0" fontId="14" fillId="0" borderId="0" xfId="0" applyFont="1" applyFill="1" applyBorder="1" applyAlignment="1">
      <alignment horizontal="left"/>
    </xf>
    <xf numFmtId="0" fontId="15" fillId="0" borderId="0" xfId="0" applyFont="1"/>
    <xf numFmtId="0" fontId="0" fillId="0" borderId="4" xfId="0" applyBorder="1" applyAlignment="1">
      <alignment horizontal="center"/>
    </xf>
    <xf numFmtId="0" fontId="9" fillId="0" borderId="28" xfId="1" applyNumberFormat="1" applyFont="1" applyFill="1" applyBorder="1" applyAlignment="1">
      <alignment horizontal="center"/>
    </xf>
    <xf numFmtId="0" fontId="0" fillId="0" borderId="1" xfId="0" applyBorder="1"/>
    <xf numFmtId="0" fontId="0" fillId="0" borderId="2" xfId="0" applyBorder="1" applyAlignment="1">
      <alignment horizontal="center"/>
    </xf>
    <xf numFmtId="0" fontId="0" fillId="0" borderId="35" xfId="0" applyBorder="1"/>
    <xf numFmtId="0" fontId="0" fillId="0" borderId="34" xfId="0" applyBorder="1"/>
    <xf numFmtId="0" fontId="0" fillId="0" borderId="48" xfId="0" applyBorder="1"/>
    <xf numFmtId="0" fontId="0" fillId="0" borderId="3" xfId="0" applyBorder="1"/>
    <xf numFmtId="0" fontId="0" fillId="0" borderId="32" xfId="0" applyBorder="1"/>
    <xf numFmtId="0" fontId="0" fillId="0" borderId="36" xfId="0" applyBorder="1"/>
    <xf numFmtId="0" fontId="0" fillId="0" borderId="41" xfId="0" applyBorder="1"/>
    <xf numFmtId="0" fontId="0" fillId="0" borderId="44" xfId="0" applyBorder="1"/>
    <xf numFmtId="0" fontId="4" fillId="0" borderId="38" xfId="0" applyFont="1" applyBorder="1"/>
    <xf numFmtId="0" fontId="4" fillId="0" borderId="18" xfId="0" applyFont="1" applyBorder="1"/>
    <xf numFmtId="164" fontId="3" fillId="0" borderId="4" xfId="0" applyNumberFormat="1" applyFont="1" applyBorder="1" applyAlignment="1"/>
    <xf numFmtId="0" fontId="10" fillId="0" borderId="0" xfId="0" applyFont="1" applyAlignment="1">
      <alignment horizontal="left"/>
    </xf>
    <xf numFmtId="0" fontId="10" fillId="0" borderId="0" xfId="0" applyFont="1" applyBorder="1" applyAlignment="1">
      <alignment horizontal="left"/>
    </xf>
    <xf numFmtId="167" fontId="0" fillId="0" borderId="0" xfId="15" applyNumberFormat="1" applyFont="1" applyBorder="1"/>
    <xf numFmtId="164" fontId="0" fillId="0" borderId="0" xfId="0" applyNumberFormat="1" applyBorder="1" applyAlignment="1">
      <alignment horizontal="center"/>
    </xf>
    <xf numFmtId="2" fontId="0" fillId="0" borderId="0" xfId="0" applyNumberFormat="1" applyBorder="1" applyAlignment="1">
      <alignment horizontal="center"/>
    </xf>
    <xf numFmtId="0" fontId="0" fillId="0" borderId="0" xfId="0" applyBorder="1" applyAlignment="1"/>
    <xf numFmtId="9" fontId="4" fillId="0" borderId="0" xfId="0" applyNumberFormat="1" applyFont="1" applyFill="1" applyBorder="1" applyAlignment="1">
      <alignment horizontal="center"/>
    </xf>
    <xf numFmtId="9" fontId="17" fillId="0" borderId="19" xfId="0" applyNumberFormat="1" applyFont="1" applyBorder="1" applyAlignment="1">
      <alignment horizontal="center"/>
    </xf>
    <xf numFmtId="0" fontId="17" fillId="0" borderId="20" xfId="0" applyFont="1" applyBorder="1" applyAlignment="1">
      <alignment horizontal="center"/>
    </xf>
    <xf numFmtId="0" fontId="17" fillId="0" borderId="45" xfId="0" applyFont="1" applyBorder="1" applyAlignment="1">
      <alignment horizontal="center"/>
    </xf>
    <xf numFmtId="0" fontId="0" fillId="0" borderId="0" xfId="0" applyBorder="1" applyAlignment="1">
      <alignment vertical="top" wrapText="1"/>
    </xf>
    <xf numFmtId="0" fontId="4" fillId="0" borderId="0" xfId="0" applyFont="1" applyFill="1" applyBorder="1" applyAlignment="1">
      <alignment horizontal="center"/>
    </xf>
    <xf numFmtId="0" fontId="0" fillId="0" borderId="0" xfId="0"/>
    <xf numFmtId="0" fontId="0" fillId="0" borderId="0" xfId="0" applyAlignment="1">
      <alignment horizontal="center"/>
    </xf>
    <xf numFmtId="0" fontId="0" fillId="0" borderId="0" xfId="0" applyAlignment="1">
      <alignment vertical="center"/>
    </xf>
    <xf numFmtId="0" fontId="10" fillId="0" borderId="0" xfId="0" applyFont="1" applyAlignment="1">
      <alignment horizontal="center" vertical="center"/>
    </xf>
    <xf numFmtId="0" fontId="0" fillId="0" borderId="0" xfId="0" applyBorder="1" applyAlignment="1">
      <alignment horizontal="center" vertical="top" wrapText="1"/>
    </xf>
    <xf numFmtId="0" fontId="0" fillId="0" borderId="0" xfId="0" applyAlignment="1">
      <alignment horizontal="center" vertical="top" wrapText="1"/>
    </xf>
    <xf numFmtId="2" fontId="0" fillId="0" borderId="0" xfId="0" applyNumberFormat="1" applyFill="1" applyBorder="1" applyAlignment="1">
      <alignment horizontal="center"/>
    </xf>
    <xf numFmtId="0" fontId="0" fillId="0" borderId="0" xfId="0" applyAlignment="1">
      <alignment vertical="top"/>
    </xf>
    <xf numFmtId="164" fontId="20" fillId="0" borderId="0" xfId="0" applyNumberFormat="1" applyFont="1" applyBorder="1" applyAlignment="1">
      <alignment horizontal="center"/>
    </xf>
    <xf numFmtId="0" fontId="0" fillId="0" borderId="28" xfId="0" applyFont="1" applyFill="1" applyBorder="1" applyAlignment="1"/>
    <xf numFmtId="0" fontId="0" fillId="0" borderId="0" xfId="0" applyFont="1" applyFill="1" applyAlignment="1">
      <alignment horizontal="center"/>
    </xf>
    <xf numFmtId="0" fontId="0" fillId="0" borderId="0" xfId="0" applyFont="1" applyFill="1" applyBorder="1" applyAlignment="1">
      <alignment horizontal="center"/>
    </xf>
    <xf numFmtId="164" fontId="3" fillId="0" borderId="0" xfId="0" applyNumberFormat="1" applyFont="1" applyBorder="1" applyAlignment="1"/>
    <xf numFmtId="164" fontId="2" fillId="0" borderId="0" xfId="0" applyNumberFormat="1" applyFont="1" applyBorder="1" applyAlignment="1">
      <alignment horizontal="left"/>
    </xf>
    <xf numFmtId="165" fontId="2" fillId="0" borderId="0" xfId="1" applyNumberFormat="1" applyFont="1" applyBorder="1" applyAlignment="1">
      <alignment horizontal="center"/>
    </xf>
    <xf numFmtId="0" fontId="21" fillId="0" borderId="0" xfId="0" applyFont="1" applyBorder="1" applyAlignment="1">
      <alignment horizontal="center" vertical="center"/>
    </xf>
    <xf numFmtId="9" fontId="21" fillId="0" borderId="0" xfId="16" applyFont="1" applyBorder="1" applyAlignment="1">
      <alignment horizontal="center" vertical="center"/>
    </xf>
    <xf numFmtId="37" fontId="2" fillId="0" borderId="0" xfId="0" applyNumberFormat="1" applyFont="1"/>
    <xf numFmtId="0" fontId="19" fillId="0" borderId="0" xfId="0" applyFont="1" applyAlignment="1">
      <alignment horizontal="center"/>
    </xf>
    <xf numFmtId="0" fontId="0" fillId="0" borderId="0" xfId="0"/>
    <xf numFmtId="0" fontId="0" fillId="0" borderId="0" xfId="0" applyFill="1" applyBorder="1" applyAlignment="1">
      <alignment horizontal="left"/>
    </xf>
    <xf numFmtId="167" fontId="0" fillId="0" borderId="0" xfId="0" applyNumberFormat="1" applyFill="1" applyBorder="1" applyAlignment="1">
      <alignment horizontal="center"/>
    </xf>
    <xf numFmtId="167" fontId="0" fillId="0" borderId="0" xfId="0" applyNumberFormat="1" applyFill="1" applyBorder="1" applyAlignment="1">
      <alignment horizontal="center" vertical="top" wrapText="1"/>
    </xf>
    <xf numFmtId="44" fontId="0" fillId="0" borderId="0" xfId="1" applyFont="1" applyFill="1" applyBorder="1"/>
    <xf numFmtId="0" fontId="0" fillId="0" borderId="0" xfId="0" applyFill="1" applyBorder="1" applyAlignment="1"/>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0" fillId="0" borderId="0" xfId="0" applyAlignment="1">
      <alignment horizontal="left"/>
    </xf>
    <xf numFmtId="0" fontId="22" fillId="0" borderId="0" xfId="18" applyFill="1"/>
    <xf numFmtId="0" fontId="2" fillId="0" borderId="7" xfId="0" applyFont="1" applyBorder="1" applyAlignment="1">
      <alignment horizontal="center"/>
    </xf>
    <xf numFmtId="0" fontId="3" fillId="0" borderId="11" xfId="0" applyFont="1" applyFill="1" applyBorder="1" applyAlignment="1">
      <alignment horizontal="center" vertical="center"/>
    </xf>
    <xf numFmtId="0" fontId="0" fillId="0" borderId="0" xfId="0" applyFill="1" applyAlignment="1">
      <alignment horizontal="right"/>
    </xf>
    <xf numFmtId="1" fontId="0" fillId="0" borderId="0" xfId="0" applyNumberFormat="1"/>
    <xf numFmtId="0" fontId="4" fillId="0" borderId="0" xfId="0" applyFont="1" applyAlignment="1">
      <alignment horizontal="center"/>
    </xf>
    <xf numFmtId="169" fontId="0" fillId="0" borderId="0" xfId="1" applyNumberFormat="1" applyFont="1" applyFill="1" applyBorder="1" applyAlignment="1">
      <alignment horizontal="center"/>
    </xf>
    <xf numFmtId="0" fontId="4" fillId="0" borderId="28" xfId="0" applyFont="1" applyFill="1" applyBorder="1"/>
    <xf numFmtId="0" fontId="4" fillId="0" borderId="28" xfId="0" applyFont="1" applyFill="1" applyBorder="1" applyAlignment="1">
      <alignment horizontal="center" vertical="center"/>
    </xf>
    <xf numFmtId="168" fontId="0" fillId="0" borderId="28" xfId="16" applyNumberFormat="1" applyFont="1" applyFill="1" applyBorder="1" applyAlignment="1">
      <alignment horizontal="center"/>
    </xf>
    <xf numFmtId="0" fontId="24" fillId="0" borderId="0" xfId="0" applyFont="1" applyFill="1"/>
    <xf numFmtId="167" fontId="2" fillId="0" borderId="13" xfId="15" applyNumberFormat="1" applyFont="1" applyFill="1" applyBorder="1" applyAlignment="1">
      <alignment horizontal="right" indent="1"/>
    </xf>
    <xf numFmtId="167" fontId="0" fillId="0" borderId="0" xfId="0" applyNumberFormat="1" applyFill="1" applyAlignment="1"/>
    <xf numFmtId="0" fontId="0" fillId="0" borderId="28" xfId="0" applyFill="1" applyBorder="1" applyAlignment="1">
      <alignment horizontal="left"/>
    </xf>
    <xf numFmtId="6" fontId="3" fillId="0" borderId="0" xfId="0" applyNumberFormat="1" applyFont="1" applyFill="1"/>
    <xf numFmtId="169" fontId="0" fillId="0" borderId="28" xfId="1" applyNumberFormat="1" applyFont="1" applyFill="1" applyBorder="1" applyAlignment="1">
      <alignment horizontal="center"/>
    </xf>
    <xf numFmtId="0" fontId="2" fillId="0" borderId="15" xfId="0" applyFont="1" applyFill="1" applyBorder="1" applyAlignment="1">
      <alignment horizontal="center" vertical="center" wrapText="1"/>
    </xf>
    <xf numFmtId="0" fontId="2" fillId="0" borderId="5" xfId="0" applyFont="1" applyBorder="1" applyAlignment="1">
      <alignment horizontal="center" vertical="center" wrapText="1"/>
    </xf>
    <xf numFmtId="167" fontId="2" fillId="0" borderId="19" xfId="15" applyNumberFormat="1" applyFont="1" applyFill="1" applyBorder="1" applyAlignment="1">
      <alignment horizontal="right" indent="1"/>
    </xf>
    <xf numFmtId="0" fontId="4" fillId="0" borderId="28" xfId="0" applyFont="1" applyFill="1" applyBorder="1" applyAlignment="1">
      <alignment horizontal="center"/>
    </xf>
    <xf numFmtId="170" fontId="0" fillId="0" borderId="0" xfId="0" applyNumberFormat="1"/>
    <xf numFmtId="6" fontId="11" fillId="0" borderId="0" xfId="0" applyNumberFormat="1" applyFont="1" applyAlignment="1">
      <alignment horizontal="center"/>
    </xf>
    <xf numFmtId="164" fontId="2" fillId="0" borderId="0" xfId="0" applyNumberFormat="1" applyFont="1" applyBorder="1" applyAlignment="1">
      <alignment horizontal="center" vertical="center"/>
    </xf>
    <xf numFmtId="0" fontId="2" fillId="0" borderId="34" xfId="0" applyFont="1" applyFill="1" applyBorder="1" applyAlignment="1">
      <alignment horizontal="center" vertical="center"/>
    </xf>
    <xf numFmtId="0" fontId="4" fillId="0" borderId="0" xfId="0" applyFont="1" applyAlignment="1">
      <alignment horizontal="right"/>
    </xf>
    <xf numFmtId="165" fontId="9" fillId="0" borderId="28" xfId="1" applyNumberFormat="1" applyFont="1" applyFill="1" applyBorder="1" applyAlignment="1">
      <alignment vertical="center"/>
    </xf>
    <xf numFmtId="0" fontId="9" fillId="0" borderId="0" xfId="2" applyFont="1" applyFill="1" applyBorder="1" applyAlignment="1">
      <alignment horizontal="left"/>
    </xf>
    <xf numFmtId="0" fontId="9" fillId="0" borderId="28" xfId="2" applyFont="1" applyFill="1" applyBorder="1" applyAlignment="1">
      <alignment horizontal="left" vertical="center"/>
    </xf>
    <xf numFmtId="0" fontId="9" fillId="0" borderId="28" xfId="2" applyFont="1" applyFill="1" applyBorder="1" applyAlignment="1">
      <alignment horizontal="center" vertical="center"/>
    </xf>
    <xf numFmtId="0" fontId="4" fillId="0" borderId="0" xfId="0" applyFont="1" applyFill="1" applyBorder="1" applyAlignment="1">
      <alignment horizontal="left"/>
    </xf>
    <xf numFmtId="164" fontId="0" fillId="0" borderId="0" xfId="0" applyNumberFormat="1" applyFont="1" applyFill="1" applyBorder="1" applyAlignment="1">
      <alignment horizontal="center"/>
    </xf>
    <xf numFmtId="0" fontId="4" fillId="0" borderId="28" xfId="0" applyFont="1" applyFill="1" applyBorder="1" applyAlignment="1">
      <alignment horizontal="left"/>
    </xf>
    <xf numFmtId="164" fontId="4" fillId="0" borderId="28" xfId="0" applyNumberFormat="1" applyFont="1" applyFill="1" applyBorder="1" applyAlignment="1">
      <alignment horizontal="center"/>
    </xf>
    <xf numFmtId="37" fontId="0" fillId="0" borderId="0" xfId="15" applyNumberFormat="1" applyFont="1" applyFill="1" applyBorder="1" applyAlignment="1">
      <alignment horizontal="center"/>
    </xf>
    <xf numFmtId="0" fontId="25" fillId="0" borderId="28" xfId="0" applyFont="1" applyFill="1" applyBorder="1" applyAlignment="1">
      <alignment horizontal="center"/>
    </xf>
    <xf numFmtId="0" fontId="26" fillId="0" borderId="28" xfId="0" applyFont="1" applyFill="1" applyBorder="1" applyAlignment="1">
      <alignment horizontal="right"/>
    </xf>
    <xf numFmtId="0" fontId="25" fillId="0" borderId="28" xfId="0" applyFont="1" applyFill="1" applyBorder="1" applyAlignment="1">
      <alignment horizontal="right"/>
    </xf>
    <xf numFmtId="0" fontId="22" fillId="0" borderId="0" xfId="18"/>
    <xf numFmtId="0" fontId="0" fillId="0" borderId="0" xfId="0" applyFill="1" applyAlignment="1">
      <alignment horizontal="left" vertical="top" wrapText="1"/>
    </xf>
    <xf numFmtId="0" fontId="23" fillId="0" borderId="0" xfId="0" applyFont="1"/>
    <xf numFmtId="0" fontId="23" fillId="0" borderId="0" xfId="0" quotePrefix="1" applyFont="1"/>
    <xf numFmtId="6" fontId="2" fillId="0" borderId="12" xfId="0" applyNumberFormat="1" applyFont="1" applyFill="1" applyBorder="1" applyAlignment="1">
      <alignment horizontal="right" indent="1"/>
    </xf>
    <xf numFmtId="0" fontId="0" fillId="0" borderId="28" xfId="0" applyBorder="1"/>
    <xf numFmtId="0" fontId="28" fillId="0" borderId="0" xfId="0" quotePrefix="1" applyFont="1"/>
    <xf numFmtId="37" fontId="2" fillId="0" borderId="28" xfId="15" applyNumberFormat="1" applyFont="1" applyBorder="1" applyAlignment="1">
      <alignment horizontal="center"/>
    </xf>
    <xf numFmtId="0" fontId="2" fillId="0" borderId="14" xfId="0" applyFont="1" applyFill="1" applyBorder="1" applyAlignment="1">
      <alignment horizontal="center" vertical="center" wrapText="1"/>
    </xf>
    <xf numFmtId="164" fontId="2" fillId="0" borderId="20" xfId="0" applyNumberFormat="1" applyFont="1" applyBorder="1" applyAlignment="1">
      <alignment horizontal="center" vertical="center"/>
    </xf>
    <xf numFmtId="164" fontId="2" fillId="0" borderId="21" xfId="0" applyNumberFormat="1" applyFont="1" applyBorder="1" applyAlignment="1">
      <alignment horizontal="center" vertical="center"/>
    </xf>
    <xf numFmtId="165" fontId="8" fillId="0" borderId="0" xfId="1" applyNumberFormat="1" applyFont="1" applyFill="1" applyBorder="1" applyAlignment="1">
      <alignment horizontal="center"/>
    </xf>
    <xf numFmtId="0" fontId="8" fillId="0" borderId="0" xfId="4" applyFont="1" applyFill="1" applyBorder="1" applyAlignment="1">
      <alignment horizontal="center" vertical="center"/>
    </xf>
    <xf numFmtId="165" fontId="9" fillId="0" borderId="0" xfId="1" applyNumberFormat="1" applyFont="1" applyFill="1" applyBorder="1" applyAlignment="1">
      <alignment horizontal="center"/>
    </xf>
    <xf numFmtId="0" fontId="4" fillId="0" borderId="28" xfId="0" applyFont="1" applyBorder="1"/>
    <xf numFmtId="2" fontId="9" fillId="0" borderId="28" xfId="0" applyNumberFormat="1" applyFont="1" applyFill="1" applyBorder="1" applyAlignment="1">
      <alignment horizontal="center"/>
    </xf>
    <xf numFmtId="165" fontId="9" fillId="0" borderId="28" xfId="1" applyNumberFormat="1" applyFont="1" applyFill="1" applyBorder="1" applyAlignment="1">
      <alignment horizontal="center"/>
    </xf>
    <xf numFmtId="0" fontId="4" fillId="0" borderId="0" xfId="0" applyFont="1" applyFill="1" applyBorder="1" applyAlignment="1">
      <alignment horizontal="left"/>
    </xf>
    <xf numFmtId="0" fontId="4" fillId="0" borderId="0" xfId="0" applyFont="1" applyAlignment="1">
      <alignment horizontal="center"/>
    </xf>
    <xf numFmtId="0" fontId="4" fillId="0" borderId="28" xfId="0" applyFont="1" applyBorder="1" applyAlignment="1">
      <alignment horizontal="center"/>
    </xf>
    <xf numFmtId="37" fontId="2" fillId="0" borderId="55" xfId="15" applyNumberFormat="1" applyFont="1" applyBorder="1" applyAlignment="1">
      <alignment horizontal="center"/>
    </xf>
    <xf numFmtId="164" fontId="0" fillId="0" borderId="0" xfId="0" applyNumberFormat="1"/>
    <xf numFmtId="5" fontId="0" fillId="0" borderId="0" xfId="0" applyNumberFormat="1"/>
    <xf numFmtId="9" fontId="0" fillId="0" borderId="0" xfId="16" applyFont="1"/>
    <xf numFmtId="164" fontId="2" fillId="0" borderId="41" xfId="0" applyNumberFormat="1" applyFont="1" applyBorder="1" applyAlignment="1">
      <alignment horizontal="center" vertical="center"/>
    </xf>
    <xf numFmtId="164" fontId="2" fillId="0" borderId="37" xfId="0" applyNumberFormat="1" applyFont="1" applyBorder="1" applyAlignment="1">
      <alignment horizontal="center" vertical="center"/>
    </xf>
    <xf numFmtId="164" fontId="0" fillId="0" borderId="28" xfId="0" applyNumberFormat="1" applyBorder="1"/>
    <xf numFmtId="0" fontId="2" fillId="0" borderId="41" xfId="0" applyFont="1" applyBorder="1" applyAlignment="1">
      <alignment horizontal="center"/>
    </xf>
    <xf numFmtId="0" fontId="2" fillId="0" borderId="37" xfId="0" applyFont="1" applyBorder="1" applyAlignment="1">
      <alignment horizontal="center"/>
    </xf>
    <xf numFmtId="167" fontId="2" fillId="0" borderId="20" xfId="15" applyNumberFormat="1" applyFont="1" applyFill="1" applyBorder="1" applyAlignment="1">
      <alignment horizontal="right" indent="1"/>
    </xf>
    <xf numFmtId="167" fontId="2" fillId="0" borderId="14" xfId="15" applyNumberFormat="1" applyFont="1" applyFill="1" applyBorder="1" applyAlignment="1">
      <alignment horizontal="right" indent="1"/>
    </xf>
    <xf numFmtId="167" fontId="2" fillId="0" borderId="49" xfId="15" applyNumberFormat="1" applyFont="1" applyFill="1" applyBorder="1" applyAlignment="1">
      <alignment horizontal="right" indent="1"/>
    </xf>
    <xf numFmtId="167" fontId="24" fillId="0" borderId="28" xfId="7" applyNumberFormat="1" applyFont="1" applyFill="1" applyBorder="1" applyAlignment="1">
      <alignment horizontal="center"/>
    </xf>
    <xf numFmtId="167" fontId="2" fillId="0" borderId="15" xfId="15" applyNumberFormat="1" applyFont="1" applyFill="1" applyBorder="1" applyAlignment="1">
      <alignment horizontal="right" indent="1"/>
    </xf>
    <xf numFmtId="167" fontId="2" fillId="0" borderId="57" xfId="15" applyNumberFormat="1" applyFont="1" applyFill="1" applyBorder="1" applyAlignment="1">
      <alignment horizontal="right" indent="1"/>
    </xf>
    <xf numFmtId="0" fontId="25" fillId="0" borderId="28" xfId="0" applyFont="1" applyFill="1" applyBorder="1"/>
    <xf numFmtId="0" fontId="4" fillId="0" borderId="0" xfId="0" applyFont="1" applyAlignment="1"/>
    <xf numFmtId="37" fontId="2" fillId="0" borderId="36" xfId="15" applyNumberFormat="1" applyFont="1" applyBorder="1" applyAlignment="1">
      <alignment horizontal="center"/>
    </xf>
    <xf numFmtId="37" fontId="2" fillId="0" borderId="41" xfId="15" applyNumberFormat="1" applyFont="1" applyBorder="1" applyAlignment="1">
      <alignment horizontal="center"/>
    </xf>
    <xf numFmtId="37" fontId="2" fillId="0" borderId="50" xfId="15" applyNumberFormat="1" applyFont="1" applyBorder="1" applyAlignment="1">
      <alignment horizontal="center"/>
    </xf>
    <xf numFmtId="37" fontId="2" fillId="0" borderId="37" xfId="15" applyNumberFormat="1" applyFont="1" applyBorder="1" applyAlignment="1">
      <alignment horizontal="center"/>
    </xf>
    <xf numFmtId="38" fontId="3" fillId="0" borderId="0" xfId="0" applyNumberFormat="1" applyFont="1" applyFill="1"/>
    <xf numFmtId="37" fontId="2" fillId="0" borderId="13" xfId="15" applyNumberFormat="1" applyFont="1" applyBorder="1" applyAlignment="1">
      <alignment horizontal="center"/>
    </xf>
    <xf numFmtId="37" fontId="2" fillId="0" borderId="14" xfId="15" applyNumberFormat="1" applyFont="1" applyBorder="1" applyAlignment="1">
      <alignment horizontal="center"/>
    </xf>
    <xf numFmtId="37" fontId="2" fillId="0" borderId="15" xfId="15" applyNumberFormat="1" applyFont="1" applyBorder="1" applyAlignment="1">
      <alignment horizontal="center"/>
    </xf>
    <xf numFmtId="6" fontId="2" fillId="0" borderId="41" xfId="0" applyNumberFormat="1" applyFont="1" applyBorder="1" applyAlignment="1">
      <alignment horizontal="center"/>
    </xf>
    <xf numFmtId="6" fontId="2" fillId="0" borderId="20" xfId="0" applyNumberFormat="1" applyFont="1" applyBorder="1" applyAlignment="1">
      <alignment horizontal="center"/>
    </xf>
    <xf numFmtId="6" fontId="2" fillId="0" borderId="7" xfId="0" applyNumberFormat="1" applyFont="1" applyBorder="1" applyAlignment="1">
      <alignment horizontal="center" vertical="center" wrapText="1"/>
    </xf>
    <xf numFmtId="6" fontId="2" fillId="0" borderId="14" xfId="0" applyNumberFormat="1" applyFont="1" applyBorder="1" applyAlignment="1">
      <alignment horizontal="center" vertical="center"/>
    </xf>
    <xf numFmtId="6" fontId="2" fillId="0" borderId="37" xfId="0" applyNumberFormat="1" applyFont="1" applyBorder="1" applyAlignment="1">
      <alignment horizontal="center"/>
    </xf>
    <xf numFmtId="6" fontId="2" fillId="0" borderId="21" xfId="0" applyNumberFormat="1" applyFont="1" applyBorder="1" applyAlignment="1">
      <alignment horizontal="center"/>
    </xf>
    <xf numFmtId="6" fontId="2" fillId="0" borderId="9" xfId="0" applyNumberFormat="1" applyFont="1" applyBorder="1" applyAlignment="1">
      <alignment horizontal="center" vertical="center" wrapText="1"/>
    </xf>
    <xf numFmtId="6" fontId="2" fillId="0" borderId="15" xfId="0" applyNumberFormat="1" applyFont="1" applyBorder="1" applyAlignment="1">
      <alignment horizontal="center" vertical="center"/>
    </xf>
    <xf numFmtId="10" fontId="24" fillId="0" borderId="28" xfId="16" applyNumberFormat="1" applyFont="1" applyFill="1" applyBorder="1" applyAlignment="1">
      <alignment horizontal="center"/>
    </xf>
    <xf numFmtId="164" fontId="29" fillId="0" borderId="0" xfId="0" applyNumberFormat="1" applyFont="1" applyBorder="1" applyAlignment="1">
      <alignment horizontal="center"/>
    </xf>
    <xf numFmtId="0" fontId="27" fillId="0" borderId="4" xfId="0" applyFont="1" applyFill="1" applyBorder="1" applyAlignment="1"/>
    <xf numFmtId="164" fontId="2" fillId="0" borderId="9" xfId="0" applyNumberFormat="1" applyFont="1" applyBorder="1" applyAlignment="1">
      <alignment horizontal="center" vertical="center" wrapText="1"/>
    </xf>
    <xf numFmtId="164" fontId="2" fillId="0" borderId="21" xfId="0" applyNumberFormat="1" applyFont="1" applyBorder="1" applyAlignment="1">
      <alignment horizontal="center" vertical="center" wrapText="1"/>
    </xf>
    <xf numFmtId="164" fontId="2" fillId="0" borderId="20" xfId="0" applyNumberFormat="1" applyFont="1" applyBorder="1" applyAlignment="1">
      <alignment horizontal="center"/>
    </xf>
    <xf numFmtId="0" fontId="4" fillId="2" borderId="62" xfId="0" applyFont="1" applyFill="1" applyBorder="1"/>
    <xf numFmtId="2" fontId="4" fillId="0" borderId="63" xfId="0" applyNumberFormat="1" applyFont="1" applyFill="1" applyBorder="1" applyAlignment="1">
      <alignment horizontal="center"/>
    </xf>
    <xf numFmtId="0" fontId="4" fillId="2" borderId="37" xfId="0" applyFont="1" applyFill="1" applyBorder="1"/>
    <xf numFmtId="164" fontId="0" fillId="0" borderId="21" xfId="0" applyNumberFormat="1" applyBorder="1" applyAlignment="1">
      <alignment horizontal="center"/>
    </xf>
    <xf numFmtId="0" fontId="2" fillId="0" borderId="9" xfId="0" applyFont="1" applyFill="1" applyBorder="1" applyAlignment="1">
      <alignment horizontal="center" vertical="center"/>
    </xf>
    <xf numFmtId="164" fontId="2" fillId="0" borderId="21" xfId="0" applyNumberFormat="1" applyFont="1" applyBorder="1" applyAlignment="1">
      <alignment horizontal="center"/>
    </xf>
    <xf numFmtId="164" fontId="2" fillId="0" borderId="15" xfId="0" applyNumberFormat="1" applyFont="1" applyBorder="1" applyAlignment="1">
      <alignment horizontal="center" vertical="center"/>
    </xf>
    <xf numFmtId="164" fontId="0" fillId="0" borderId="0" xfId="0" applyNumberFormat="1" applyBorder="1"/>
    <xf numFmtId="9" fontId="0" fillId="0" borderId="0" xfId="16" applyNumberFormat="1" applyFont="1" applyAlignment="1">
      <alignment horizontal="center"/>
    </xf>
    <xf numFmtId="0" fontId="2" fillId="0" borderId="28" xfId="0" applyFont="1" applyFill="1" applyBorder="1" applyAlignment="1">
      <alignment horizontal="center"/>
    </xf>
    <xf numFmtId="0" fontId="0" fillId="0" borderId="0" xfId="0" applyAlignment="1">
      <alignment horizontal="right" vertical="top"/>
    </xf>
    <xf numFmtId="0" fontId="4" fillId="0" borderId="28" xfId="0" applyFont="1" applyBorder="1" applyAlignment="1">
      <alignment horizontal="center"/>
    </xf>
    <xf numFmtId="9" fontId="4" fillId="2" borderId="39" xfId="0" applyNumberFormat="1" applyFont="1" applyFill="1" applyBorder="1" applyAlignment="1">
      <alignment horizontal="center"/>
    </xf>
    <xf numFmtId="164" fontId="0" fillId="0" borderId="64" xfId="0" applyNumberFormat="1" applyBorder="1" applyAlignment="1">
      <alignment horizontal="center"/>
    </xf>
    <xf numFmtId="164" fontId="0" fillId="0" borderId="45" xfId="0" applyNumberFormat="1" applyBorder="1" applyAlignment="1">
      <alignment horizontal="center"/>
    </xf>
    <xf numFmtId="0" fontId="30" fillId="0" borderId="0" xfId="0" applyFont="1" applyFill="1" applyBorder="1"/>
    <xf numFmtId="0" fontId="30" fillId="0" borderId="0" xfId="0" applyFont="1" applyFill="1" applyBorder="1" applyAlignment="1">
      <alignment horizontal="left"/>
    </xf>
    <xf numFmtId="0" fontId="8" fillId="0" borderId="0" xfId="0" applyFont="1" applyAlignment="1">
      <alignment horizontal="left"/>
    </xf>
    <xf numFmtId="0" fontId="9" fillId="0" borderId="0" xfId="2" applyFont="1" applyAlignment="1">
      <alignment horizontal="left"/>
    </xf>
    <xf numFmtId="0" fontId="6" fillId="0" borderId="0" xfId="0" applyFont="1" applyAlignment="1">
      <alignment horizontal="right"/>
    </xf>
    <xf numFmtId="0" fontId="14" fillId="0" borderId="0" xfId="0" applyFont="1" applyAlignment="1">
      <alignment horizontal="right"/>
    </xf>
    <xf numFmtId="0" fontId="9" fillId="0" borderId="0" xfId="2" applyFont="1" applyAlignment="1">
      <alignment horizontal="right"/>
    </xf>
    <xf numFmtId="0" fontId="0" fillId="0" borderId="4" xfId="0" applyBorder="1"/>
    <xf numFmtId="0" fontId="6" fillId="0" borderId="28" xfId="0" applyFont="1" applyFill="1" applyBorder="1" applyAlignment="1">
      <alignment horizontal="left"/>
    </xf>
    <xf numFmtId="0" fontId="25" fillId="0" borderId="28" xfId="0" applyFont="1" applyFill="1" applyBorder="1" applyAlignment="1">
      <alignment horizontal="center"/>
    </xf>
    <xf numFmtId="164" fontId="2" fillId="0" borderId="64" xfId="0" applyNumberFormat="1" applyFont="1" applyBorder="1" applyAlignment="1">
      <alignment horizontal="center" vertical="center"/>
    </xf>
    <xf numFmtId="6" fontId="2" fillId="0" borderId="36" xfId="0" applyNumberFormat="1" applyFont="1" applyBorder="1" applyAlignment="1">
      <alignment horizontal="center"/>
    </xf>
    <xf numFmtId="6" fontId="2" fillId="0" borderId="19" xfId="0" applyNumberFormat="1" applyFont="1" applyBorder="1" applyAlignment="1">
      <alignment horizontal="center"/>
    </xf>
    <xf numFmtId="6" fontId="2" fillId="0" borderId="5" xfId="0" applyNumberFormat="1" applyFont="1" applyBorder="1" applyAlignment="1">
      <alignment horizontal="center" vertical="center" wrapText="1"/>
    </xf>
    <xf numFmtId="6" fontId="2" fillId="0" borderId="13" xfId="0" applyNumberFormat="1" applyFont="1" applyBorder="1" applyAlignment="1">
      <alignment horizontal="center" vertical="center"/>
    </xf>
    <xf numFmtId="0" fontId="2" fillId="0" borderId="5" xfId="0" applyFont="1" applyBorder="1" applyAlignment="1">
      <alignment horizontal="center"/>
    </xf>
    <xf numFmtId="38" fontId="0" fillId="0" borderId="0" xfId="0" applyNumberFormat="1" applyBorder="1"/>
    <xf numFmtId="2" fontId="6" fillId="0" borderId="28" xfId="16" applyNumberFormat="1" applyFont="1" applyFill="1" applyBorder="1" applyAlignment="1">
      <alignment horizontal="center"/>
    </xf>
    <xf numFmtId="164" fontId="2" fillId="0" borderId="0" xfId="15" applyNumberFormat="1" applyFont="1" applyBorder="1" applyAlignment="1">
      <alignment horizontal="right"/>
    </xf>
    <xf numFmtId="6" fontId="2" fillId="0" borderId="6" xfId="15" applyNumberFormat="1" applyFont="1" applyBorder="1" applyAlignment="1">
      <alignment horizontal="right"/>
    </xf>
    <xf numFmtId="6" fontId="2" fillId="0" borderId="19" xfId="0" applyNumberFormat="1" applyFont="1" applyBorder="1" applyAlignment="1">
      <alignment horizontal="right"/>
    </xf>
    <xf numFmtId="6" fontId="2" fillId="0" borderId="8" xfId="15" applyNumberFormat="1" applyFont="1" applyBorder="1" applyAlignment="1">
      <alignment horizontal="right"/>
    </xf>
    <xf numFmtId="6" fontId="2" fillId="0" borderId="20" xfId="0" applyNumberFormat="1" applyFont="1" applyBorder="1" applyAlignment="1">
      <alignment horizontal="right"/>
    </xf>
    <xf numFmtId="6" fontId="2" fillId="0" borderId="10" xfId="15" applyNumberFormat="1" applyFont="1" applyBorder="1" applyAlignment="1">
      <alignment horizontal="right"/>
    </xf>
    <xf numFmtId="6" fontId="2" fillId="0" borderId="21" xfId="0" applyNumberFormat="1" applyFont="1" applyBorder="1" applyAlignment="1">
      <alignment horizontal="right"/>
    </xf>
    <xf numFmtId="6" fontId="2" fillId="0" borderId="53" xfId="0" applyNumberFormat="1" applyFont="1" applyBorder="1" applyAlignment="1">
      <alignment horizontal="right"/>
    </xf>
    <xf numFmtId="6" fontId="2" fillId="0" borderId="56" xfId="0" applyNumberFormat="1" applyFont="1" applyBorder="1" applyAlignment="1">
      <alignment horizontal="right"/>
    </xf>
    <xf numFmtId="164" fontId="2" fillId="0" borderId="53" xfId="0" applyNumberFormat="1" applyFont="1" applyBorder="1" applyAlignment="1">
      <alignment horizontal="right"/>
    </xf>
    <xf numFmtId="0" fontId="2" fillId="0" borderId="66" xfId="0" applyFont="1" applyBorder="1" applyAlignment="1">
      <alignment horizontal="center"/>
    </xf>
    <xf numFmtId="164" fontId="2" fillId="0" borderId="66" xfId="0" applyNumberFormat="1" applyFont="1" applyBorder="1" applyAlignment="1">
      <alignment horizontal="center" vertical="center"/>
    </xf>
    <xf numFmtId="164" fontId="2" fillId="0" borderId="53" xfId="0" applyNumberFormat="1" applyFont="1" applyBorder="1" applyAlignment="1">
      <alignment horizontal="center"/>
    </xf>
    <xf numFmtId="164" fontId="12" fillId="0" borderId="0" xfId="0" applyNumberFormat="1" applyFont="1" applyBorder="1" applyAlignment="1">
      <alignment horizontal="center"/>
    </xf>
    <xf numFmtId="37" fontId="2" fillId="0" borderId="69" xfId="15" applyNumberFormat="1" applyFont="1" applyBorder="1" applyAlignment="1">
      <alignment horizontal="center"/>
    </xf>
    <xf numFmtId="37" fontId="2" fillId="0" borderId="60" xfId="15" applyNumberFormat="1" applyFont="1" applyBorder="1" applyAlignment="1">
      <alignment horizontal="center"/>
    </xf>
    <xf numFmtId="37" fontId="2" fillId="0" borderId="61" xfId="15" applyNumberFormat="1" applyFont="1" applyBorder="1" applyAlignment="1">
      <alignment horizontal="center"/>
    </xf>
    <xf numFmtId="0" fontId="2" fillId="0" borderId="9" xfId="0" applyFont="1" applyBorder="1" applyAlignment="1">
      <alignment horizontal="center"/>
    </xf>
    <xf numFmtId="37" fontId="2" fillId="0" borderId="20" xfId="15" applyNumberFormat="1" applyFont="1" applyBorder="1" applyAlignment="1">
      <alignment horizontal="center"/>
    </xf>
    <xf numFmtId="37" fontId="2" fillId="0" borderId="21" xfId="15" applyNumberFormat="1" applyFont="1" applyBorder="1" applyAlignment="1">
      <alignment horizontal="center"/>
    </xf>
    <xf numFmtId="37" fontId="2" fillId="0" borderId="65" xfId="15" applyNumberFormat="1" applyFont="1" applyBorder="1" applyAlignment="1">
      <alignment horizontal="center"/>
    </xf>
    <xf numFmtId="37" fontId="2" fillId="0" borderId="64" xfId="15" applyNumberFormat="1" applyFont="1" applyBorder="1" applyAlignment="1">
      <alignment horizontal="center"/>
    </xf>
    <xf numFmtId="0" fontId="0" fillId="0" borderId="4" xfId="0" applyBorder="1" applyAlignment="1"/>
    <xf numFmtId="0" fontId="23" fillId="0" borderId="4" xfId="0" applyFont="1" applyBorder="1" applyAlignment="1"/>
    <xf numFmtId="0" fontId="6" fillId="0" borderId="0" xfId="2" applyFont="1" applyFill="1" applyAlignment="1">
      <alignment horizontal="center" vertical="top" wrapText="1"/>
    </xf>
    <xf numFmtId="165" fontId="0" fillId="0" borderId="0" xfId="0" applyNumberFormat="1"/>
    <xf numFmtId="165" fontId="8" fillId="0" borderId="28" xfId="1" applyNumberFormat="1" applyFont="1" applyFill="1" applyBorder="1" applyAlignment="1">
      <alignment horizontal="center"/>
    </xf>
    <xf numFmtId="165" fontId="8" fillId="0" borderId="27" xfId="1" applyNumberFormat="1" applyFont="1" applyFill="1" applyBorder="1" applyAlignment="1">
      <alignment horizontal="center"/>
    </xf>
    <xf numFmtId="0" fontId="0" fillId="0" borderId="0" xfId="0" applyAlignment="1">
      <alignment wrapText="1"/>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39" xfId="0" applyBorder="1" applyAlignment="1">
      <alignment horizontal="center" vertical="center"/>
    </xf>
    <xf numFmtId="0" fontId="0" fillId="0" borderId="14" xfId="0" applyBorder="1"/>
    <xf numFmtId="3" fontId="0" fillId="0" borderId="54" xfId="0" applyNumberFormat="1" applyBorder="1" applyAlignment="1">
      <alignment horizontal="center" vertical="center"/>
    </xf>
    <xf numFmtId="2" fontId="0" fillId="0" borderId="64" xfId="0" applyNumberFormat="1" applyBorder="1" applyAlignment="1">
      <alignment horizontal="center" vertical="center"/>
    </xf>
    <xf numFmtId="10" fontId="0" fillId="0" borderId="54" xfId="16" applyNumberFormat="1" applyFont="1" applyBorder="1" applyAlignment="1">
      <alignment horizontal="center" vertical="center"/>
    </xf>
    <xf numFmtId="10" fontId="0" fillId="0" borderId="64" xfId="16" applyNumberFormat="1" applyFont="1" applyBorder="1" applyAlignment="1">
      <alignment horizontal="center" vertical="center"/>
    </xf>
    <xf numFmtId="2" fontId="0" fillId="0" borderId="20" xfId="0" applyNumberFormat="1" applyBorder="1" applyAlignment="1">
      <alignment horizontal="center" vertical="center"/>
    </xf>
    <xf numFmtId="0" fontId="0" fillId="0" borderId="60" xfId="0" applyBorder="1" applyAlignment="1">
      <alignment horizontal="center" vertical="center"/>
    </xf>
    <xf numFmtId="0" fontId="0" fillId="0" borderId="28" xfId="0" applyBorder="1" applyAlignment="1">
      <alignment horizontal="center" vertical="center"/>
    </xf>
    <xf numFmtId="168" fontId="0" fillId="0" borderId="60" xfId="16" applyNumberFormat="1" applyFont="1" applyBorder="1" applyAlignment="1">
      <alignment horizontal="center" vertical="center"/>
    </xf>
    <xf numFmtId="168" fontId="0" fillId="0" borderId="28" xfId="16" applyNumberFormat="1" applyFont="1" applyBorder="1" applyAlignment="1">
      <alignment horizontal="center" vertical="center"/>
    </xf>
    <xf numFmtId="10" fontId="0" fillId="0" borderId="20" xfId="16" applyNumberFormat="1" applyFont="1" applyBorder="1" applyAlignment="1">
      <alignment horizontal="center" vertical="center"/>
    </xf>
    <xf numFmtId="0" fontId="0" fillId="0" borderId="15" xfId="0" applyBorder="1"/>
    <xf numFmtId="0" fontId="0" fillId="0" borderId="61" xfId="0" applyBorder="1" applyAlignment="1">
      <alignment horizontal="center" vertical="center"/>
    </xf>
    <xf numFmtId="0" fontId="0" fillId="0" borderId="55" xfId="0" applyBorder="1" applyAlignment="1">
      <alignment horizontal="center" vertical="center"/>
    </xf>
    <xf numFmtId="0" fontId="0" fillId="0" borderId="21" xfId="0" applyBorder="1" applyAlignment="1">
      <alignment horizontal="center" vertical="center"/>
    </xf>
    <xf numFmtId="0" fontId="0" fillId="0" borderId="12" xfId="0" applyBorder="1"/>
    <xf numFmtId="3" fontId="0" fillId="0" borderId="59" xfId="0" applyNumberFormat="1" applyBorder="1" applyAlignment="1">
      <alignment horizontal="center" vertical="center"/>
    </xf>
    <xf numFmtId="3" fontId="0" fillId="0" borderId="51" xfId="0" applyNumberFormat="1" applyBorder="1" applyAlignment="1">
      <alignment horizontal="center" vertical="center"/>
    </xf>
    <xf numFmtId="3" fontId="0" fillId="0" borderId="18" xfId="0" applyNumberFormat="1" applyBorder="1" applyAlignment="1">
      <alignment horizontal="center" vertical="center"/>
    </xf>
    <xf numFmtId="0" fontId="0" fillId="0" borderId="51" xfId="0" applyBorder="1" applyAlignment="1">
      <alignment horizontal="center" vertical="center"/>
    </xf>
    <xf numFmtId="2" fontId="0" fillId="0" borderId="18" xfId="0" applyNumberFormat="1" applyBorder="1" applyAlignment="1">
      <alignment horizontal="center" vertical="center"/>
    </xf>
    <xf numFmtId="10" fontId="0" fillId="0" borderId="59" xfId="0" applyNumberFormat="1" applyBorder="1" applyAlignment="1">
      <alignment horizontal="center" vertical="center"/>
    </xf>
    <xf numFmtId="10" fontId="0" fillId="0" borderId="51" xfId="16" applyNumberFormat="1" applyFont="1" applyBorder="1" applyAlignment="1">
      <alignment horizontal="center" vertical="center"/>
    </xf>
    <xf numFmtId="168" fontId="0" fillId="0" borderId="18" xfId="16" applyNumberFormat="1" applyFont="1" applyBorder="1" applyAlignment="1">
      <alignment horizontal="center" vertical="center"/>
    </xf>
    <xf numFmtId="6" fontId="2" fillId="0" borderId="19" xfId="0" applyNumberFormat="1" applyFont="1" applyBorder="1" applyAlignment="1">
      <alignment horizontal="center" vertical="center" wrapText="1"/>
    </xf>
    <xf numFmtId="6" fontId="2" fillId="0" borderId="21" xfId="0" applyNumberFormat="1" applyFont="1" applyBorder="1" applyAlignment="1">
      <alignment horizontal="center" vertical="center" wrapText="1"/>
    </xf>
    <xf numFmtId="171" fontId="0" fillId="0" borderId="0" xfId="0" applyNumberFormat="1"/>
    <xf numFmtId="171" fontId="0" fillId="0" borderId="0" xfId="0" applyNumberFormat="1" applyAlignment="1">
      <alignment horizontal="center"/>
    </xf>
    <xf numFmtId="0" fontId="2" fillId="0" borderId="67" xfId="0" applyFont="1" applyBorder="1" applyAlignment="1">
      <alignment horizontal="center" vertical="center" wrapText="1"/>
    </xf>
    <xf numFmtId="6" fontId="2" fillId="0" borderId="72" xfId="0" applyNumberFormat="1" applyFont="1" applyBorder="1" applyAlignment="1">
      <alignment horizontal="center"/>
    </xf>
    <xf numFmtId="6" fontId="2" fillId="0" borderId="56" xfId="0" applyNumberFormat="1" applyFont="1" applyBorder="1" applyAlignment="1">
      <alignment horizontal="center"/>
    </xf>
    <xf numFmtId="6" fontId="2" fillId="0" borderId="67" xfId="0" applyNumberFormat="1" applyFont="1" applyBorder="1" applyAlignment="1">
      <alignment horizontal="center" vertical="center" wrapText="1"/>
    </xf>
    <xf numFmtId="6" fontId="2" fillId="0" borderId="56" xfId="0" applyNumberFormat="1" applyFont="1" applyBorder="1" applyAlignment="1">
      <alignment horizontal="center" vertical="center" wrapText="1"/>
    </xf>
    <xf numFmtId="164" fontId="2" fillId="0" borderId="72" xfId="0" applyNumberFormat="1" applyFont="1" applyBorder="1" applyAlignment="1">
      <alignment horizontal="center" vertical="center"/>
    </xf>
    <xf numFmtId="164" fontId="2" fillId="0" borderId="56" xfId="0" applyNumberFormat="1" applyFont="1" applyBorder="1" applyAlignment="1">
      <alignment horizontal="center" vertical="center"/>
    </xf>
    <xf numFmtId="0" fontId="2" fillId="0" borderId="66" xfId="0" applyFont="1" applyFill="1" applyBorder="1" applyAlignment="1">
      <alignment horizontal="center" vertical="center" wrapText="1"/>
    </xf>
    <xf numFmtId="0" fontId="6" fillId="0" borderId="0" xfId="0" applyFont="1" applyFill="1" applyBorder="1" applyAlignment="1">
      <alignment horizontal="left"/>
    </xf>
    <xf numFmtId="169" fontId="6" fillId="0" borderId="0" xfId="1" applyNumberFormat="1" applyFont="1" applyFill="1" applyBorder="1" applyAlignment="1">
      <alignment horizontal="center"/>
    </xf>
    <xf numFmtId="168" fontId="6" fillId="0" borderId="28" xfId="16" applyNumberFormat="1" applyFont="1" applyFill="1" applyBorder="1" applyAlignment="1">
      <alignment horizontal="center"/>
    </xf>
    <xf numFmtId="44" fontId="6" fillId="0" borderId="0" xfId="1" applyFont="1" applyFill="1" applyBorder="1"/>
    <xf numFmtId="0" fontId="0" fillId="0" borderId="0" xfId="0" applyAlignment="1">
      <alignment horizontal="left" vertical="top" wrapText="1"/>
    </xf>
    <xf numFmtId="0" fontId="4" fillId="0" borderId="29" xfId="0" applyFont="1" applyBorder="1" applyAlignment="1">
      <alignment horizontal="left"/>
    </xf>
    <xf numFmtId="172" fontId="2" fillId="0" borderId="36" xfId="0" applyNumberFormat="1" applyFont="1" applyBorder="1" applyAlignment="1">
      <alignment horizontal="center"/>
    </xf>
    <xf numFmtId="172" fontId="2" fillId="0" borderId="50" xfId="0" applyNumberFormat="1" applyFont="1" applyBorder="1" applyAlignment="1">
      <alignment horizontal="center"/>
    </xf>
    <xf numFmtId="6" fontId="2" fillId="0" borderId="69" xfId="0" applyNumberFormat="1" applyFont="1" applyBorder="1" applyAlignment="1">
      <alignment horizontal="center"/>
    </xf>
    <xf numFmtId="6" fontId="2" fillId="0" borderId="50" xfId="0" applyNumberFormat="1" applyFont="1" applyBorder="1" applyAlignment="1">
      <alignment horizontal="center"/>
    </xf>
    <xf numFmtId="172" fontId="2" fillId="0" borderId="41" xfId="0" applyNumberFormat="1" applyFont="1" applyBorder="1" applyAlignment="1">
      <alignment horizontal="center"/>
    </xf>
    <xf numFmtId="172" fontId="2" fillId="0" borderId="28" xfId="0" applyNumberFormat="1" applyFont="1" applyBorder="1" applyAlignment="1">
      <alignment horizontal="center"/>
    </xf>
    <xf numFmtId="6" fontId="2" fillId="0" borderId="60" xfId="0" applyNumberFormat="1" applyFont="1" applyBorder="1" applyAlignment="1">
      <alignment horizontal="center"/>
    </xf>
    <xf numFmtId="6" fontId="2" fillId="0" borderId="28" xfId="0" applyNumberFormat="1" applyFont="1" applyBorder="1" applyAlignment="1">
      <alignment horizontal="center"/>
    </xf>
    <xf numFmtId="0" fontId="4" fillId="0" borderId="28" xfId="0" applyFont="1" applyBorder="1" applyAlignment="1">
      <alignment vertical="center"/>
    </xf>
    <xf numFmtId="172" fontId="2" fillId="0" borderId="37" xfId="0" applyNumberFormat="1" applyFont="1" applyBorder="1" applyAlignment="1">
      <alignment horizontal="center"/>
    </xf>
    <xf numFmtId="172" fontId="2" fillId="0" borderId="55" xfId="0" applyNumberFormat="1" applyFont="1" applyBorder="1" applyAlignment="1">
      <alignment horizontal="center"/>
    </xf>
    <xf numFmtId="6" fontId="2" fillId="0" borderId="61" xfId="0" applyNumberFormat="1" applyFont="1" applyBorder="1" applyAlignment="1">
      <alignment horizontal="center"/>
    </xf>
    <xf numFmtId="6" fontId="3" fillId="0" borderId="0" xfId="0" applyNumberFormat="1" applyFont="1"/>
    <xf numFmtId="6" fontId="2" fillId="0" borderId="0" xfId="0" applyNumberFormat="1" applyFont="1" applyAlignment="1">
      <alignment horizontal="center"/>
    </xf>
    <xf numFmtId="6" fontId="2" fillId="0" borderId="23" xfId="0" applyNumberFormat="1" applyFont="1" applyBorder="1" applyAlignment="1">
      <alignment horizontal="center"/>
    </xf>
    <xf numFmtId="6" fontId="2" fillId="0" borderId="24" xfId="0" applyNumberFormat="1" applyFont="1" applyBorder="1" applyAlignment="1">
      <alignment horizontal="center"/>
    </xf>
    <xf numFmtId="0" fontId="4" fillId="0" borderId="23" xfId="0" applyFont="1" applyBorder="1" applyAlignment="1">
      <alignment horizontal="center"/>
    </xf>
    <xf numFmtId="0" fontId="4" fillId="0" borderId="0" xfId="0" applyFont="1" applyFill="1" applyBorder="1" applyAlignment="1">
      <alignment horizontal="left"/>
    </xf>
    <xf numFmtId="0" fontId="0" fillId="0" borderId="0" xfId="0" applyFill="1" applyAlignment="1">
      <alignment horizontal="left" vertical="top" wrapText="1"/>
    </xf>
    <xf numFmtId="0" fontId="4" fillId="0" borderId="0" xfId="0" applyFont="1" applyBorder="1" applyAlignment="1"/>
    <xf numFmtId="1" fontId="0" fillId="0" borderId="0" xfId="0" applyNumberFormat="1" applyBorder="1" applyAlignment="1">
      <alignment horizontal="center"/>
    </xf>
    <xf numFmtId="0" fontId="4" fillId="0" borderId="0" xfId="0" applyFont="1" applyFill="1" applyBorder="1" applyAlignment="1">
      <alignment horizontal="center" vertical="center"/>
    </xf>
    <xf numFmtId="170" fontId="0" fillId="0" borderId="0" xfId="0" applyNumberFormat="1" applyFill="1" applyBorder="1" applyAlignment="1">
      <alignment horizontal="center"/>
    </xf>
    <xf numFmtId="1" fontId="0" fillId="0" borderId="0" xfId="0" applyNumberFormat="1" applyFill="1" applyBorder="1" applyAlignment="1">
      <alignment horizontal="center"/>
    </xf>
    <xf numFmtId="6" fontId="2" fillId="0" borderId="22" xfId="0" applyNumberFormat="1" applyFont="1" applyBorder="1" applyAlignment="1">
      <alignment horizontal="center"/>
    </xf>
    <xf numFmtId="169" fontId="6" fillId="0" borderId="28" xfId="0" applyNumberFormat="1" applyFont="1" applyFill="1" applyBorder="1" applyAlignment="1">
      <alignment horizontal="center"/>
    </xf>
    <xf numFmtId="169" fontId="6" fillId="0" borderId="28" xfId="1" applyNumberFormat="1" applyFont="1" applyFill="1" applyBorder="1" applyAlignment="1">
      <alignment horizontal="center"/>
    </xf>
    <xf numFmtId="6" fontId="2" fillId="0" borderId="66" xfId="0" applyNumberFormat="1" applyFont="1" applyBorder="1" applyAlignment="1">
      <alignment horizontal="center" vertical="center"/>
    </xf>
    <xf numFmtId="6" fontId="2" fillId="0" borderId="65" xfId="0" applyNumberFormat="1" applyFont="1" applyBorder="1" applyAlignment="1">
      <alignment horizontal="center"/>
    </xf>
    <xf numFmtId="6" fontId="2" fillId="0" borderId="64" xfId="0" applyNumberFormat="1" applyFont="1" applyBorder="1" applyAlignment="1">
      <alignment horizontal="center"/>
    </xf>
    <xf numFmtId="6" fontId="2" fillId="0" borderId="47" xfId="0" applyNumberFormat="1" applyFont="1" applyBorder="1" applyAlignment="1">
      <alignment horizontal="center" vertical="center" wrapText="1"/>
    </xf>
    <xf numFmtId="6" fontId="2" fillId="0" borderId="6" xfId="0" applyNumberFormat="1" applyFont="1" applyBorder="1" applyAlignment="1">
      <alignment horizontal="center" vertical="center" wrapText="1"/>
    </xf>
    <xf numFmtId="6" fontId="2" fillId="0" borderId="76" xfId="0" applyNumberFormat="1" applyFont="1" applyBorder="1" applyAlignment="1">
      <alignment horizontal="center" vertical="center" wrapText="1"/>
    </xf>
    <xf numFmtId="6" fontId="2" fillId="0" borderId="10" xfId="0" applyNumberFormat="1" applyFont="1" applyBorder="1" applyAlignment="1">
      <alignment horizontal="center" vertical="center" wrapText="1"/>
    </xf>
    <xf numFmtId="6" fontId="2" fillId="0" borderId="29" xfId="0" applyNumberFormat="1" applyFont="1" applyBorder="1" applyAlignment="1">
      <alignment horizontal="center" vertical="center" wrapText="1"/>
    </xf>
    <xf numFmtId="6" fontId="2" fillId="0" borderId="8" xfId="0" applyNumberFormat="1" applyFont="1" applyBorder="1" applyAlignment="1">
      <alignment horizontal="center" vertical="center" wrapText="1"/>
    </xf>
    <xf numFmtId="6" fontId="2" fillId="0" borderId="5" xfId="0" applyNumberFormat="1" applyFont="1" applyBorder="1" applyAlignment="1">
      <alignment horizontal="center"/>
    </xf>
    <xf numFmtId="6" fontId="2" fillId="0" borderId="67" xfId="0" applyNumberFormat="1" applyFont="1" applyBorder="1" applyAlignment="1">
      <alignment horizontal="center"/>
    </xf>
    <xf numFmtId="6" fontId="2" fillId="0" borderId="9" xfId="0" applyNumberFormat="1" applyFont="1" applyBorder="1" applyAlignment="1">
      <alignment horizontal="center"/>
    </xf>
    <xf numFmtId="6" fontId="2" fillId="0" borderId="47" xfId="0" applyNumberFormat="1" applyFont="1" applyBorder="1" applyAlignment="1">
      <alignment horizontal="center"/>
    </xf>
    <xf numFmtId="6" fontId="2" fillId="0" borderId="7" xfId="0" applyNumberFormat="1" applyFont="1" applyBorder="1" applyAlignment="1">
      <alignment horizontal="center"/>
    </xf>
    <xf numFmtId="164" fontId="2" fillId="0" borderId="47" xfId="0" applyNumberFormat="1" applyFont="1" applyBorder="1" applyAlignment="1">
      <alignment horizontal="center" vertical="center" wrapText="1"/>
    </xf>
    <xf numFmtId="0" fontId="4" fillId="0" borderId="74" xfId="0" applyFont="1" applyBorder="1" applyAlignment="1">
      <alignment horizontal="center"/>
    </xf>
    <xf numFmtId="9" fontId="6" fillId="0" borderId="74" xfId="16" applyNumberFormat="1" applyFont="1" applyBorder="1" applyAlignment="1">
      <alignment horizontal="center"/>
    </xf>
    <xf numFmtId="10" fontId="6" fillId="0" borderId="0" xfId="16" applyNumberFormat="1" applyFont="1" applyBorder="1" applyAlignment="1">
      <alignment horizontal="center"/>
    </xf>
    <xf numFmtId="10" fontId="6" fillId="0" borderId="0" xfId="16" applyNumberFormat="1" applyFont="1" applyBorder="1"/>
    <xf numFmtId="44" fontId="0" fillId="0" borderId="0" xfId="0" applyNumberFormat="1"/>
    <xf numFmtId="170" fontId="9" fillId="0" borderId="0" xfId="0" applyNumberFormat="1" applyFont="1" applyAlignment="1">
      <alignment horizontal="center" vertical="center"/>
    </xf>
    <xf numFmtId="0" fontId="9" fillId="0" borderId="0" xfId="1" applyNumberFormat="1" applyFont="1" applyFill="1" applyBorder="1" applyAlignment="1">
      <alignment horizontal="center"/>
    </xf>
    <xf numFmtId="3" fontId="0" fillId="6" borderId="54" xfId="0" applyNumberFormat="1" applyFill="1" applyBorder="1" applyAlignment="1">
      <alignment horizontal="center" vertical="center"/>
    </xf>
    <xf numFmtId="3" fontId="0" fillId="6" borderId="27" xfId="0" applyNumberFormat="1" applyFill="1" applyBorder="1" applyAlignment="1">
      <alignment horizontal="center" vertical="center"/>
    </xf>
    <xf numFmtId="2" fontId="0" fillId="6" borderId="64" xfId="0" applyNumberFormat="1" applyFill="1" applyBorder="1" applyAlignment="1">
      <alignment horizontal="center" vertical="center"/>
    </xf>
    <xf numFmtId="3" fontId="0" fillId="6" borderId="28" xfId="0" applyNumberFormat="1" applyFill="1" applyBorder="1" applyAlignment="1">
      <alignment horizontal="center" vertical="center"/>
    </xf>
    <xf numFmtId="2" fontId="0" fillId="6" borderId="20" xfId="0" applyNumberFormat="1" applyFill="1" applyBorder="1" applyAlignment="1">
      <alignment horizontal="center" vertical="center"/>
    </xf>
    <xf numFmtId="3" fontId="0" fillId="6" borderId="60" xfId="0" applyNumberFormat="1" applyFill="1" applyBorder="1" applyAlignment="1">
      <alignment horizontal="center" vertical="center"/>
    </xf>
    <xf numFmtId="3" fontId="0" fillId="6" borderId="61" xfId="0" applyNumberFormat="1" applyFill="1" applyBorder="1" applyAlignment="1">
      <alignment horizontal="center" vertical="center"/>
    </xf>
    <xf numFmtId="3" fontId="0" fillId="6" borderId="55" xfId="0" applyNumberFormat="1" applyFill="1" applyBorder="1" applyAlignment="1">
      <alignment horizontal="center" vertical="center"/>
    </xf>
    <xf numFmtId="0" fontId="0" fillId="6" borderId="21" xfId="0" applyFill="1" applyBorder="1" applyAlignment="1">
      <alignment horizontal="center" vertical="center"/>
    </xf>
    <xf numFmtId="0" fontId="0" fillId="6" borderId="61" xfId="0" applyFill="1" applyBorder="1" applyAlignment="1">
      <alignment horizontal="center" vertical="center"/>
    </xf>
    <xf numFmtId="0" fontId="0" fillId="6" borderId="55" xfId="0" applyFill="1" applyBorder="1" applyAlignment="1">
      <alignment horizontal="center" vertical="center"/>
    </xf>
    <xf numFmtId="165" fontId="0" fillId="0" borderId="0" xfId="1" applyNumberFormat="1" applyFont="1" applyFill="1"/>
    <xf numFmtId="43" fontId="0" fillId="0" borderId="0" xfId="15" applyFont="1" applyFill="1"/>
    <xf numFmtId="0" fontId="4" fillId="0" borderId="0" xfId="0" applyFont="1" applyAlignment="1">
      <alignment vertical="center"/>
    </xf>
    <xf numFmtId="165" fontId="23" fillId="0" borderId="0" xfId="1" applyNumberFormat="1" applyFont="1" applyFill="1"/>
    <xf numFmtId="0" fontId="9" fillId="0" borderId="0" xfId="0" applyFont="1" applyBorder="1" applyAlignment="1">
      <alignment vertical="center"/>
    </xf>
    <xf numFmtId="0" fontId="2" fillId="0" borderId="0" xfId="0" applyFont="1" applyFill="1" applyBorder="1" applyAlignment="1">
      <alignment horizontal="center"/>
    </xf>
    <xf numFmtId="169" fontId="6" fillId="0" borderId="28" xfId="0" applyNumberFormat="1" applyFont="1" applyBorder="1" applyAlignment="1">
      <alignment horizontal="center"/>
    </xf>
    <xf numFmtId="164" fontId="6" fillId="0" borderId="28" xfId="0" applyNumberFormat="1" applyFont="1" applyBorder="1" applyAlignment="1">
      <alignment horizontal="center"/>
    </xf>
    <xf numFmtId="170" fontId="0" fillId="0" borderId="28" xfId="0" applyNumberFormat="1" applyFill="1" applyBorder="1" applyAlignment="1">
      <alignment horizontal="center"/>
    </xf>
    <xf numFmtId="1" fontId="0" fillId="0" borderId="28" xfId="0" applyNumberFormat="1" applyFill="1" applyBorder="1" applyAlignment="1">
      <alignment horizontal="center"/>
    </xf>
    <xf numFmtId="6" fontId="0" fillId="7" borderId="28" xfId="0" applyNumberFormat="1" applyFill="1" applyBorder="1" applyAlignment="1">
      <alignment horizontal="center"/>
    </xf>
    <xf numFmtId="6" fontId="0" fillId="0" borderId="28" xfId="0" applyNumberFormat="1" applyBorder="1" applyAlignment="1">
      <alignment horizontal="center"/>
    </xf>
    <xf numFmtId="6" fontId="0" fillId="5" borderId="28" xfId="0" applyNumberFormat="1" applyFill="1" applyBorder="1" applyAlignment="1">
      <alignment horizontal="center"/>
    </xf>
    <xf numFmtId="0" fontId="0" fillId="0" borderId="0" xfId="0" applyFill="1" applyBorder="1" applyAlignment="1">
      <alignment horizontal="center" vertical="center"/>
    </xf>
    <xf numFmtId="6" fontId="0" fillId="0" borderId="0" xfId="0" applyNumberFormat="1" applyFill="1" applyBorder="1"/>
    <xf numFmtId="37" fontId="6" fillId="0" borderId="28" xfId="15" applyNumberFormat="1" applyFont="1" applyFill="1" applyBorder="1" applyAlignment="1">
      <alignment horizontal="center"/>
    </xf>
    <xf numFmtId="164" fontId="0" fillId="7" borderId="28" xfId="0" applyNumberFormat="1" applyFill="1" applyBorder="1"/>
    <xf numFmtId="0" fontId="0" fillId="7" borderId="0" xfId="0" applyFill="1"/>
    <xf numFmtId="0" fontId="4" fillId="7" borderId="28" xfId="0" applyFont="1" applyFill="1" applyBorder="1" applyAlignment="1">
      <alignment horizontal="center"/>
    </xf>
    <xf numFmtId="170" fontId="0" fillId="7" borderId="0" xfId="0" applyNumberFormat="1" applyFill="1"/>
    <xf numFmtId="0" fontId="34" fillId="0" borderId="0" xfId="0" applyFont="1"/>
    <xf numFmtId="0" fontId="2" fillId="0" borderId="5" xfId="0" applyFont="1" applyBorder="1" applyAlignment="1">
      <alignment horizontal="center" vertical="center"/>
    </xf>
    <xf numFmtId="164" fontId="2" fillId="7" borderId="50" xfId="0" applyNumberFormat="1" applyFont="1" applyFill="1" applyBorder="1" applyAlignment="1">
      <alignment horizontal="center"/>
    </xf>
    <xf numFmtId="164" fontId="2" fillId="7" borderId="69" xfId="0" applyNumberFormat="1" applyFont="1" applyFill="1" applyBorder="1" applyAlignment="1">
      <alignment horizontal="center"/>
    </xf>
    <xf numFmtId="164" fontId="2" fillId="7" borderId="19" xfId="0" applyNumberFormat="1" applyFont="1" applyFill="1" applyBorder="1" applyAlignment="1">
      <alignment horizontal="center"/>
    </xf>
    <xf numFmtId="0" fontId="2" fillId="0" borderId="7" xfId="0" applyFont="1" applyBorder="1" applyAlignment="1">
      <alignment horizontal="center" vertical="center"/>
    </xf>
    <xf numFmtId="164" fontId="2" fillId="7" borderId="28" xfId="0" applyNumberFormat="1" applyFont="1" applyFill="1" applyBorder="1" applyAlignment="1">
      <alignment horizontal="center"/>
    </xf>
    <xf numFmtId="164" fontId="2" fillId="7" borderId="60" xfId="0" applyNumberFormat="1" applyFont="1" applyFill="1" applyBorder="1" applyAlignment="1">
      <alignment horizontal="center"/>
    </xf>
    <xf numFmtId="164" fontId="2" fillId="7" borderId="20" xfId="0" applyNumberFormat="1" applyFont="1" applyFill="1" applyBorder="1" applyAlignment="1">
      <alignment horizontal="center"/>
    </xf>
    <xf numFmtId="0" fontId="19" fillId="0" borderId="28" xfId="0" applyFont="1" applyBorder="1"/>
    <xf numFmtId="0" fontId="19" fillId="0" borderId="0" xfId="0" applyFont="1"/>
    <xf numFmtId="3" fontId="0" fillId="0" borderId="28" xfId="15" applyNumberFormat="1" applyFont="1" applyFill="1" applyBorder="1"/>
    <xf numFmtId="3" fontId="0" fillId="0" borderId="0" xfId="15" applyNumberFormat="1" applyFont="1"/>
    <xf numFmtId="1" fontId="0" fillId="0" borderId="0" xfId="0" applyNumberFormat="1" applyAlignment="1">
      <alignment horizontal="center"/>
    </xf>
    <xf numFmtId="168" fontId="0" fillId="0" borderId="28" xfId="0" applyNumberFormat="1" applyBorder="1"/>
    <xf numFmtId="9" fontId="0" fillId="0" borderId="28" xfId="0" applyNumberFormat="1" applyBorder="1"/>
    <xf numFmtId="9" fontId="0" fillId="0" borderId="0" xfId="0" applyNumberFormat="1"/>
    <xf numFmtId="0" fontId="36" fillId="0" borderId="0" xfId="0" applyFont="1"/>
    <xf numFmtId="173" fontId="23" fillId="0" borderId="0" xfId="15" applyNumberFormat="1" applyFont="1" applyFill="1" applyBorder="1"/>
    <xf numFmtId="173" fontId="0" fillId="0" borderId="0" xfId="15" applyNumberFormat="1" applyFont="1"/>
    <xf numFmtId="0" fontId="19" fillId="0" borderId="28" xfId="0" applyFont="1" applyBorder="1" applyAlignment="1">
      <alignment horizontal="center"/>
    </xf>
    <xf numFmtId="3" fontId="23" fillId="0" borderId="0" xfId="0" applyNumberFormat="1" applyFont="1" applyAlignment="1">
      <alignment horizontal="center" wrapText="1"/>
    </xf>
    <xf numFmtId="3" fontId="23" fillId="0" borderId="0" xfId="0" applyNumberFormat="1" applyFont="1" applyAlignment="1">
      <alignment horizontal="center"/>
    </xf>
    <xf numFmtId="0" fontId="37" fillId="0" borderId="0" xfId="0" applyFont="1" applyAlignment="1">
      <alignment horizontal="center"/>
    </xf>
    <xf numFmtId="0" fontId="2" fillId="0" borderId="67" xfId="0" applyFont="1" applyBorder="1" applyAlignment="1">
      <alignment horizontal="center" vertical="center"/>
    </xf>
    <xf numFmtId="164" fontId="2" fillId="7" borderId="25" xfId="0" applyNumberFormat="1" applyFont="1" applyFill="1" applyBorder="1" applyAlignment="1">
      <alignment horizontal="center"/>
    </xf>
    <xf numFmtId="164" fontId="2" fillId="7" borderId="83" xfId="0" applyNumberFormat="1" applyFont="1" applyFill="1" applyBorder="1" applyAlignment="1">
      <alignment horizontal="center"/>
    </xf>
    <xf numFmtId="164" fontId="2" fillId="7" borderId="56" xfId="0" applyNumberFormat="1" applyFont="1" applyFill="1" applyBorder="1" applyAlignment="1">
      <alignment horizontal="center"/>
    </xf>
    <xf numFmtId="164" fontId="2" fillId="0" borderId="28" xfId="0" applyNumberFormat="1" applyFont="1" applyBorder="1" applyAlignment="1">
      <alignment horizontal="center"/>
    </xf>
    <xf numFmtId="164" fontId="2" fillId="0" borderId="55" xfId="0" applyNumberFormat="1" applyFont="1" applyBorder="1" applyAlignment="1">
      <alignment horizontal="center"/>
    </xf>
    <xf numFmtId="3" fontId="0" fillId="0" borderId="0" xfId="0" applyNumberFormat="1" applyAlignment="1">
      <alignment horizontal="center"/>
    </xf>
    <xf numFmtId="0" fontId="3" fillId="0" borderId="0" xfId="0" applyFont="1" applyAlignment="1">
      <alignment horizontal="right"/>
    </xf>
    <xf numFmtId="164" fontId="2" fillId="0" borderId="38" xfId="0" applyNumberFormat="1" applyFont="1" applyBorder="1" applyAlignment="1">
      <alignment horizontal="center"/>
    </xf>
    <xf numFmtId="164" fontId="2" fillId="0" borderId="18" xfId="0" applyNumberFormat="1" applyFont="1" applyBorder="1" applyAlignment="1">
      <alignment horizontal="center"/>
    </xf>
    <xf numFmtId="164" fontId="3" fillId="0" borderId="0" xfId="0" applyNumberFormat="1" applyFont="1" applyAlignment="1">
      <alignment horizontal="center"/>
    </xf>
    <xf numFmtId="3" fontId="23" fillId="0" borderId="0" xfId="0" applyNumberFormat="1" applyFont="1" applyAlignment="1">
      <alignment horizontal="left"/>
    </xf>
    <xf numFmtId="3" fontId="0" fillId="0" borderId="0" xfId="0" applyNumberFormat="1"/>
    <xf numFmtId="0" fontId="0" fillId="0" borderId="76" xfId="0" applyBorder="1"/>
    <xf numFmtId="3" fontId="0" fillId="0" borderId="28" xfId="0" applyNumberFormat="1" applyBorder="1" applyAlignment="1">
      <alignment horizontal="center"/>
    </xf>
    <xf numFmtId="0" fontId="36" fillId="0" borderId="0" xfId="0" applyFont="1" applyAlignment="1">
      <alignment horizontal="left"/>
    </xf>
    <xf numFmtId="44" fontId="1" fillId="7" borderId="28" xfId="1" applyFont="1" applyFill="1" applyBorder="1" applyAlignment="1">
      <alignment horizontal="center"/>
    </xf>
    <xf numFmtId="2" fontId="0" fillId="7" borderId="28" xfId="1" applyNumberFormat="1" applyFont="1" applyFill="1" applyBorder="1" applyAlignment="1">
      <alignment horizontal="center"/>
    </xf>
    <xf numFmtId="0" fontId="22" fillId="0" borderId="0" xfId="18" applyAlignment="1">
      <alignment vertical="top" wrapText="1"/>
    </xf>
    <xf numFmtId="44" fontId="0" fillId="0" borderId="28" xfId="1" applyFont="1" applyBorder="1" applyAlignment="1">
      <alignment horizontal="right"/>
    </xf>
    <xf numFmtId="165" fontId="23" fillId="0" borderId="0" xfId="1" applyNumberFormat="1" applyFont="1" applyBorder="1"/>
    <xf numFmtId="3" fontId="0" fillId="0" borderId="28" xfId="0" applyNumberFormat="1" applyBorder="1" applyAlignment="1">
      <alignment horizontal="right"/>
    </xf>
    <xf numFmtId="1" fontId="0" fillId="0" borderId="28" xfId="0" applyNumberFormat="1" applyBorder="1" applyAlignment="1">
      <alignment horizontal="right"/>
    </xf>
    <xf numFmtId="165" fontId="0" fillId="0" borderId="28" xfId="1" applyNumberFormat="1" applyFont="1" applyBorder="1"/>
    <xf numFmtId="1" fontId="0" fillId="0" borderId="28" xfId="0" applyNumberFormat="1" applyBorder="1"/>
    <xf numFmtId="44" fontId="0" fillId="0" borderId="28" xfId="1" applyFont="1" applyBorder="1"/>
    <xf numFmtId="0" fontId="36" fillId="0" borderId="0" xfId="0" applyFont="1" applyAlignment="1">
      <alignment wrapText="1"/>
    </xf>
    <xf numFmtId="174" fontId="0" fillId="7" borderId="28" xfId="1" applyNumberFormat="1" applyFont="1" applyFill="1" applyBorder="1"/>
    <xf numFmtId="170" fontId="0" fillId="7" borderId="28" xfId="0" applyNumberFormat="1" applyFill="1" applyBorder="1" applyAlignment="1">
      <alignment horizontal="center"/>
    </xf>
    <xf numFmtId="2" fontId="0" fillId="0" borderId="0" xfId="0" applyNumberFormat="1" applyAlignment="1">
      <alignment horizontal="center"/>
    </xf>
    <xf numFmtId="0" fontId="0" fillId="0" borderId="0" xfId="0"/>
    <xf numFmtId="0" fontId="0" fillId="0" borderId="0" xfId="0"/>
    <xf numFmtId="0" fontId="0" fillId="0" borderId="0" xfId="0" applyAlignment="1">
      <alignment horizontal="left" vertical="top" wrapText="1"/>
    </xf>
    <xf numFmtId="0" fontId="4" fillId="0" borderId="0" xfId="0" applyFont="1" applyAlignment="1">
      <alignment horizontal="left"/>
    </xf>
    <xf numFmtId="0" fontId="2" fillId="0" borderId="13" xfId="0" applyFont="1" applyBorder="1" applyAlignment="1">
      <alignment horizontal="center" vertical="center" wrapText="1"/>
    </xf>
    <xf numFmtId="0" fontId="0" fillId="0" borderId="0" xfId="0"/>
    <xf numFmtId="0" fontId="0" fillId="0" borderId="23" xfId="0" applyBorder="1"/>
    <xf numFmtId="0" fontId="0" fillId="0" borderId="0" xfId="0" applyAlignment="1">
      <alignment horizontal="left"/>
    </xf>
    <xf numFmtId="0" fontId="0" fillId="0" borderId="28" xfId="0" applyBorder="1" applyAlignment="1">
      <alignment horizontal="left"/>
    </xf>
    <xf numFmtId="0" fontId="0" fillId="0" borderId="28" xfId="0" applyBorder="1"/>
    <xf numFmtId="0" fontId="0" fillId="0" borderId="28" xfId="0" applyBorder="1" applyAlignment="1">
      <alignment horizontal="center"/>
    </xf>
    <xf numFmtId="0" fontId="4" fillId="0" borderId="25" xfId="0" applyFont="1" applyBorder="1" applyAlignment="1">
      <alignment horizontal="center"/>
    </xf>
    <xf numFmtId="0" fontId="2" fillId="0" borderId="28" xfId="0" applyFont="1" applyBorder="1" applyAlignment="1">
      <alignment horizontal="center"/>
    </xf>
    <xf numFmtId="164" fontId="2" fillId="0" borderId="65" xfId="0" applyNumberFormat="1" applyFont="1" applyBorder="1" applyAlignment="1">
      <alignment horizontal="center" vertical="center"/>
    </xf>
    <xf numFmtId="164" fontId="2" fillId="0" borderId="64" xfId="0" applyNumberFormat="1" applyFont="1" applyBorder="1" applyAlignment="1">
      <alignment horizontal="center" vertical="center" wrapText="1"/>
    </xf>
    <xf numFmtId="6" fontId="2" fillId="0" borderId="0" xfId="0" applyNumberFormat="1" applyFont="1" applyBorder="1" applyAlignment="1">
      <alignment horizontal="center"/>
    </xf>
    <xf numFmtId="6" fontId="2" fillId="0" borderId="0" xfId="0" applyNumberFormat="1" applyFont="1" applyBorder="1" applyAlignment="1">
      <alignment horizontal="center" vertical="center" wrapText="1"/>
    </xf>
    <xf numFmtId="6" fontId="2" fillId="0" borderId="0" xfId="0" applyNumberFormat="1" applyFont="1" applyBorder="1" applyAlignment="1">
      <alignment horizontal="center" vertical="center"/>
    </xf>
    <xf numFmtId="0" fontId="2" fillId="0" borderId="28" xfId="0" applyFont="1" applyBorder="1"/>
    <xf numFmtId="0" fontId="6" fillId="0" borderId="0" xfId="0" applyFont="1" applyFill="1" applyAlignment="1">
      <alignment vertical="top" wrapText="1"/>
    </xf>
    <xf numFmtId="0" fontId="14" fillId="0" borderId="0" xfId="0" applyFont="1" applyAlignment="1">
      <alignment vertical="center"/>
    </xf>
    <xf numFmtId="170" fontId="6" fillId="0" borderId="28" xfId="0" applyNumberFormat="1" applyFont="1" applyBorder="1" applyAlignment="1">
      <alignment horizontal="center" vertical="center"/>
    </xf>
    <xf numFmtId="170" fontId="6" fillId="0" borderId="28" xfId="1" applyNumberFormat="1" applyFont="1" applyFill="1" applyBorder="1" applyAlignment="1">
      <alignment horizontal="center"/>
    </xf>
    <xf numFmtId="6" fontId="2" fillId="0" borderId="6" xfId="15" applyNumberFormat="1" applyFont="1" applyBorder="1" applyAlignment="1">
      <alignment horizontal="center"/>
    </xf>
    <xf numFmtId="6" fontId="2" fillId="0" borderId="8" xfId="15" applyNumberFormat="1" applyFont="1" applyBorder="1" applyAlignment="1">
      <alignment horizontal="center"/>
    </xf>
    <xf numFmtId="6" fontId="2" fillId="0" borderId="10" xfId="15" applyNumberFormat="1" applyFont="1" applyBorder="1" applyAlignment="1">
      <alignment horizontal="center"/>
    </xf>
    <xf numFmtId="170" fontId="6" fillId="0" borderId="28" xfId="0" applyNumberFormat="1" applyFont="1" applyBorder="1" applyAlignment="1">
      <alignment horizontal="left" vertical="center"/>
    </xf>
    <xf numFmtId="164" fontId="2" fillId="0" borderId="36" xfId="15" applyNumberFormat="1" applyFont="1" applyBorder="1" applyAlignment="1">
      <alignment horizontal="center"/>
    </xf>
    <xf numFmtId="6" fontId="2" fillId="0" borderId="19" xfId="1" applyNumberFormat="1" applyFont="1" applyFill="1" applyBorder="1" applyAlignment="1">
      <alignment horizontal="center"/>
    </xf>
    <xf numFmtId="164" fontId="2" fillId="0" borderId="41" xfId="15" applyNumberFormat="1" applyFont="1" applyBorder="1" applyAlignment="1">
      <alignment horizontal="center"/>
    </xf>
    <xf numFmtId="6" fontId="2" fillId="0" borderId="20" xfId="1" applyNumberFormat="1" applyFont="1" applyFill="1" applyBorder="1" applyAlignment="1">
      <alignment horizontal="center"/>
    </xf>
    <xf numFmtId="164" fontId="2" fillId="0" borderId="37" xfId="15" applyNumberFormat="1" applyFont="1" applyBorder="1" applyAlignment="1">
      <alignment horizontal="center"/>
    </xf>
    <xf numFmtId="6" fontId="2" fillId="0" borderId="21" xfId="1" applyNumberFormat="1" applyFont="1" applyFill="1" applyBorder="1" applyAlignment="1">
      <alignment horizontal="center"/>
    </xf>
    <xf numFmtId="0" fontId="4" fillId="0" borderId="28" xfId="0" applyFont="1" applyBorder="1" applyAlignment="1">
      <alignment horizontal="left"/>
    </xf>
    <xf numFmtId="0" fontId="0" fillId="0" borderId="28" xfId="0" applyFill="1" applyBorder="1" applyAlignment="1">
      <alignment horizontal="center"/>
    </xf>
    <xf numFmtId="0" fontId="0" fillId="5" borderId="28" xfId="0" applyFill="1" applyBorder="1" applyAlignment="1">
      <alignment horizontal="center" vertical="center"/>
    </xf>
    <xf numFmtId="6" fontId="2" fillId="0" borderId="30" xfId="0" applyNumberFormat="1" applyFont="1" applyBorder="1" applyAlignment="1">
      <alignment horizontal="center"/>
    </xf>
    <xf numFmtId="171" fontId="2" fillId="0" borderId="36" xfId="0" applyNumberFormat="1" applyFont="1" applyBorder="1" applyAlignment="1">
      <alignment horizontal="center"/>
    </xf>
    <xf numFmtId="171" fontId="2" fillId="0" borderId="41" xfId="0" applyNumberFormat="1" applyFont="1" applyBorder="1" applyAlignment="1">
      <alignment horizontal="center"/>
    </xf>
    <xf numFmtId="171" fontId="2" fillId="0" borderId="37" xfId="0" applyNumberFormat="1" applyFont="1" applyBorder="1" applyAlignment="1">
      <alignment horizontal="center"/>
    </xf>
    <xf numFmtId="6" fontId="2" fillId="0" borderId="55" xfId="0" applyNumberFormat="1" applyFont="1" applyBorder="1" applyAlignment="1">
      <alignment horizontal="center"/>
    </xf>
    <xf numFmtId="172" fontId="2" fillId="0" borderId="19" xfId="0" applyNumberFormat="1" applyFont="1" applyBorder="1" applyAlignment="1">
      <alignment horizontal="center"/>
    </xf>
    <xf numFmtId="172" fontId="2" fillId="0" borderId="20" xfId="0" applyNumberFormat="1" applyFont="1" applyBorder="1" applyAlignment="1">
      <alignment horizontal="center"/>
    </xf>
    <xf numFmtId="172" fontId="2" fillId="0" borderId="21" xfId="0" applyNumberFormat="1" applyFont="1" applyBorder="1" applyAlignment="1">
      <alignment horizontal="center"/>
    </xf>
    <xf numFmtId="2" fontId="0" fillId="0" borderId="28" xfId="0" applyNumberFormat="1" applyBorder="1" applyAlignment="1">
      <alignment horizontal="center"/>
    </xf>
    <xf numFmtId="3" fontId="2" fillId="7" borderId="36" xfId="15" applyNumberFormat="1" applyFont="1" applyFill="1" applyBorder="1" applyAlignment="1">
      <alignment horizontal="center"/>
    </xf>
    <xf numFmtId="3" fontId="2" fillId="7" borderId="19" xfId="0" applyNumberFormat="1" applyFont="1" applyFill="1" applyBorder="1" applyAlignment="1">
      <alignment horizontal="center"/>
    </xf>
    <xf numFmtId="164" fontId="2" fillId="7" borderId="36" xfId="0" applyNumberFormat="1" applyFont="1" applyFill="1" applyBorder="1" applyAlignment="1">
      <alignment horizontal="center"/>
    </xf>
    <xf numFmtId="3" fontId="2" fillId="7" borderId="41" xfId="15" applyNumberFormat="1" applyFont="1" applyFill="1" applyBorder="1" applyAlignment="1">
      <alignment horizontal="center"/>
    </xf>
    <xf numFmtId="3" fontId="2" fillId="7" borderId="20" xfId="0" applyNumberFormat="1" applyFont="1" applyFill="1" applyBorder="1" applyAlignment="1">
      <alignment horizontal="center"/>
    </xf>
    <xf numFmtId="164" fontId="2" fillId="7" borderId="41" xfId="0" applyNumberFormat="1" applyFont="1" applyFill="1" applyBorder="1" applyAlignment="1">
      <alignment horizontal="center"/>
    </xf>
    <xf numFmtId="3" fontId="23" fillId="0" borderId="0" xfId="15" applyNumberFormat="1" applyFont="1"/>
    <xf numFmtId="43" fontId="0" fillId="0" borderId="28" xfId="15" applyFont="1" applyFill="1" applyBorder="1"/>
    <xf numFmtId="0" fontId="40" fillId="0" borderId="28" xfId="0" applyFont="1" applyBorder="1" applyAlignment="1">
      <alignment horizontal="center"/>
    </xf>
    <xf numFmtId="3" fontId="0" fillId="0" borderId="79" xfId="0" applyNumberFormat="1" applyBorder="1" applyAlignment="1">
      <alignment horizontal="center"/>
    </xf>
    <xf numFmtId="3" fontId="0" fillId="0" borderId="82" xfId="0" applyNumberFormat="1" applyBorder="1" applyAlignment="1">
      <alignment horizontal="center"/>
    </xf>
    <xf numFmtId="3" fontId="2" fillId="7" borderId="72" xfId="15" applyNumberFormat="1" applyFont="1" applyFill="1" applyBorder="1" applyAlignment="1">
      <alignment horizontal="center"/>
    </xf>
    <xf numFmtId="3" fontId="2" fillId="7" borderId="56" xfId="0" applyNumberFormat="1" applyFont="1" applyFill="1" applyBorder="1" applyAlignment="1">
      <alignment horizontal="center"/>
    </xf>
    <xf numFmtId="164" fontId="2" fillId="7" borderId="72" xfId="0" applyNumberFormat="1" applyFont="1" applyFill="1" applyBorder="1" applyAlignment="1">
      <alignment horizontal="center"/>
    </xf>
    <xf numFmtId="3" fontId="2" fillId="0" borderId="41" xfId="15" applyNumberFormat="1" applyFont="1" applyBorder="1" applyAlignment="1">
      <alignment horizontal="center"/>
    </xf>
    <xf numFmtId="3" fontId="2" fillId="0" borderId="20" xfId="15" applyNumberFormat="1" applyFont="1" applyBorder="1" applyAlignment="1">
      <alignment horizontal="center"/>
    </xf>
    <xf numFmtId="3" fontId="2" fillId="0" borderId="20" xfId="0" applyNumberFormat="1" applyFont="1" applyBorder="1" applyAlignment="1">
      <alignment horizontal="center"/>
    </xf>
    <xf numFmtId="164" fontId="2" fillId="0" borderId="41" xfId="0" applyNumberFormat="1" applyFont="1" applyBorder="1" applyAlignment="1">
      <alignment horizontal="center"/>
    </xf>
    <xf numFmtId="164" fontId="2" fillId="0" borderId="60" xfId="0" applyNumberFormat="1" applyFont="1" applyBorder="1" applyAlignment="1">
      <alignment horizontal="center"/>
    </xf>
    <xf numFmtId="9" fontId="0" fillId="0" borderId="60" xfId="16" applyFont="1" applyFill="1" applyBorder="1"/>
    <xf numFmtId="3" fontId="2" fillId="0" borderId="37" xfId="15" applyNumberFormat="1" applyFont="1" applyBorder="1" applyAlignment="1">
      <alignment horizontal="center"/>
    </xf>
    <xf numFmtId="3" fontId="2" fillId="0" borderId="21" xfId="15" applyNumberFormat="1" applyFont="1" applyBorder="1" applyAlignment="1">
      <alignment horizontal="center"/>
    </xf>
    <xf numFmtId="3" fontId="2" fillId="0" borderId="21" xfId="0" applyNumberFormat="1" applyFont="1" applyBorder="1" applyAlignment="1">
      <alignment horizontal="center"/>
    </xf>
    <xf numFmtId="164" fontId="2" fillId="0" borderId="37" xfId="0" applyNumberFormat="1" applyFont="1" applyBorder="1" applyAlignment="1">
      <alignment horizontal="center"/>
    </xf>
    <xf numFmtId="164" fontId="2" fillId="0" borderId="61" xfId="0" applyNumberFormat="1" applyFont="1" applyBorder="1" applyAlignment="1">
      <alignment horizontal="center"/>
    </xf>
    <xf numFmtId="164" fontId="2" fillId="0" borderId="84" xfId="0" applyNumberFormat="1" applyFont="1" applyBorder="1" applyAlignment="1">
      <alignment horizontal="center"/>
    </xf>
    <xf numFmtId="164" fontId="2" fillId="0" borderId="71" xfId="0" applyNumberFormat="1" applyFont="1" applyBorder="1" applyAlignment="1">
      <alignment horizontal="center"/>
    </xf>
    <xf numFmtId="164" fontId="2" fillId="0" borderId="39" xfId="0" applyNumberFormat="1" applyFont="1" applyBorder="1" applyAlignment="1">
      <alignment horizontal="center"/>
    </xf>
    <xf numFmtId="40" fontId="0" fillId="0" borderId="28" xfId="0" applyNumberFormat="1" applyBorder="1" applyAlignment="1">
      <alignment horizontal="center"/>
    </xf>
    <xf numFmtId="0" fontId="36" fillId="0" borderId="0" xfId="0" applyFont="1" applyAlignment="1">
      <alignment vertical="top"/>
    </xf>
    <xf numFmtId="0" fontId="36" fillId="0" borderId="0" xfId="0" applyFont="1" applyAlignment="1">
      <alignment vertical="top" wrapText="1"/>
    </xf>
    <xf numFmtId="0" fontId="6" fillId="0" borderId="0" xfId="18" applyFont="1" applyFill="1" applyAlignment="1">
      <alignment vertical="top" wrapText="1"/>
    </xf>
    <xf numFmtId="0" fontId="0" fillId="7" borderId="0" xfId="0" applyFill="1" applyAlignment="1"/>
    <xf numFmtId="10" fontId="0" fillId="7" borderId="28" xfId="16" applyNumberFormat="1" applyFont="1" applyFill="1" applyBorder="1"/>
    <xf numFmtId="0" fontId="2" fillId="0" borderId="0" xfId="0" applyFont="1" applyFill="1" applyBorder="1" applyAlignment="1">
      <alignment horizontal="center" vertical="center"/>
    </xf>
    <xf numFmtId="164" fontId="2" fillId="0" borderId="8" xfId="0" applyNumberFormat="1" applyFont="1" applyBorder="1" applyAlignment="1">
      <alignment horizontal="center"/>
    </xf>
    <xf numFmtId="164" fontId="2" fillId="0" borderId="10" xfId="0" applyNumberFormat="1" applyFont="1" applyBorder="1" applyAlignment="1">
      <alignment horizontal="center"/>
    </xf>
    <xf numFmtId="169" fontId="2" fillId="0" borderId="36" xfId="1" applyNumberFormat="1" applyFont="1" applyBorder="1" applyAlignment="1">
      <alignment horizontal="center" vertical="center" wrapText="1"/>
    </xf>
    <xf numFmtId="164" fontId="2" fillId="0" borderId="19" xfId="0" applyNumberFormat="1" applyFont="1" applyBorder="1" applyAlignment="1">
      <alignment horizontal="center" vertical="center"/>
    </xf>
    <xf numFmtId="164" fontId="2" fillId="0" borderId="7" xfId="0" applyNumberFormat="1" applyFont="1" applyBorder="1" applyAlignment="1">
      <alignment horizontal="center"/>
    </xf>
    <xf numFmtId="44" fontId="9" fillId="0" borderId="28" xfId="1" applyFont="1" applyFill="1" applyBorder="1" applyAlignment="1">
      <alignment horizontal="center" vertical="center"/>
    </xf>
    <xf numFmtId="0" fontId="2" fillId="7" borderId="13"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4" xfId="0" applyFont="1" applyFill="1" applyBorder="1" applyAlignment="1">
      <alignment horizontal="center"/>
    </xf>
    <xf numFmtId="164" fontId="2" fillId="7" borderId="13" xfId="0" applyNumberFormat="1" applyFont="1" applyFill="1" applyBorder="1" applyAlignment="1">
      <alignment horizontal="center" vertical="center" wrapText="1"/>
    </xf>
    <xf numFmtId="164" fontId="2" fillId="7" borderId="14" xfId="0" applyNumberFormat="1" applyFont="1" applyFill="1" applyBorder="1" applyAlignment="1">
      <alignment horizontal="center" vertical="center" wrapText="1"/>
    </xf>
    <xf numFmtId="164" fontId="2" fillId="0" borderId="66"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164" fontId="2" fillId="7" borderId="14" xfId="0" applyNumberFormat="1" applyFont="1" applyFill="1" applyBorder="1" applyAlignment="1">
      <alignment horizontal="center" vertical="center"/>
    </xf>
    <xf numFmtId="0" fontId="3" fillId="7" borderId="53" xfId="0" applyFont="1" applyFill="1" applyBorder="1" applyAlignment="1">
      <alignment horizontal="center" vertical="center" wrapText="1"/>
    </xf>
    <xf numFmtId="6" fontId="2" fillId="7" borderId="13" xfId="0" applyNumberFormat="1" applyFont="1" applyFill="1" applyBorder="1" applyAlignment="1">
      <alignment horizontal="center"/>
    </xf>
    <xf numFmtId="6" fontId="2" fillId="7" borderId="14" xfId="0" applyNumberFormat="1" applyFont="1" applyFill="1" applyBorder="1" applyAlignment="1">
      <alignment horizontal="center"/>
    </xf>
    <xf numFmtId="6" fontId="2" fillId="7" borderId="15" xfId="0" applyNumberFormat="1" applyFont="1" applyFill="1" applyBorder="1" applyAlignment="1">
      <alignment horizontal="center"/>
    </xf>
    <xf numFmtId="0" fontId="41" fillId="7" borderId="85" xfId="0" applyFont="1" applyFill="1" applyBorder="1"/>
    <xf numFmtId="0" fontId="0" fillId="7" borderId="85" xfId="0" applyFill="1" applyBorder="1"/>
    <xf numFmtId="0" fontId="42" fillId="7" borderId="85" xfId="0" applyFont="1" applyFill="1" applyBorder="1"/>
    <xf numFmtId="0" fontId="42" fillId="7" borderId="85" xfId="0" applyFont="1" applyFill="1" applyBorder="1" applyAlignment="1">
      <alignment horizontal="right"/>
    </xf>
    <xf numFmtId="0" fontId="0" fillId="0" borderId="85" xfId="0" applyBorder="1"/>
    <xf numFmtId="0" fontId="42" fillId="0" borderId="85" xfId="0" applyFont="1" applyBorder="1"/>
    <xf numFmtId="168" fontId="41" fillId="7" borderId="85" xfId="16" applyNumberFormat="1" applyFont="1" applyFill="1" applyBorder="1"/>
    <xf numFmtId="168" fontId="42" fillId="7" borderId="85" xfId="16" applyNumberFormat="1" applyFont="1" applyFill="1" applyBorder="1"/>
    <xf numFmtId="0" fontId="6" fillId="0" borderId="0" xfId="0" applyFont="1" applyFill="1" applyAlignment="1">
      <alignment horizontal="left" vertical="top" wrapText="1"/>
    </xf>
    <xf numFmtId="0" fontId="6" fillId="0" borderId="0" xfId="2" applyFont="1" applyFill="1" applyAlignment="1">
      <alignment horizontal="left" vertical="top"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42" xfId="0" applyFont="1" applyFill="1" applyBorder="1" applyAlignment="1">
      <alignment horizontal="center" vertical="center"/>
    </xf>
    <xf numFmtId="0" fontId="3" fillId="0" borderId="3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3" xfId="0" applyFont="1" applyFill="1" applyBorder="1" applyAlignment="1">
      <alignment horizontal="center" vertical="center"/>
    </xf>
    <xf numFmtId="164" fontId="3" fillId="0" borderId="43" xfId="0" applyNumberFormat="1" applyFont="1" applyFill="1" applyBorder="1" applyAlignment="1">
      <alignment horizontal="center" vertical="center" wrapText="1"/>
    </xf>
    <xf numFmtId="164" fontId="3" fillId="0" borderId="31"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5" fillId="0" borderId="28" xfId="0" applyFont="1" applyFill="1" applyBorder="1" applyAlignment="1">
      <alignment horizontal="center"/>
    </xf>
    <xf numFmtId="0" fontId="0" fillId="4" borderId="11" xfId="0" applyFill="1" applyBorder="1" applyAlignment="1">
      <alignment horizontal="center" vertical="center"/>
    </xf>
    <xf numFmtId="0" fontId="0" fillId="4" borderId="66" xfId="0" applyFill="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xf>
    <xf numFmtId="0" fontId="0" fillId="3" borderId="11" xfId="0" applyFill="1" applyBorder="1" applyAlignment="1">
      <alignment horizontal="center" vertical="center"/>
    </xf>
    <xf numFmtId="0" fontId="0" fillId="3" borderId="66" xfId="0" applyFill="1" applyBorder="1" applyAlignment="1">
      <alignment horizontal="center" vertical="center"/>
    </xf>
    <xf numFmtId="0" fontId="0" fillId="0" borderId="0" xfId="0" applyFill="1" applyAlignment="1">
      <alignment horizontal="left" vertical="top"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0" xfId="0" applyFont="1" applyFill="1" applyBorder="1" applyAlignment="1">
      <alignment horizontal="left"/>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0" borderId="0" xfId="0" applyFont="1" applyFill="1" applyBorder="1" applyAlignment="1">
      <alignment horizontal="left"/>
    </xf>
    <xf numFmtId="0" fontId="2" fillId="0" borderId="52" xfId="0" applyFont="1" applyBorder="1" applyAlignment="1">
      <alignment horizontal="center" vertical="center" wrapText="1"/>
    </xf>
    <xf numFmtId="0" fontId="2" fillId="0" borderId="51" xfId="0" applyFont="1" applyBorder="1" applyAlignment="1">
      <alignment horizontal="center" vertical="center" wrapText="1"/>
    </xf>
    <xf numFmtId="0" fontId="6" fillId="0" borderId="0" xfId="0" applyFont="1" applyAlignment="1">
      <alignment horizontal="left" vertical="top" wrapText="1"/>
    </xf>
    <xf numFmtId="0" fontId="0" fillId="0" borderId="42" xfId="0" applyBorder="1" applyAlignment="1">
      <alignment horizontal="center"/>
    </xf>
    <xf numFmtId="0" fontId="0" fillId="0" borderId="43" xfId="0" applyBorder="1" applyAlignment="1">
      <alignment horizontal="center"/>
    </xf>
    <xf numFmtId="0" fontId="0" fillId="0" borderId="31" xfId="0" applyBorder="1" applyAlignment="1">
      <alignment horizont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0" xfId="0" applyFont="1" applyAlignment="1">
      <alignment horizontal="left"/>
    </xf>
    <xf numFmtId="0" fontId="4" fillId="0" borderId="0" xfId="0" applyFont="1" applyBorder="1" applyAlignment="1">
      <alignment horizontal="left"/>
    </xf>
    <xf numFmtId="0" fontId="2" fillId="0" borderId="40"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0" xfId="0" applyAlignment="1">
      <alignment horizontal="left" vertical="top"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4" fillId="0" borderId="0" xfId="0" applyFont="1" applyFill="1" applyBorder="1" applyAlignment="1">
      <alignment horizontal="center"/>
    </xf>
    <xf numFmtId="0" fontId="4" fillId="0" borderId="23" xfId="0" applyFont="1" applyBorder="1" applyAlignment="1">
      <alignment horizontal="center"/>
    </xf>
    <xf numFmtId="0" fontId="4" fillId="0" borderId="60" xfId="0" applyFont="1" applyBorder="1" applyAlignment="1">
      <alignment horizontal="center"/>
    </xf>
    <xf numFmtId="0" fontId="4" fillId="7" borderId="23" xfId="0" applyFont="1" applyFill="1" applyBorder="1" applyAlignment="1">
      <alignment horizontal="center"/>
    </xf>
    <xf numFmtId="0" fontId="4" fillId="7" borderId="60" xfId="0" applyFont="1" applyFill="1" applyBorder="1" applyAlignment="1">
      <alignment horizontal="center"/>
    </xf>
    <xf numFmtId="0" fontId="0" fillId="0" borderId="0" xfId="0" applyFont="1" applyFill="1" applyAlignment="1">
      <alignment horizontal="lef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xf>
    <xf numFmtId="0" fontId="4" fillId="0" borderId="1" xfId="0" applyFont="1" applyBorder="1" applyAlignment="1">
      <alignment horizontal="center"/>
    </xf>
    <xf numFmtId="0" fontId="4" fillId="0" borderId="35" xfId="0" applyFont="1" applyBorder="1" applyAlignment="1">
      <alignment horizontal="center"/>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7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8"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0" fontId="2" fillId="0" borderId="18"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72" xfId="0" applyFont="1" applyBorder="1" applyAlignment="1">
      <alignment horizontal="center" vertical="center"/>
    </xf>
    <xf numFmtId="0" fontId="4" fillId="0" borderId="8" xfId="0" applyFont="1" applyBorder="1" applyAlignment="1">
      <alignment horizontal="center"/>
    </xf>
    <xf numFmtId="0" fontId="0" fillId="0" borderId="74" xfId="0" applyBorder="1" applyAlignment="1">
      <alignment horizontal="center" vertical="top" wrapText="1"/>
    </xf>
    <xf numFmtId="0" fontId="2" fillId="0" borderId="34" xfId="0" applyFont="1" applyBorder="1" applyAlignment="1">
      <alignment horizontal="center" vertical="center" wrapText="1"/>
    </xf>
    <xf numFmtId="0" fontId="2" fillId="7" borderId="40" xfId="0" applyFont="1" applyFill="1" applyBorder="1" applyAlignment="1">
      <alignment horizontal="center" vertical="center" wrapText="1"/>
    </xf>
    <xf numFmtId="0" fontId="2" fillId="7" borderId="38"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8" xfId="0" applyFont="1" applyFill="1" applyBorder="1" applyAlignment="1">
      <alignment horizontal="center" vertical="center" wrapText="1"/>
    </xf>
    <xf numFmtId="168" fontId="2" fillId="7" borderId="17" xfId="16" applyNumberFormat="1" applyFont="1" applyFill="1" applyBorder="1" applyAlignment="1">
      <alignment horizontal="center" vertical="center"/>
    </xf>
    <xf numFmtId="168" fontId="2" fillId="7" borderId="18" xfId="16" applyNumberFormat="1" applyFont="1" applyFill="1" applyBorder="1" applyAlignment="1">
      <alignment horizontal="center" vertical="center"/>
    </xf>
    <xf numFmtId="0" fontId="4" fillId="0" borderId="42" xfId="0" applyFont="1" applyBorder="1" applyAlignment="1">
      <alignment horizontal="center"/>
    </xf>
    <xf numFmtId="0" fontId="4" fillId="0" borderId="31" xfId="0" applyFont="1" applyBorder="1" applyAlignment="1">
      <alignment horizontal="center"/>
    </xf>
    <xf numFmtId="0" fontId="4" fillId="0" borderId="2" xfId="0" applyFont="1" applyBorder="1" applyAlignment="1">
      <alignment horizontal="center"/>
    </xf>
    <xf numFmtId="0" fontId="2" fillId="7" borderId="36"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2" fillId="7" borderId="50" xfId="0" applyFont="1" applyFill="1" applyBorder="1" applyAlignment="1">
      <alignment horizontal="center" vertical="center" wrapText="1"/>
    </xf>
    <xf numFmtId="0" fontId="2" fillId="7" borderId="55"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58" xfId="0" applyFont="1" applyFill="1" applyBorder="1" applyAlignment="1">
      <alignment horizontal="center" vertical="center" wrapText="1"/>
    </xf>
    <xf numFmtId="0" fontId="2" fillId="7" borderId="59" xfId="0" applyFont="1" applyFill="1" applyBorder="1" applyAlignment="1">
      <alignment horizontal="center" vertical="center" wrapText="1"/>
    </xf>
    <xf numFmtId="0" fontId="0" fillId="0" borderId="23" xfId="0" applyBorder="1"/>
    <xf numFmtId="0" fontId="0" fillId="0" borderId="60" xfId="0" applyBorder="1"/>
    <xf numFmtId="0" fontId="19" fillId="0" borderId="28" xfId="0" applyFont="1" applyBorder="1" applyAlignment="1">
      <alignment horizontal="left"/>
    </xf>
    <xf numFmtId="0" fontId="0" fillId="0" borderId="28" xfId="0" applyBorder="1"/>
    <xf numFmtId="0" fontId="0" fillId="0" borderId="28" xfId="0" applyBorder="1" applyAlignment="1">
      <alignment horizontal="left"/>
    </xf>
    <xf numFmtId="0" fontId="36" fillId="0" borderId="0" xfId="0" applyFont="1" applyAlignment="1">
      <alignment horizontal="left" wrapText="1"/>
    </xf>
    <xf numFmtId="0" fontId="4" fillId="0" borderId="28" xfId="0" applyFont="1" applyBorder="1" applyAlignment="1">
      <alignment horizontal="center"/>
    </xf>
    <xf numFmtId="0" fontId="38" fillId="0" borderId="0" xfId="0" applyFont="1" applyAlignment="1">
      <alignment horizontal="center" wrapText="1"/>
    </xf>
    <xf numFmtId="0" fontId="0" fillId="7" borderId="28" xfId="0" applyFill="1" applyBorder="1" applyAlignment="1">
      <alignment horizontal="left"/>
    </xf>
    <xf numFmtId="0" fontId="0" fillId="0" borderId="77" xfId="0" applyBorder="1"/>
    <xf numFmtId="0" fontId="0" fillId="0" borderId="78" xfId="0" applyBorder="1"/>
    <xf numFmtId="0" fontId="0" fillId="0" borderId="80" xfId="0" applyBorder="1" applyAlignment="1">
      <alignment horizontal="left"/>
    </xf>
    <xf numFmtId="0" fontId="0" fillId="0" borderId="81" xfId="0" applyBorder="1" applyAlignment="1">
      <alignment horizontal="left"/>
    </xf>
    <xf numFmtId="0" fontId="0" fillId="0" borderId="8" xfId="0" applyBorder="1"/>
    <xf numFmtId="0" fontId="0" fillId="7" borderId="28" xfId="0" applyFill="1" applyBorder="1"/>
    <xf numFmtId="0" fontId="41" fillId="7" borderId="85" xfId="0" applyFont="1" applyFill="1" applyBorder="1" applyAlignment="1">
      <alignment horizontal="center"/>
    </xf>
    <xf numFmtId="0" fontId="0" fillId="0" borderId="0" xfId="0"/>
    <xf numFmtId="0" fontId="0" fillId="7" borderId="0" xfId="0" applyFill="1" applyAlignment="1">
      <alignment horizontal="left" vertical="top" wrapText="1"/>
    </xf>
    <xf numFmtId="0" fontId="6" fillId="0" borderId="0" xfId="18" applyFont="1" applyFill="1" applyAlignment="1">
      <alignment horizontal="left" vertical="top" wrapText="1"/>
    </xf>
    <xf numFmtId="0" fontId="22" fillId="0" borderId="0" xfId="18" applyAlignment="1">
      <alignment horizontal="left" vertical="top" wrapText="1"/>
    </xf>
    <xf numFmtId="0" fontId="0" fillId="0" borderId="0" xfId="0" applyAlignment="1">
      <alignment horizontal="left"/>
    </xf>
    <xf numFmtId="0" fontId="0" fillId="0" borderId="23" xfId="0" applyBorder="1" applyAlignment="1">
      <alignment horizontal="left"/>
    </xf>
    <xf numFmtId="0" fontId="0" fillId="0" borderId="60" xfId="0" applyBorder="1" applyAlignment="1">
      <alignment horizontal="left"/>
    </xf>
    <xf numFmtId="0" fontId="0" fillId="0" borderId="0" xfId="0" applyAlignment="1">
      <alignment horizontal="left" wrapText="1"/>
    </xf>
    <xf numFmtId="0" fontId="8" fillId="0" borderId="28" xfId="0" applyFont="1" applyFill="1" applyBorder="1" applyAlignment="1">
      <alignment horizontal="center" vertical="center" wrapText="1"/>
    </xf>
    <xf numFmtId="0" fontId="4" fillId="0" borderId="28" xfId="0" applyFont="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5" xfId="4" applyFont="1" applyFill="1" applyBorder="1" applyAlignment="1">
      <alignment horizontal="center" vertical="center"/>
    </xf>
    <xf numFmtId="0" fontId="8" fillId="0" borderId="26" xfId="4" applyFont="1" applyFill="1" applyBorder="1" applyAlignment="1">
      <alignment horizontal="center" vertical="center"/>
    </xf>
    <xf numFmtId="0" fontId="8" fillId="0" borderId="27" xfId="4" applyFont="1" applyFill="1" applyBorder="1" applyAlignment="1">
      <alignment horizontal="center" vertical="center"/>
    </xf>
    <xf numFmtId="0" fontId="8" fillId="0" borderId="30" xfId="0" applyFont="1" applyFill="1" applyBorder="1" applyAlignment="1">
      <alignment horizontal="center" wrapText="1"/>
    </xf>
    <xf numFmtId="0" fontId="8" fillId="0" borderId="54" xfId="0" applyFont="1" applyFill="1" applyBorder="1" applyAlignment="1">
      <alignment horizontal="center" wrapText="1"/>
    </xf>
    <xf numFmtId="0" fontId="8" fillId="0" borderId="28" xfId="0" applyFont="1" applyFill="1" applyBorder="1" applyAlignment="1">
      <alignment horizontal="center" wrapText="1"/>
    </xf>
    <xf numFmtId="0" fontId="8" fillId="0" borderId="25" xfId="0" applyFont="1" applyFill="1" applyBorder="1" applyAlignment="1">
      <alignment horizontal="left" vertical="center"/>
    </xf>
    <xf numFmtId="0" fontId="8" fillId="0" borderId="26" xfId="0" applyFont="1" applyFill="1" applyBorder="1" applyAlignment="1">
      <alignment horizontal="left" vertical="center"/>
    </xf>
    <xf numFmtId="0" fontId="8" fillId="0" borderId="27" xfId="0" applyFont="1" applyFill="1" applyBorder="1" applyAlignment="1">
      <alignment horizontal="lef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9" fillId="0" borderId="0" xfId="0" applyFont="1" applyAlignment="1">
      <alignment horizontal="left" vertical="center"/>
    </xf>
    <xf numFmtId="0" fontId="4" fillId="0" borderId="11" xfId="0" applyFont="1" applyBorder="1" applyAlignment="1">
      <alignment horizontal="center"/>
    </xf>
    <xf numFmtId="0" fontId="4" fillId="0" borderId="53" xfId="0" applyFont="1" applyBorder="1" applyAlignment="1">
      <alignment horizontal="center"/>
    </xf>
    <xf numFmtId="0" fontId="2" fillId="0" borderId="72" xfId="0" applyFont="1" applyBorder="1" applyAlignment="1">
      <alignment horizontal="center" vertical="center" wrapText="1"/>
    </xf>
    <xf numFmtId="0" fontId="2" fillId="0" borderId="5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68" fontId="0" fillId="7" borderId="28" xfId="0" applyNumberFormat="1" applyFill="1" applyBorder="1"/>
    <xf numFmtId="1" fontId="0" fillId="7" borderId="28" xfId="0" applyNumberFormat="1" applyFill="1" applyBorder="1" applyAlignment="1">
      <alignment horizontal="center"/>
    </xf>
    <xf numFmtId="0" fontId="2" fillId="0" borderId="36" xfId="0" applyFont="1" applyBorder="1"/>
    <xf numFmtId="0" fontId="2" fillId="0" borderId="37" xfId="0" applyFont="1" applyBorder="1"/>
    <xf numFmtId="2" fontId="2" fillId="7" borderId="21" xfId="0" applyNumberFormat="1" applyFont="1" applyFill="1" applyBorder="1"/>
    <xf numFmtId="0" fontId="3" fillId="0" borderId="0" xfId="0" applyFont="1"/>
    <xf numFmtId="2" fontId="0" fillId="0" borderId="0" xfId="0" applyNumberFormat="1"/>
    <xf numFmtId="2" fontId="2" fillId="7" borderId="19" xfId="0" applyNumberFormat="1" applyFont="1" applyFill="1" applyBorder="1"/>
    <xf numFmtId="164" fontId="2" fillId="7" borderId="13" xfId="0" applyNumberFormat="1" applyFont="1" applyFill="1" applyBorder="1" applyAlignment="1">
      <alignment horizontal="center"/>
    </xf>
    <xf numFmtId="164" fontId="2" fillId="7" borderId="14" xfId="0" applyNumberFormat="1" applyFont="1" applyFill="1" applyBorder="1" applyAlignment="1">
      <alignment horizontal="center"/>
    </xf>
    <xf numFmtId="164" fontId="2" fillId="7" borderId="15" xfId="0" applyNumberFormat="1" applyFont="1" applyFill="1" applyBorder="1" applyAlignment="1">
      <alignment horizontal="center"/>
    </xf>
    <xf numFmtId="164" fontId="2" fillId="0" borderId="86" xfId="0" applyNumberFormat="1" applyFont="1" applyBorder="1" applyAlignment="1">
      <alignment horizontal="center"/>
    </xf>
    <xf numFmtId="164" fontId="2" fillId="0" borderId="49" xfId="0" applyNumberFormat="1" applyFont="1" applyBorder="1" applyAlignment="1">
      <alignment horizontal="center"/>
    </xf>
    <xf numFmtId="164" fontId="2" fillId="0" borderId="57" xfId="0" applyNumberFormat="1" applyFont="1" applyBorder="1" applyAlignment="1">
      <alignment horizontal="center"/>
    </xf>
  </cellXfs>
  <cellStyles count="19">
    <cellStyle name="Comma" xfId="15" builtinId="3"/>
    <cellStyle name="Comma 2" xfId="7" xr:uid="{00000000-0005-0000-0000-000001000000}"/>
    <cellStyle name="Comma0" xfId="8" xr:uid="{00000000-0005-0000-0000-000002000000}"/>
    <cellStyle name="Currency" xfId="1" builtinId="4"/>
    <cellStyle name="Currency0" xfId="9" xr:uid="{00000000-0005-0000-0000-000004000000}"/>
    <cellStyle name="Date" xfId="10" xr:uid="{00000000-0005-0000-0000-000005000000}"/>
    <cellStyle name="Fixed" xfId="11" xr:uid="{00000000-0005-0000-0000-000006000000}"/>
    <cellStyle name="Hyperlink" xfId="18" builtinId="8"/>
    <cellStyle name="Normal" xfId="0" builtinId="0"/>
    <cellStyle name="Normal 16" xfId="2" xr:uid="{00000000-0005-0000-0000-000009000000}"/>
    <cellStyle name="Normal 17" xfId="4" xr:uid="{00000000-0005-0000-0000-00000A000000}"/>
    <cellStyle name="Normal 18" xfId="3" xr:uid="{00000000-0005-0000-0000-00000B000000}"/>
    <cellStyle name="Normal 19" xfId="5" xr:uid="{00000000-0005-0000-0000-00000C000000}"/>
    <cellStyle name="Normal 2" xfId="6" xr:uid="{00000000-0005-0000-0000-00000D000000}"/>
    <cellStyle name="Normal 3" xfId="12" xr:uid="{00000000-0005-0000-0000-00000E000000}"/>
    <cellStyle name="Normal 4" xfId="13" xr:uid="{00000000-0005-0000-0000-00000F000000}"/>
    <cellStyle name="Normal 5" xfId="17" xr:uid="{00000000-0005-0000-0000-000010000000}"/>
    <cellStyle name="Percent" xfId="16" builtinId="5"/>
    <cellStyle name="Percent 2" xfId="14"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212912</xdr:colOff>
      <xdr:row>20</xdr:row>
      <xdr:rowOff>112059</xdr:rowOff>
    </xdr:from>
    <xdr:to>
      <xdr:col>16</xdr:col>
      <xdr:colOff>558208</xdr:colOff>
      <xdr:row>27</xdr:row>
      <xdr:rowOff>58482</xdr:rowOff>
    </xdr:to>
    <xdr:pic>
      <xdr:nvPicPr>
        <xdr:cNvPr id="3" name="Picture 2">
          <a:extLst>
            <a:ext uri="{FF2B5EF4-FFF2-40B4-BE49-F238E27FC236}">
              <a16:creationId xmlns:a16="http://schemas.microsoft.com/office/drawing/2014/main" id="{1F168B0A-0640-4B7C-81AF-04E1AD290244}"/>
            </a:ext>
          </a:extLst>
        </xdr:cNvPr>
        <xdr:cNvPicPr>
          <a:picLocks noChangeAspect="1"/>
        </xdr:cNvPicPr>
      </xdr:nvPicPr>
      <xdr:blipFill>
        <a:blip xmlns:r="http://schemas.openxmlformats.org/officeDocument/2006/relationships" r:embed="rId1"/>
        <a:stretch>
          <a:fillRect/>
        </a:stretch>
      </xdr:blipFill>
      <xdr:spPr>
        <a:xfrm>
          <a:off x="6779559" y="4572000"/>
          <a:ext cx="8660061" cy="12687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52917</xdr:colOff>
      <xdr:row>1</xdr:row>
      <xdr:rowOff>90311</xdr:rowOff>
    </xdr:from>
    <xdr:to>
      <xdr:col>36</xdr:col>
      <xdr:colOff>390833</xdr:colOff>
      <xdr:row>29</xdr:row>
      <xdr:rowOff>37167</xdr:rowOff>
    </xdr:to>
    <xdr:pic>
      <xdr:nvPicPr>
        <xdr:cNvPr id="3" name="Picture 2">
          <a:extLst>
            <a:ext uri="{FF2B5EF4-FFF2-40B4-BE49-F238E27FC236}">
              <a16:creationId xmlns:a16="http://schemas.microsoft.com/office/drawing/2014/main" id="{59108285-35A2-4DD0-BC94-86C78CB1FB52}"/>
            </a:ext>
          </a:extLst>
        </xdr:cNvPr>
        <xdr:cNvPicPr>
          <a:picLocks noChangeAspect="1"/>
        </xdr:cNvPicPr>
      </xdr:nvPicPr>
      <xdr:blipFill>
        <a:blip xmlns:r="http://schemas.openxmlformats.org/officeDocument/2006/relationships" r:embed="rId1"/>
        <a:stretch>
          <a:fillRect/>
        </a:stretch>
      </xdr:blipFill>
      <xdr:spPr>
        <a:xfrm>
          <a:off x="27400250" y="301978"/>
          <a:ext cx="4634750" cy="5767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srfconsulting.com/Projects/09000/9228/TS/BCA/2016%20Update/Scott%20County%20BCA%20Workbook%20201604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Projects\09000\9228\TS\BCA\2016%20Update\Scott%20County%20BCA%20Workbook%20201604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projects.srfconsulting.com/build/610/TH610_VMTVHT_201906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projects.srfconsulting.com/Trans/Grant%20Applications/2019%20Grants/BUILD/Maple%20Grove/Resources/Synchro/Delay%20Reduc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projects.srfconsulting.com/build/610/Crash%20Distribut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vs-mpls1\ProjData\Projects\12000\12510\EnviPlan\Air%20Quality\Emission%20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Annualized Operations"/>
      <sheetName val="User Benefits (VHT) - Network"/>
      <sheetName val="User Benefits (VHT) - Nodal"/>
      <sheetName val="Operation Benefits (VMT)"/>
      <sheetName val="Safety Benefits"/>
      <sheetName val="Air Quality"/>
      <sheetName val="RCV Calc"/>
      <sheetName val="Operation and Maintenance"/>
      <sheetName val="RCV Calculat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Annualized Operations"/>
      <sheetName val="User Benefits (VHT) - Network"/>
      <sheetName val="User Benefits (VHT) - Nodal"/>
      <sheetName val="Operation Benefits (VMT)"/>
      <sheetName val="Safety Benefits"/>
      <sheetName val="Air Quality"/>
      <sheetName val="RCV Calc"/>
      <sheetName val="Operation and Maintenance"/>
      <sheetName val="RCV Calculat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5"/>
      <sheetName val="Sheet4"/>
      <sheetName val="Sheet3"/>
    </sheetNames>
    <sheetDataSet>
      <sheetData sheetId="0">
        <row r="12">
          <cell r="G12">
            <v>252337.24</v>
          </cell>
          <cell r="J12">
            <v>252222.31</v>
          </cell>
        </row>
        <row r="26">
          <cell r="G26">
            <v>325154.25</v>
          </cell>
          <cell r="J26">
            <v>324738.5</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1">
          <cell r="I41">
            <v>247.69833333333332</v>
          </cell>
        </row>
        <row r="42">
          <cell r="I42">
            <v>163.92138888888888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ban vs. Rural"/>
      <sheetName val="Crash Rate Calcs - District"/>
      <sheetName val="Weighted District"/>
    </sheetNames>
    <sheetDataSet>
      <sheetData sheetId="0"/>
      <sheetData sheetId="1"/>
      <sheetData sheetId="2">
        <row r="7">
          <cell r="P7">
            <v>6.3905327675915268E-3</v>
          </cell>
          <cell r="Q7">
            <v>6.3326247147099174E-3</v>
          </cell>
        </row>
        <row r="8">
          <cell r="P8">
            <v>2.8407782267138706E-2</v>
          </cell>
          <cell r="Q8">
            <v>2.8063015961979167E-2</v>
          </cell>
        </row>
        <row r="9">
          <cell r="P9">
            <v>0.1666113597172196</v>
          </cell>
          <cell r="Q9">
            <v>0.16517470965282047</v>
          </cell>
        </row>
        <row r="10">
          <cell r="P10">
            <v>0.50233017793276202</v>
          </cell>
          <cell r="Q10">
            <v>0.49800032384148846</v>
          </cell>
        </row>
        <row r="11">
          <cell r="P11">
            <v>2.0466657738527796</v>
          </cell>
          <cell r="Q11">
            <v>2.0255877300920249</v>
          </cell>
        </row>
        <row r="14">
          <cell r="P14">
            <v>6.5170445977499264E-3</v>
          </cell>
          <cell r="Q14">
            <v>6.4631599771931871E-3</v>
          </cell>
        </row>
        <row r="15">
          <cell r="P15">
            <v>2.8995808662779322E-2</v>
          </cell>
          <cell r="Q15">
            <v>2.8692297906016156E-2</v>
          </cell>
        </row>
        <row r="16">
          <cell r="P16">
            <v>0.16916066141589306</v>
          </cell>
          <cell r="Q16">
            <v>0.16791850877427134</v>
          </cell>
        </row>
        <row r="17">
          <cell r="P17">
            <v>0.51008600125064774</v>
          </cell>
          <cell r="Q17">
            <v>0.50635763569068959</v>
          </cell>
        </row>
        <row r="18">
          <cell r="P18">
            <v>2.0818427153270829</v>
          </cell>
          <cell r="Q18">
            <v>2.063812695499684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F20"/>
  <sheetViews>
    <sheetView view="pageBreakPreview" zoomScaleNormal="100" zoomScaleSheetLayoutView="100" workbookViewId="0">
      <selection activeCell="C26" sqref="C26"/>
    </sheetView>
  </sheetViews>
  <sheetFormatPr defaultColWidth="8.85546875" defaultRowHeight="15" x14ac:dyDescent="0.25"/>
  <cols>
    <col min="2" max="2" width="35.140625" customWidth="1"/>
    <col min="3" max="3" width="13.42578125" customWidth="1"/>
  </cols>
  <sheetData>
    <row r="5" spans="1:6" x14ac:dyDescent="0.25">
      <c r="B5" s="26" t="s">
        <v>86</v>
      </c>
      <c r="C5" s="122"/>
      <c r="E5" s="135"/>
    </row>
    <row r="6" spans="1:6" x14ac:dyDescent="0.25">
      <c r="B6" s="123" t="s">
        <v>87</v>
      </c>
      <c r="C6" s="124">
        <v>2020</v>
      </c>
      <c r="E6" s="139"/>
    </row>
    <row r="7" spans="1:6" x14ac:dyDescent="0.25">
      <c r="B7" s="123" t="s">
        <v>110</v>
      </c>
      <c r="C7" s="124">
        <v>2023</v>
      </c>
      <c r="E7" s="136"/>
    </row>
    <row r="8" spans="1:6" x14ac:dyDescent="0.25">
      <c r="B8" s="123" t="s">
        <v>111</v>
      </c>
      <c r="C8" s="124">
        <v>2</v>
      </c>
      <c r="E8" s="139"/>
    </row>
    <row r="9" spans="1:6" x14ac:dyDescent="0.25">
      <c r="B9" s="123" t="s">
        <v>88</v>
      </c>
      <c r="C9" s="124">
        <v>20</v>
      </c>
      <c r="E9" s="136"/>
    </row>
    <row r="10" spans="1:6" x14ac:dyDescent="0.25">
      <c r="B10" s="123" t="s">
        <v>112</v>
      </c>
      <c r="C10" s="124">
        <f>C7+C8</f>
        <v>2025</v>
      </c>
    </row>
    <row r="11" spans="1:6" x14ac:dyDescent="0.25">
      <c r="B11" s="123" t="s">
        <v>89</v>
      </c>
      <c r="C11" s="124">
        <f>C10+C9-1</f>
        <v>2044</v>
      </c>
    </row>
    <row r="12" spans="1:6" x14ac:dyDescent="0.25">
      <c r="B12" s="123" t="s">
        <v>113</v>
      </c>
      <c r="C12" s="124">
        <v>2040</v>
      </c>
    </row>
    <row r="13" spans="1:6" x14ac:dyDescent="0.25">
      <c r="B13" s="123" t="s">
        <v>91</v>
      </c>
      <c r="C13" s="124">
        <v>365</v>
      </c>
    </row>
    <row r="15" spans="1:6" x14ac:dyDescent="0.25">
      <c r="A15" s="209" t="s">
        <v>3</v>
      </c>
      <c r="B15" s="209"/>
      <c r="C15" s="209"/>
      <c r="D15" s="210"/>
      <c r="E15" s="210"/>
      <c r="F15" s="210"/>
    </row>
    <row r="16" spans="1:6" x14ac:dyDescent="0.25">
      <c r="A16" s="211" t="s">
        <v>32</v>
      </c>
      <c r="B16" s="540" t="s">
        <v>304</v>
      </c>
      <c r="C16" s="540"/>
      <c r="D16" s="540"/>
      <c r="E16" s="540"/>
      <c r="F16" s="540"/>
    </row>
    <row r="17" spans="1:6" x14ac:dyDescent="0.25">
      <c r="A17" s="212"/>
      <c r="B17" s="540"/>
      <c r="C17" s="540"/>
      <c r="D17" s="540"/>
      <c r="E17" s="540"/>
      <c r="F17" s="540"/>
    </row>
    <row r="18" spans="1:6" ht="30" customHeight="1" x14ac:dyDescent="0.25">
      <c r="A18" s="212"/>
      <c r="B18" s="540"/>
      <c r="C18" s="540"/>
      <c r="D18" s="540"/>
      <c r="E18" s="540"/>
      <c r="F18" s="540"/>
    </row>
    <row r="19" spans="1:6" x14ac:dyDescent="0.25">
      <c r="A19" s="213"/>
      <c r="B19" s="249"/>
      <c r="C19" s="249"/>
      <c r="D19" s="249"/>
      <c r="E19" s="249"/>
      <c r="F19" s="249"/>
    </row>
    <row r="20" spans="1:6" x14ac:dyDescent="0.25">
      <c r="A20" s="213" t="s">
        <v>31</v>
      </c>
      <c r="B20" s="541" t="s">
        <v>118</v>
      </c>
      <c r="C20" s="541"/>
      <c r="D20" s="541"/>
      <c r="E20" s="541"/>
      <c r="F20" s="541"/>
    </row>
  </sheetData>
  <mergeCells count="2">
    <mergeCell ref="B16:F18"/>
    <mergeCell ref="B20:F2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T78"/>
  <sheetViews>
    <sheetView view="pageBreakPreview" zoomScale="85" zoomScaleNormal="100" zoomScaleSheetLayoutView="85" workbookViewId="0">
      <selection activeCell="M21" sqref="M21"/>
    </sheetView>
  </sheetViews>
  <sheetFormatPr defaultColWidth="8.85546875" defaultRowHeight="15" x14ac:dyDescent="0.25"/>
  <cols>
    <col min="1" max="1" width="3.42578125" customWidth="1"/>
    <col min="2" max="5" width="15.42578125" customWidth="1"/>
    <col min="6" max="6" width="15.42578125" style="68" customWidth="1"/>
    <col min="7" max="7" width="15.42578125" style="87" customWidth="1"/>
    <col min="8" max="8" width="15.42578125" style="433" customWidth="1"/>
    <col min="9" max="9" width="15.42578125" customWidth="1"/>
    <col min="10" max="10" width="15.42578125" style="87" customWidth="1"/>
    <col min="11" max="12" width="15.42578125" customWidth="1"/>
    <col min="13" max="13" width="20.7109375" style="87" customWidth="1"/>
    <col min="14" max="14" width="20.7109375" customWidth="1"/>
    <col min="15" max="15" width="41.85546875" customWidth="1"/>
    <col min="16" max="16" width="20.7109375" hidden="1" customWidth="1"/>
    <col min="17" max="22" width="20.7109375" customWidth="1"/>
    <col min="23" max="24" width="15.7109375" customWidth="1"/>
  </cols>
  <sheetData>
    <row r="1" spans="1:17" ht="23.25" x14ac:dyDescent="0.35">
      <c r="A1" s="19"/>
      <c r="B1" s="40" t="s">
        <v>191</v>
      </c>
      <c r="C1" s="40"/>
      <c r="D1" s="40"/>
    </row>
    <row r="2" spans="1:17" x14ac:dyDescent="0.25">
      <c r="Q2" s="10"/>
    </row>
    <row r="3" spans="1:17" ht="16.5" thickBot="1" x14ac:dyDescent="0.3">
      <c r="B3" s="56" t="s">
        <v>19</v>
      </c>
      <c r="C3" s="56"/>
      <c r="D3" s="56"/>
    </row>
    <row r="4" spans="1:17" s="70" customFormat="1" ht="24.75" customHeight="1" thickBot="1" x14ac:dyDescent="0.3">
      <c r="B4" s="71"/>
      <c r="C4" s="548" t="s">
        <v>55</v>
      </c>
      <c r="D4" s="549"/>
      <c r="E4" s="98" t="s">
        <v>56</v>
      </c>
      <c r="F4" s="557" t="s">
        <v>57</v>
      </c>
      <c r="G4" s="558"/>
      <c r="H4" s="528" t="s">
        <v>259</v>
      </c>
      <c r="I4" s="552" t="s">
        <v>80</v>
      </c>
      <c r="J4" s="553"/>
    </row>
    <row r="5" spans="1:17" ht="35.1" customHeight="1" x14ac:dyDescent="0.25">
      <c r="B5" s="562" t="s">
        <v>0</v>
      </c>
      <c r="C5" s="564" t="s">
        <v>74</v>
      </c>
      <c r="D5" s="544" t="s">
        <v>75</v>
      </c>
      <c r="E5" s="559" t="s">
        <v>49</v>
      </c>
      <c r="F5" s="564" t="s">
        <v>181</v>
      </c>
      <c r="G5" s="555" t="s">
        <v>182</v>
      </c>
      <c r="H5" s="559" t="s">
        <v>260</v>
      </c>
      <c r="I5" s="546" t="s">
        <v>100</v>
      </c>
      <c r="J5" s="544" t="s">
        <v>81</v>
      </c>
      <c r="K5" s="542" t="s">
        <v>95</v>
      </c>
      <c r="L5" s="544" t="s">
        <v>1</v>
      </c>
      <c r="M5"/>
    </row>
    <row r="6" spans="1:17" ht="35.1" customHeight="1" thickBot="1" x14ac:dyDescent="0.3">
      <c r="B6" s="566"/>
      <c r="C6" s="567"/>
      <c r="D6" s="554"/>
      <c r="E6" s="560"/>
      <c r="F6" s="565"/>
      <c r="G6" s="556"/>
      <c r="H6" s="560"/>
      <c r="I6" s="547"/>
      <c r="J6" s="554"/>
      <c r="K6" s="543"/>
      <c r="L6" s="545"/>
      <c r="M6"/>
      <c r="N6" s="83"/>
      <c r="O6" s="84"/>
    </row>
    <row r="7" spans="1:17" ht="15" customHeight="1" x14ac:dyDescent="0.25">
      <c r="B7" s="113">
        <f>Assumptions!C7</f>
        <v>2023</v>
      </c>
      <c r="C7" s="218">
        <f>IFERROR(VLOOKUP($B7,'Travel Time Cost Savings'!$B$7:$G$58,'Travel Time Cost Savings'!$F$1,FALSE),0)</f>
        <v>0</v>
      </c>
      <c r="D7" s="219">
        <f>IFERROR(VLOOKUP($B7,'Operating Cost Savings'!$B$7:$G$53,'Operating Cost Savings'!$F$1,FALSE),0)</f>
        <v>0</v>
      </c>
      <c r="E7" s="335">
        <f>IFERROR(VLOOKUP($B7,'Safety Benefits'!$B$6:$E$81,'Safety Benefits'!#REF!,FALSE),0)</f>
        <v>0</v>
      </c>
      <c r="F7" s="218">
        <f>IFERROR(VLOOKUP($B7,'Air Quality'!$B$7:$O$36,'Air Quality'!$L$1,FALSE),0)</f>
        <v>0</v>
      </c>
      <c r="G7" s="323">
        <f>IFERROR(VLOOKUP($B7,'Air Quality'!$B$7:$V$53,'Air Quality'!$E$1,FALSE),0)</f>
        <v>0</v>
      </c>
      <c r="H7" s="529">
        <v>0</v>
      </c>
      <c r="I7" s="330">
        <f>IFERROR(VLOOKUP($B7,'Capital Costs'!$B$9:$K$97,'Capital Costs'!E$1,FALSE),0)</f>
        <v>0</v>
      </c>
      <c r="J7" s="281"/>
      <c r="K7" s="220">
        <f t="shared" ref="K7:K9" si="0">SUM(C7:F7,I7:J7)</f>
        <v>0</v>
      </c>
      <c r="L7" s="221">
        <f>K7*(1+0.07)^-(B7-Assumptions!$C$6)+G7</f>
        <v>0</v>
      </c>
      <c r="M7"/>
    </row>
    <row r="8" spans="1:17" ht="15" customHeight="1" x14ac:dyDescent="0.25">
      <c r="B8" s="285">
        <f>B7+1</f>
        <v>2024</v>
      </c>
      <c r="C8" s="286">
        <f>IFERROR(VLOOKUP($B8,'Travel Time Cost Savings'!$B$7:$G$58,'Travel Time Cost Savings'!$F$1,FALSE),0)</f>
        <v>0</v>
      </c>
      <c r="D8" s="287">
        <f>IFERROR(VLOOKUP($B8,'Operating Cost Savings'!$B$7:$G$53,'Operating Cost Savings'!$F$1,FALSE),0)</f>
        <v>0</v>
      </c>
      <c r="E8" s="336">
        <f>IFERROR(VLOOKUP($B8,'Safety Benefits'!$B$6:$E$81,'Safety Benefits'!#REF!,FALSE),0)</f>
        <v>0</v>
      </c>
      <c r="F8" s="178">
        <f>IFERROR(VLOOKUP($B8,'Air Quality'!$B$7:$O$36,'Air Quality'!$L$1,FALSE),0)</f>
        <v>0</v>
      </c>
      <c r="G8" s="313">
        <f>IFERROR(VLOOKUP($B8,'Air Quality'!$B$7:$V$53,'Air Quality'!$E$1,FALSE),0)</f>
        <v>0</v>
      </c>
      <c r="H8" s="530">
        <v>0</v>
      </c>
      <c r="I8" s="331">
        <f>IFERROR(VLOOKUP($B8,'Capital Costs'!$B$9:$K$97,'Capital Costs'!E$1,FALSE),0)</f>
        <v>0</v>
      </c>
      <c r="J8" s="289"/>
      <c r="K8" s="288">
        <f t="shared" si="0"/>
        <v>0</v>
      </c>
      <c r="L8" s="181">
        <f>K8*(1+0.07)^-(B8-Assumptions!$C$6)+G8</f>
        <v>0</v>
      </c>
      <c r="M8" s="9"/>
    </row>
    <row r="9" spans="1:17" ht="15" customHeight="1" thickBot="1" x14ac:dyDescent="0.3">
      <c r="B9" s="161">
        <f>B8+1</f>
        <v>2025</v>
      </c>
      <c r="C9" s="182">
        <f>IFERROR(VLOOKUP($B9,'Travel Time Cost Savings'!$B$7:$I$26,'Travel Time Cost Savings'!$H$1,FALSE),0)</f>
        <v>6442041.0248180358</v>
      </c>
      <c r="D9" s="183">
        <f>IFERROR(VLOOKUP($B9,'Operating Cost Savings'!$B$7:$G$53,'Operating Cost Savings'!$F$1,FALSE),0)</f>
        <v>-693102.17025659466</v>
      </c>
      <c r="E9" s="337">
        <f>IFERROR(VLOOKUP($B9,'Safety Benefits'!$B$6:$D$25,'Safety Benefits'!C$1,FALSE),0)</f>
        <v>5759145.8285078034</v>
      </c>
      <c r="F9" s="182">
        <f>IFERROR(VLOOKUP($B9,'Air Quality'!$B$7:$O$36,'Air Quality'!$L$1,FALSE),0)</f>
        <v>844.16943247626784</v>
      </c>
      <c r="G9" s="314">
        <f>IFERROR(VLOOKUP($B9,'Air Quality'!$B$7:$V$53,'Air Quality'!$E$1,FALSE),0)</f>
        <v>-523.62595995727463</v>
      </c>
      <c r="H9" s="531">
        <f>'Quality of Life Benefits '!L7</f>
        <v>64203.547121933923</v>
      </c>
      <c r="I9" s="332">
        <f>IFERROR(VLOOKUP($B9,'Capital Costs'!$B$9:$K$97,'Capital Costs'!E$1,FALSE),0)</f>
        <v>0</v>
      </c>
      <c r="J9" s="282">
        <f>IFERROR(VLOOKUP($B9,Maintenance!$B$5:$D$24,2,FALSE),0)</f>
        <v>-90393.55</v>
      </c>
      <c r="K9" s="184">
        <f>SUM(C9:F9,I9:J9)</f>
        <v>11418535.302501719</v>
      </c>
      <c r="L9" s="185">
        <f>K9*(1+0.07)^-(B9-Assumptions!$C$6)+G9</f>
        <v>8140734.234670138</v>
      </c>
      <c r="M9"/>
    </row>
    <row r="10" spans="1:17" ht="15" customHeight="1" thickBot="1" x14ac:dyDescent="0.3">
      <c r="B10" s="222">
        <f t="shared" ref="B10:B29" si="1">B9+1</f>
        <v>2026</v>
      </c>
      <c r="C10" s="327">
        <f>IFERROR(VLOOKUP($B10,'Travel Time Cost Savings'!$B$7:$I$26,'Travel Time Cost Savings'!$H$1,FALSE),0)</f>
        <v>6568099.0673215054</v>
      </c>
      <c r="D10" s="328">
        <f>IFERROR(VLOOKUP($B10,'Operating Cost Savings'!$B$7:$G$53,'Operating Cost Savings'!$F$1,FALSE),0)</f>
        <v>-673742.72078550514</v>
      </c>
      <c r="E10" s="338">
        <f>IFERROR(VLOOKUP($B10,'Safety Benefits'!$B$6:$D$25,'Safety Benefits'!C$1,FALSE),0)</f>
        <v>5786588.9242934734</v>
      </c>
      <c r="F10" s="327">
        <f>IFERROR(VLOOKUP($B10,'Air Quality'!$B$7:$O$36,'Air Quality'!$L$1,FALSE),0)</f>
        <v>819.61234879832409</v>
      </c>
      <c r="G10" s="469">
        <f>IFERROR(VLOOKUP($B10,'Air Quality'!$B$7:$V$53,'Air Quality'!$E$1,FALSE),0)</f>
        <v>-459.07813384284384</v>
      </c>
      <c r="H10" s="529">
        <f>'Quality of Life Benefits '!L8</f>
        <v>65062.330854669075</v>
      </c>
      <c r="I10" s="333">
        <f>IFERROR(VLOOKUP($B10,'Capital Costs'!$B$9:$K$97,'Capital Costs'!E$1,FALSE),0)</f>
        <v>0</v>
      </c>
      <c r="J10" s="282">
        <f>IFERROR(VLOOKUP($B10,Maintenance!$B$5:$D$24,2,FALSE),0)</f>
        <v>-90393.55</v>
      </c>
      <c r="K10" s="329">
        <f>SUM(C10:F10,I10:J10)</f>
        <v>11591371.333178271</v>
      </c>
      <c r="L10" s="326">
        <f>K10*(1+0.07)^-(B10-Assumptions!$C$6)+G10</f>
        <v>7723361.0730991391</v>
      </c>
      <c r="M10"/>
    </row>
    <row r="11" spans="1:17" ht="15" customHeight="1" thickBot="1" x14ac:dyDescent="0.3">
      <c r="B11" s="97">
        <f t="shared" si="1"/>
        <v>2027</v>
      </c>
      <c r="C11" s="178">
        <f>IFERROR(VLOOKUP($B11,'Travel Time Cost Savings'!$B$7:$I$26,'Travel Time Cost Savings'!$H$1,FALSE),0)</f>
        <v>6694157.109824975</v>
      </c>
      <c r="D11" s="179">
        <f>IFERROR(VLOOKUP($B11,'Operating Cost Savings'!$B$7:$G$53,'Operating Cost Savings'!$F$1,FALSE),0)</f>
        <v>-654383.27131787816</v>
      </c>
      <c r="E11" s="339">
        <f>IFERROR(VLOOKUP($B11,'Safety Benefits'!$B$6:$D$25,'Safety Benefits'!C$1,FALSE),0)</f>
        <v>5814032.0200791359</v>
      </c>
      <c r="F11" s="178">
        <f>IFERROR(VLOOKUP($B11,'Air Quality'!$B$7:$O$36,'Air Quality'!$L$1,FALSE),0)</f>
        <v>793.9030466820094</v>
      </c>
      <c r="G11" s="313">
        <f>IFERROR(VLOOKUP($B11,'Air Quality'!$B$7:$V$53,'Air Quality'!$E$1,FALSE),0)</f>
        <v>-395.85758644604033</v>
      </c>
      <c r="H11" s="530">
        <f>'Quality of Life Benefits '!L9</f>
        <v>65932.601639641522</v>
      </c>
      <c r="I11" s="334">
        <f>IFERROR(VLOOKUP($B11,'Capital Costs'!$B$9:$K$97,'Capital Costs'!E$1,FALSE),0)</f>
        <v>0</v>
      </c>
      <c r="J11" s="282">
        <f>IFERROR(VLOOKUP($B11,Maintenance!$B$5:$D$24,2,FALSE),0)</f>
        <v>-90393.55</v>
      </c>
      <c r="K11" s="180">
        <f t="shared" ref="K11:K29" si="2">SUM(C11:F11,I11:J11)</f>
        <v>11764206.211632915</v>
      </c>
      <c r="L11" s="181">
        <f>K11*(1+0.07)^-(B11-Assumptions!$C$6)+G11</f>
        <v>7325760.5241850549</v>
      </c>
      <c r="M11"/>
    </row>
    <row r="12" spans="1:17" ht="15" customHeight="1" thickBot="1" x14ac:dyDescent="0.3">
      <c r="B12" s="97">
        <f t="shared" si="1"/>
        <v>2028</v>
      </c>
      <c r="C12" s="178">
        <f>IFERROR(VLOOKUP($B12,'Travel Time Cost Savings'!$B$7:$I$26,'Travel Time Cost Savings'!$H$1,FALSE),0)</f>
        <v>6820215.1523284446</v>
      </c>
      <c r="D12" s="179">
        <f>IFERROR(VLOOKUP($B12,'Operating Cost Savings'!$B$7:$G$53,'Operating Cost Savings'!$F$1,FALSE),0)</f>
        <v>-635023.82184995001</v>
      </c>
      <c r="E12" s="339">
        <f>IFERROR(VLOOKUP($B12,'Safety Benefits'!$B$6:$D$25,'Safety Benefits'!C$1,FALSE),0)</f>
        <v>5841475.1158647984</v>
      </c>
      <c r="F12" s="178">
        <f>IFERROR(VLOOKUP($B12,'Air Quality'!$B$7:$O$36,'Air Quality'!$L$1,FALSE),0)</f>
        <v>767.15449378899461</v>
      </c>
      <c r="G12" s="313">
        <f>IFERROR(VLOOKUP($B12,'Air Quality'!$B$7:$V$53,'Air Quality'!$E$1,FALSE),0)</f>
        <v>-339.66069007141039</v>
      </c>
      <c r="H12" s="530">
        <f>'Quality of Life Benefits '!L10</f>
        <v>66814.513127140744</v>
      </c>
      <c r="I12" s="334">
        <f>IFERROR(VLOOKUP($B12,'Capital Costs'!$B$9:$K$97,'Capital Costs'!E$1,FALSE),0)</f>
        <v>0</v>
      </c>
      <c r="J12" s="282">
        <f>IFERROR(VLOOKUP($B12,Maintenance!$B$5:$D$24,2,FALSE),0)</f>
        <v>-90393.55</v>
      </c>
      <c r="K12" s="180">
        <f t="shared" si="2"/>
        <v>11937040.050837081</v>
      </c>
      <c r="L12" s="181">
        <f>K12*(1+0.07)^-(B12-Assumptions!$C$6)+G12</f>
        <v>6947126.3304546187</v>
      </c>
      <c r="M12"/>
    </row>
    <row r="13" spans="1:17" ht="15" customHeight="1" thickBot="1" x14ac:dyDescent="0.3">
      <c r="B13" s="97">
        <f t="shared" si="1"/>
        <v>2029</v>
      </c>
      <c r="C13" s="178">
        <f>IFERROR(VLOOKUP($B13,'Travel Time Cost Savings'!$B$7:$I$26,'Travel Time Cost Savings'!$H$1,FALSE),0)</f>
        <v>6946273.1948212385</v>
      </c>
      <c r="D13" s="179">
        <f>IFERROR(VLOOKUP($B13,'Operating Cost Savings'!$B$7:$G$53,'Operating Cost Savings'!$F$1,FALSE),0)</f>
        <v>-615664.37238262407</v>
      </c>
      <c r="E13" s="339">
        <f>IFERROR(VLOOKUP($B13,'Safety Benefits'!$B$6:$D$25,'Safety Benefits'!C$1,FALSE),0)</f>
        <v>5868918.211650461</v>
      </c>
      <c r="F13" s="178">
        <f>IFERROR(VLOOKUP($B13,'Air Quality'!$B$7:$O$36,'Air Quality'!$L$1,FALSE),0)</f>
        <v>739.26371918805444</v>
      </c>
      <c r="G13" s="313">
        <f>IFERROR(VLOOKUP($B13,'Air Quality'!$B$7:$V$53,'Air Quality'!$E$1,FALSE),0)</f>
        <v>-278.09381316369257</v>
      </c>
      <c r="H13" s="530">
        <f>'Quality of Life Benefits '!L11</f>
        <v>67708.221022675454</v>
      </c>
      <c r="I13" s="334">
        <f>IFERROR(VLOOKUP($B13,'Capital Costs'!$B$9:$K$97,'Capital Costs'!E$1,FALSE),0)</f>
        <v>0</v>
      </c>
      <c r="J13" s="282">
        <f>IFERROR(VLOOKUP($B13,Maintenance!$B$5:$D$24,2,FALSE),0)</f>
        <v>-90393.55</v>
      </c>
      <c r="K13" s="180">
        <f t="shared" si="2"/>
        <v>12109872.747808263</v>
      </c>
      <c r="L13" s="181">
        <f>K13*(1+0.07)^-(B13-Assumptions!$C$6)+G13</f>
        <v>6586690.3121199664</v>
      </c>
      <c r="M13"/>
    </row>
    <row r="14" spans="1:17" ht="15" customHeight="1" thickBot="1" x14ac:dyDescent="0.3">
      <c r="B14" s="97">
        <f t="shared" si="1"/>
        <v>2030</v>
      </c>
      <c r="C14" s="178">
        <f>IFERROR(VLOOKUP($B14,'Travel Time Cost Savings'!$B$7:$I$26,'Travel Time Cost Savings'!$H$1,FALSE),0)</f>
        <v>7072331.237324263</v>
      </c>
      <c r="D14" s="179">
        <f>IFERROR(VLOOKUP($B14,'Operating Cost Savings'!$B$7:$G$53,'Operating Cost Savings'!$F$1,FALSE),0)</f>
        <v>-596304.92291469593</v>
      </c>
      <c r="E14" s="339">
        <f>IFERROR(VLOOKUP($B14,'Safety Benefits'!$B$6:$D$25,'Safety Benefits'!C$1,FALSE),0)</f>
        <v>5896361.3074361235</v>
      </c>
      <c r="F14" s="178">
        <f>IFERROR(VLOOKUP($B14,'Air Quality'!$B$7:$O$36,'Air Quality'!$L$1,FALSE),0)</f>
        <v>711.54873599542464</v>
      </c>
      <c r="G14" s="313">
        <f>IFERROR(VLOOKUP($B14,'Air Quality'!$B$7:$V$53,'Air Quality'!$E$1,FALSE),0)</f>
        <v>-218.00537928306426</v>
      </c>
      <c r="H14" s="530">
        <f>'Quality of Life Benefits '!L12</f>
        <v>68613.883114464232</v>
      </c>
      <c r="I14" s="334">
        <f>IFERROR(VLOOKUP($B14,'Capital Costs'!$B$9:$K$97,'Capital Costs'!E$1,FALSE),0)</f>
        <v>0</v>
      </c>
      <c r="J14" s="282">
        <f>IFERROR(VLOOKUP($B14,Maintenance!$B$5:$D$24,2,FALSE),0)</f>
        <v>-90393.55</v>
      </c>
      <c r="K14" s="180">
        <f t="shared" si="2"/>
        <v>12282705.620581685</v>
      </c>
      <c r="L14" s="181">
        <f>K14*(1+0.07)^-(B14-Assumptions!$C$6)+G14</f>
        <v>6243686.7023425363</v>
      </c>
      <c r="M14"/>
    </row>
    <row r="15" spans="1:17" ht="15" customHeight="1" thickBot="1" x14ac:dyDescent="0.3">
      <c r="B15" s="97">
        <f t="shared" si="1"/>
        <v>2031</v>
      </c>
      <c r="C15" s="178">
        <f>IFERROR(VLOOKUP($B15,'Travel Time Cost Savings'!$B$7:$I$26,'Travel Time Cost Savings'!$H$1,FALSE),0)</f>
        <v>7198389.279817502</v>
      </c>
      <c r="D15" s="179">
        <f>IFERROR(VLOOKUP($B15,'Operating Cost Savings'!$B$7:$G$53,'Operating Cost Savings'!$F$1,FALSE),0)</f>
        <v>-576945.47344375693</v>
      </c>
      <c r="E15" s="339">
        <f>IFERROR(VLOOKUP($B15,'Safety Benefits'!$B$6:$D$25,'Safety Benefits'!C$1,FALSE),0)</f>
        <v>5923804.403221786</v>
      </c>
      <c r="F15" s="178">
        <f>IFERROR(VLOOKUP($B15,'Air Quality'!$B$7:$O$36,'Air Quality'!$L$1,FALSE),0)</f>
        <v>670.46744529470686</v>
      </c>
      <c r="G15" s="313">
        <f>IFERROR(VLOOKUP($B15,'Air Quality'!$B$7:$V$53,'Air Quality'!$E$1,FALSE),0)</f>
        <v>-159.41449972391007</v>
      </c>
      <c r="H15" s="530">
        <f>'Quality of Life Benefits '!L13</f>
        <v>69531.659301293679</v>
      </c>
      <c r="I15" s="334">
        <f>IFERROR(VLOOKUP($B15,'Capital Costs'!$B$9:$K$97,'Capital Costs'!E$1,FALSE),0)</f>
        <v>0</v>
      </c>
      <c r="J15" s="282">
        <f>IFERROR(VLOOKUP($B15,Maintenance!$B$5:$D$24,2,FALSE),0)</f>
        <v>-90393.55</v>
      </c>
      <c r="K15" s="180">
        <f t="shared" si="2"/>
        <v>12455525.127040826</v>
      </c>
      <c r="L15" s="181">
        <f>K15*(1+0.07)^-(B15-Assumptions!$C$6)+G15</f>
        <v>5917370.848581952</v>
      </c>
      <c r="M15"/>
    </row>
    <row r="16" spans="1:17" ht="15" customHeight="1" thickBot="1" x14ac:dyDescent="0.3">
      <c r="B16" s="97">
        <f t="shared" si="1"/>
        <v>2032</v>
      </c>
      <c r="C16" s="178">
        <f>IFERROR(VLOOKUP($B16,'Travel Time Cost Savings'!$B$7:$I$26,'Travel Time Cost Savings'!$H$1,FALSE),0)</f>
        <v>7324447.3223205274</v>
      </c>
      <c r="D16" s="179">
        <f>IFERROR(VLOOKUP($B16,'Operating Cost Savings'!$B$7:$G$53,'Operating Cost Savings'!$F$1,FALSE),0)</f>
        <v>-557586.0239758289</v>
      </c>
      <c r="E16" s="339">
        <f>IFERROR(VLOOKUP($B16,'Safety Benefits'!$B$6:$D$25,'Safety Benefits'!C$1,FALSE),0)</f>
        <v>5951247.499007456</v>
      </c>
      <c r="F16" s="178">
        <f>IFERROR(VLOOKUP($B16,'Air Quality'!$B$7:$O$36,'Air Quality'!$L$1,FALSE),0)</f>
        <v>629.38615457748369</v>
      </c>
      <c r="G16" s="313">
        <f>IFERROR(VLOOKUP($B16,'Air Quality'!$B$7:$V$53,'Air Quality'!$E$1,FALSE),0)</f>
        <v>-102.33637446134563</v>
      </c>
      <c r="H16" s="530">
        <f>'Quality of Life Benefits '!L14</f>
        <v>70461.711620749295</v>
      </c>
      <c r="I16" s="334">
        <f>IFERROR(VLOOKUP($B16,'Capital Costs'!$B$9:$K$97,'Capital Costs'!E$1,FALSE),0)</f>
        <v>0</v>
      </c>
      <c r="J16" s="282">
        <f>IFERROR(VLOOKUP($B16,Maintenance!$B$5:$D$24,2,FALSE),0)</f>
        <v>-90393.55</v>
      </c>
      <c r="K16" s="180">
        <f t="shared" si="2"/>
        <v>12628344.63350673</v>
      </c>
      <c r="L16" s="181">
        <f>K16*(1+0.07)^-(B16-Assumptions!$C$6)+G16</f>
        <v>5607033.7063160865</v>
      </c>
      <c r="M16"/>
    </row>
    <row r="17" spans="2:17" ht="15" customHeight="1" thickBot="1" x14ac:dyDescent="0.3">
      <c r="B17" s="97">
        <f t="shared" si="1"/>
        <v>2033</v>
      </c>
      <c r="C17" s="178">
        <f>IFERROR(VLOOKUP($B17,'Travel Time Cost Savings'!$B$7:$I$26,'Travel Time Cost Savings'!$H$1,FALSE),0)</f>
        <v>7450505.364823997</v>
      </c>
      <c r="D17" s="179">
        <f>IFERROR(VLOOKUP($B17,'Operating Cost Savings'!$B$7:$G$53,'Operating Cost Savings'!$F$1,FALSE),0)</f>
        <v>-538226.5745048899</v>
      </c>
      <c r="E17" s="339">
        <f>IFERROR(VLOOKUP($B17,'Safety Benefits'!$B$6:$D$25,'Safety Benefits'!C$1,FALSE),0)</f>
        <v>5978690.5947931185</v>
      </c>
      <c r="F17" s="178">
        <f>IFERROR(VLOOKUP($B17,'Air Quality'!$B$7:$O$36,'Air Quality'!$L$1,FALSE),0)</f>
        <v>588.3048639014246</v>
      </c>
      <c r="G17" s="313">
        <f>IFERROR(VLOOKUP($B17,'Air Quality'!$B$7:$V$53,'Air Quality'!$E$1,FALSE),0)</f>
        <v>-46.782548727454866</v>
      </c>
      <c r="H17" s="530">
        <f>'Quality of Life Benefits '!L15</f>
        <v>71404.204277824043</v>
      </c>
      <c r="I17" s="334">
        <f>IFERROR(VLOOKUP($B17,'Capital Costs'!$B$9:$K$97,'Capital Costs'!E$1,FALSE),0)</f>
        <v>0</v>
      </c>
      <c r="J17" s="282">
        <f>IFERROR(VLOOKUP($B17,Maintenance!$B$5:$D$24,2,FALSE),0)</f>
        <v>-90393.55</v>
      </c>
      <c r="K17" s="180">
        <f t="shared" si="2"/>
        <v>12801164.139976127</v>
      </c>
      <c r="L17" s="181">
        <f>K17*(1+0.07)^-(B17-Assumptions!$C$6)+G17</f>
        <v>5311981.2271270119</v>
      </c>
      <c r="M17"/>
    </row>
    <row r="18" spans="2:17" ht="15" customHeight="1" thickBot="1" x14ac:dyDescent="0.3">
      <c r="B18" s="97">
        <f t="shared" si="1"/>
        <v>2034</v>
      </c>
      <c r="C18" s="178">
        <f>IFERROR(VLOOKUP($B18,'Travel Time Cost Savings'!$B$7:$I$26,'Travel Time Cost Savings'!$H$1,FALSE),0)</f>
        <v>7576563.4073172361</v>
      </c>
      <c r="D18" s="179">
        <f>IFERROR(VLOOKUP($B18,'Operating Cost Savings'!$B$7:$G$53,'Operating Cost Savings'!$F$1,FALSE),0)</f>
        <v>-518867.12503696175</v>
      </c>
      <c r="E18" s="339">
        <f>IFERROR(VLOOKUP($B18,'Safety Benefits'!$B$6:$D$25,'Safety Benefits'!C$1,FALSE),0)</f>
        <v>6006133.6905787811</v>
      </c>
      <c r="F18" s="178">
        <f>IFERROR(VLOOKUP($B18,'Air Quality'!$B$7:$O$36,'Air Quality'!$L$1,FALSE),0)</f>
        <v>547.22357320075037</v>
      </c>
      <c r="G18" s="313">
        <f>IFERROR(VLOOKUP($B18,'Air Quality'!$B$7:$V$53,'Air Quality'!$E$1,FALSE),0)</f>
        <v>7.238843303981298</v>
      </c>
      <c r="H18" s="530">
        <f>'Quality of Life Benefits '!L16</f>
        <v>72359.303673909337</v>
      </c>
      <c r="I18" s="334">
        <f>IFERROR(VLOOKUP($B18,'Capital Costs'!$B$9:$K$97,'Capital Costs'!E$1,FALSE),0)</f>
        <v>0</v>
      </c>
      <c r="J18" s="282">
        <f>IFERROR(VLOOKUP($B18,Maintenance!$B$5:$D$24,2,FALSE),0)</f>
        <v>-90393.55</v>
      </c>
      <c r="K18" s="180">
        <f t="shared" si="2"/>
        <v>12973983.646432254</v>
      </c>
      <c r="L18" s="181">
        <f>K18*(1+0.07)^-(B18-Assumptions!$C$6)+G18</f>
        <v>5031541.7816065531</v>
      </c>
      <c r="M18"/>
    </row>
    <row r="19" spans="2:17" ht="15" customHeight="1" thickBot="1" x14ac:dyDescent="0.3">
      <c r="B19" s="97">
        <f t="shared" si="1"/>
        <v>2035</v>
      </c>
      <c r="C19" s="178">
        <f>IFERROR(VLOOKUP($B19,'Travel Time Cost Savings'!$B$7:$I$26,'Travel Time Cost Savings'!$H$1,FALSE),0)</f>
        <v>7702621.4498207048</v>
      </c>
      <c r="D19" s="179">
        <f>IFERROR(VLOOKUP($B19,'Operating Cost Savings'!$B$7:$G$53,'Operating Cost Savings'!$F$1,FALSE),0)</f>
        <v>-499507.67556602275</v>
      </c>
      <c r="E19" s="339">
        <f>IFERROR(VLOOKUP($B19,'Safety Benefits'!$B$6:$D$25,'Safety Benefits'!C$1,FALSE),0)</f>
        <v>6033576.7863644436</v>
      </c>
      <c r="F19" s="178">
        <f>IFERROR(VLOOKUP($B19,'Air Quality'!$B$7:$O$36,'Air Quality'!$L$1,FALSE),0)</f>
        <v>506.14228250822941</v>
      </c>
      <c r="G19" s="313">
        <f>IFERROR(VLOOKUP($B19,'Air Quality'!$B$7:$V$53,'Air Quality'!$E$1,FALSE),0)</f>
        <v>59.722847219757739</v>
      </c>
      <c r="H19" s="530">
        <f>'Quality of Life Benefits '!L17</f>
        <v>73327.178436174072</v>
      </c>
      <c r="I19" s="334">
        <f>IFERROR(VLOOKUP($B19,'Capital Costs'!$B$9:$K$97,'Capital Costs'!E$1,FALSE),0)</f>
        <v>0</v>
      </c>
      <c r="J19" s="282">
        <f>IFERROR(VLOOKUP($B19,Maintenance!$B$5:$D$24,2,FALSE),0)</f>
        <v>-90393.55</v>
      </c>
      <c r="K19" s="180">
        <f t="shared" si="2"/>
        <v>13146803.152901633</v>
      </c>
      <c r="L19" s="181">
        <f>K19*(1+0.07)^-(B19-Assumptions!$C$6)+G19</f>
        <v>4765066.1966380412</v>
      </c>
      <c r="M19"/>
    </row>
    <row r="20" spans="2:17" ht="15" customHeight="1" thickBot="1" x14ac:dyDescent="0.3">
      <c r="B20" s="97">
        <f t="shared" si="1"/>
        <v>2036</v>
      </c>
      <c r="C20" s="178">
        <f>IFERROR(VLOOKUP($B20,'Travel Time Cost Savings'!$B$7:$I$26,'Travel Time Cost Savings'!$H$1,FALSE),0)</f>
        <v>7828679.4923134996</v>
      </c>
      <c r="D20" s="179">
        <f>IFERROR(VLOOKUP($B20,'Operating Cost Savings'!$B$7:$G$53,'Operating Cost Savings'!$F$1,FALSE),0)</f>
        <v>-480148.2260980946</v>
      </c>
      <c r="E20" s="339">
        <f>IFERROR(VLOOKUP($B20,'Safety Benefits'!$B$6:$D$25,'Safety Benefits'!C$1,FALSE),0)</f>
        <v>6061019.8821501061</v>
      </c>
      <c r="F20" s="178">
        <f>IFERROR(VLOOKUP($B20,'Air Quality'!$B$7:$O$36,'Air Quality'!$L$1,FALSE),0)</f>
        <v>465.06099176634751</v>
      </c>
      <c r="G20" s="313">
        <f>IFERROR(VLOOKUP($B20,'Air Quality'!$B$7:$V$53,'Air Quality'!$E$1,FALSE),0)</f>
        <v>112.29493171190164</v>
      </c>
      <c r="H20" s="530">
        <f>'Quality of Life Benefits '!L18</f>
        <v>74307.99944733658</v>
      </c>
      <c r="I20" s="334">
        <f>IFERROR(VLOOKUP($B20,'Capital Costs'!$B$9:$K$97,'Capital Costs'!E$1,FALSE),0)</f>
        <v>0</v>
      </c>
      <c r="J20" s="282">
        <f>IFERROR(VLOOKUP($B20,Maintenance!$B$5:$D$24,2,FALSE),0)</f>
        <v>-90393.55</v>
      </c>
      <c r="K20" s="180">
        <f t="shared" si="2"/>
        <v>13319622.659357276</v>
      </c>
      <c r="L20" s="181">
        <f>K20*(1+0.07)^-(B20-Assumptions!$C$6)+G20</f>
        <v>4511929.3192515494</v>
      </c>
      <c r="M20"/>
    </row>
    <row r="21" spans="2:17" ht="15" customHeight="1" thickBot="1" x14ac:dyDescent="0.3">
      <c r="B21" s="97">
        <f t="shared" si="1"/>
        <v>2037</v>
      </c>
      <c r="C21" s="178">
        <f>IFERROR(VLOOKUP($B21,'Travel Time Cost Savings'!$B$7:$I$26,'Travel Time Cost Savings'!$H$1,FALSE),0)</f>
        <v>7954737.5348267546</v>
      </c>
      <c r="D21" s="179">
        <f>IFERROR(VLOOKUP($B21,'Operating Cost Savings'!$B$7:$G$53,'Operating Cost Savings'!$F$1,FALSE),0)</f>
        <v>-460788.77663076867</v>
      </c>
      <c r="E21" s="339">
        <f>IFERROR(VLOOKUP($B21,'Safety Benefits'!$B$6:$D$25,'Safety Benefits'!C$1,FALSE),0)</f>
        <v>6088462.9779357687</v>
      </c>
      <c r="F21" s="178">
        <f>IFERROR(VLOOKUP($B21,'Air Quality'!$B$7:$O$36,'Air Quality'!$L$1,FALSE),0)</f>
        <v>423.97970104916789</v>
      </c>
      <c r="G21" s="313">
        <f>IFERROR(VLOOKUP($B21,'Air Quality'!$B$7:$V$53,'Air Quality'!$E$1,FALSE),0)</f>
        <v>162.39337174748201</v>
      </c>
      <c r="H21" s="530">
        <f>'Quality of Life Benefits '!L19</f>
        <v>75301.939875834534</v>
      </c>
      <c r="I21" s="334">
        <f>IFERROR(VLOOKUP($B21,'Capital Costs'!$B$9:$K$97,'Capital Costs'!E$1,FALSE),0)</f>
        <v>0</v>
      </c>
      <c r="J21" s="282">
        <f>IFERROR(VLOOKUP($B21,Maintenance!$B$5:$D$24,2,FALSE),0)</f>
        <v>-90393.55</v>
      </c>
      <c r="K21" s="180">
        <f t="shared" si="2"/>
        <v>13492442.165832803</v>
      </c>
      <c r="L21" s="181">
        <f>K21*(1+0.07)^-(B21-Assumptions!$C$6)+G21</f>
        <v>4271524.0478925258</v>
      </c>
      <c r="M21"/>
    </row>
    <row r="22" spans="2:17" ht="15" customHeight="1" thickBot="1" x14ac:dyDescent="0.3">
      <c r="B22" s="97">
        <f t="shared" si="1"/>
        <v>2038</v>
      </c>
      <c r="C22" s="178">
        <f>IFERROR(VLOOKUP($B22,'Travel Time Cost Savings'!$B$7:$I$26,'Travel Time Cost Savings'!$H$1,FALSE),0)</f>
        <v>8080795.5773199936</v>
      </c>
      <c r="D22" s="179">
        <f>IFERROR(VLOOKUP($B22,'Operating Cost Savings'!$B$7:$G$53,'Operating Cost Savings'!$F$1,FALSE),0)</f>
        <v>-441429.32715922751</v>
      </c>
      <c r="E22" s="339">
        <f>IFERROR(VLOOKUP($B22,'Safety Benefits'!$B$6:$D$25,'Safety Benefits'!C$1,FALSE),0)</f>
        <v>6115906.0737214312</v>
      </c>
      <c r="F22" s="178">
        <f>IFERROR(VLOOKUP($B22,'Air Quality'!$B$7:$O$36,'Air Quality'!$L$1,FALSE),0)</f>
        <v>382.89841037315239</v>
      </c>
      <c r="G22" s="313">
        <f>IFERROR(VLOOKUP($B22,'Air Quality'!$B$7:$V$53,'Air Quality'!$E$1,FALSE),0)</f>
        <v>210.9147831853553</v>
      </c>
      <c r="H22" s="530">
        <f>'Quality of Life Benefits '!L20</f>
        <v>76309.175206398941</v>
      </c>
      <c r="I22" s="334">
        <f>IFERROR(VLOOKUP($B22,'Capital Costs'!$B$9:$K$97,'Capital Costs'!E$1,FALSE),0)</f>
        <v>0</v>
      </c>
      <c r="J22" s="282">
        <f>IFERROR(VLOOKUP($B22,Maintenance!$B$5:$D$24,2,FALSE),0)</f>
        <v>-90393.55</v>
      </c>
      <c r="K22" s="180">
        <f t="shared" si="2"/>
        <v>13665261.672292568</v>
      </c>
      <c r="L22" s="181">
        <f>K22*(1+0.07)^-(B22-Assumptions!$C$6)+G22</f>
        <v>4043268.7507070974</v>
      </c>
      <c r="M22"/>
    </row>
    <row r="23" spans="2:17" ht="15" customHeight="1" thickBot="1" x14ac:dyDescent="0.3">
      <c r="B23" s="97">
        <f t="shared" si="1"/>
        <v>2039</v>
      </c>
      <c r="C23" s="178">
        <f>IFERROR(VLOOKUP($B23,'Travel Time Cost Savings'!$B$7:$I$26,'Travel Time Cost Savings'!$H$1,FALSE),0)</f>
        <v>8206853.6198230181</v>
      </c>
      <c r="D23" s="179">
        <f>IFERROR(VLOOKUP($B23,'Operating Cost Savings'!$B$7:$G$53,'Operating Cost Savings'!$F$1,FALSE),0)</f>
        <v>-422069.87769190158</v>
      </c>
      <c r="E23" s="339">
        <f>IFERROR(VLOOKUP($B23,'Safety Benefits'!$B$6:$D$25,'Safety Benefits'!C$1,FALSE),0)</f>
        <v>6143349.1695071012</v>
      </c>
      <c r="F23" s="178">
        <f>IFERROR(VLOOKUP($B23,'Air Quality'!$B$7:$O$36,'Air Quality'!$L$1,FALSE),0)</f>
        <v>341.81711967239102</v>
      </c>
      <c r="G23" s="313">
        <f>IFERROR(VLOOKUP($B23,'Air Quality'!$B$7:$V$53,'Air Quality'!$E$1,FALSE),0)</f>
        <v>257.86668897261433</v>
      </c>
      <c r="H23" s="530">
        <f>'Quality of Life Benefits '!L21</f>
        <v>77329.883271036437</v>
      </c>
      <c r="I23" s="334">
        <f>IFERROR(VLOOKUP($B23,'Capital Costs'!$B$9:$K$97,'Capital Costs'!E$1,FALSE),0)</f>
        <v>0</v>
      </c>
      <c r="J23" s="282">
        <f>IFERROR(VLOOKUP($B23,Maintenance!$B$5:$D$24,2,FALSE),0)</f>
        <v>-90393.55</v>
      </c>
      <c r="K23" s="180">
        <f t="shared" si="2"/>
        <v>13838081.178757891</v>
      </c>
      <c r="L23" s="181">
        <f>K23*(1+0.07)^-(B23-Assumptions!$C$6)+G23</f>
        <v>3826602.6254959898</v>
      </c>
      <c r="M23"/>
    </row>
    <row r="24" spans="2:17" ht="15" customHeight="1" thickBot="1" x14ac:dyDescent="0.3">
      <c r="B24" s="97">
        <f t="shared" si="1"/>
        <v>2040</v>
      </c>
      <c r="C24" s="178">
        <f>IFERROR(VLOOKUP($B24,'Travel Time Cost Savings'!$B$7:$I$26,'Travel Time Cost Savings'!$H$1,FALSE),0)</f>
        <v>8332911.6623162571</v>
      </c>
      <c r="D24" s="179">
        <f>IFERROR(VLOOKUP($B24,'Operating Cost Savings'!$B$7:$G$53,'Operating Cost Savings'!$F$1,FALSE),0)</f>
        <v>-402710.42822036042</v>
      </c>
      <c r="E24" s="339">
        <f>IFERROR(VLOOKUP($B24,'Safety Benefits'!$B$6:$D$25,'Safety Benefits'!C$1,FALSE),0)</f>
        <v>6170792.2652927637</v>
      </c>
      <c r="F24" s="178">
        <f>IFERROR(VLOOKUP($B24,'Air Quality'!$B$7:$O$36,'Air Quality'!$L$1,FALSE),0)</f>
        <v>300.73582897987006</v>
      </c>
      <c r="G24" s="313">
        <f>IFERROR(VLOOKUP($B24,'Air Quality'!$B$7:$V$53,'Air Quality'!$E$1,FALSE),0)</f>
        <v>303.25873040353389</v>
      </c>
      <c r="H24" s="530">
        <f>'Quality of Life Benefits '!L22</f>
        <v>78364.244280426617</v>
      </c>
      <c r="I24" s="334">
        <f>IFERROR(VLOOKUP($B24,'Capital Costs'!$B$9:$K$97,'Capital Costs'!E$1,FALSE),0)</f>
        <v>0</v>
      </c>
      <c r="J24" s="282">
        <f>IFERROR(VLOOKUP($B24,Maintenance!$B$5:$D$24,2,FALSE),0)</f>
        <v>-90393.55</v>
      </c>
      <c r="K24" s="180">
        <f t="shared" si="2"/>
        <v>14010900.685217639</v>
      </c>
      <c r="L24" s="181">
        <f>K24*(1+0.07)^-(B24-Assumptions!$C$6)+G24</f>
        <v>3620986.2423284957</v>
      </c>
      <c r="M24"/>
    </row>
    <row r="25" spans="2:17" ht="15" customHeight="1" thickBot="1" x14ac:dyDescent="0.3">
      <c r="B25" s="97">
        <f t="shared" si="1"/>
        <v>2041</v>
      </c>
      <c r="C25" s="178">
        <f>IFERROR(VLOOKUP($B25,'Travel Time Cost Savings'!$B$7:$I$26,'Travel Time Cost Savings'!$H$1,FALSE),0)</f>
        <v>8458969.7048299573</v>
      </c>
      <c r="D25" s="179">
        <f>IFERROR(VLOOKUP($B25,'Operating Cost Savings'!$B$7:$G$53,'Operating Cost Savings'!$F$1,FALSE),0)</f>
        <v>-383350.97875303449</v>
      </c>
      <c r="E25" s="339">
        <f>IFERROR(VLOOKUP($B25,'Safety Benefits'!$B$6:$D$25,'Safety Benefits'!C$1,FALSE),0)</f>
        <v>6198235.3610784262</v>
      </c>
      <c r="F25" s="178">
        <f>IFERROR(VLOOKUP($B25,'Air Quality'!$B$7:$O$36,'Air Quality'!$L$1,FALSE),0)</f>
        <v>259.65453827915229</v>
      </c>
      <c r="G25" s="313">
        <f>IFERROR(VLOOKUP($B25,'Air Quality'!$B$7:$V$53,'Air Quality'!$E$1,FALSE),0)</f>
        <v>347.10250183734792</v>
      </c>
      <c r="H25" s="530">
        <f>'Quality of Life Benefits '!L23</f>
        <v>79412.440855738925</v>
      </c>
      <c r="I25" s="334">
        <f>IFERROR(VLOOKUP($B25,'Capital Costs'!$B$9:$K$97,'Capital Costs'!E$1,FALSE),0)</f>
        <v>0</v>
      </c>
      <c r="J25" s="282">
        <f>IFERROR(VLOOKUP($B25,Maintenance!$B$5:$D$24,2,FALSE),0)</f>
        <v>-90393.55</v>
      </c>
      <c r="K25" s="180">
        <f t="shared" si="2"/>
        <v>14183720.191693628</v>
      </c>
      <c r="L25" s="181">
        <f>K25*(1+0.07)^-(B25-Assumptions!$C$6)+G25</f>
        <v>3425901.1474816524</v>
      </c>
      <c r="M25"/>
    </row>
    <row r="26" spans="2:17" ht="15" customHeight="1" thickBot="1" x14ac:dyDescent="0.3">
      <c r="B26" s="160">
        <f t="shared" si="1"/>
        <v>2042</v>
      </c>
      <c r="C26" s="178">
        <f>IFERROR(VLOOKUP($B26,'Travel Time Cost Savings'!$B$7:$I$26,'Travel Time Cost Savings'!$H$1,FALSE),0)</f>
        <v>8585027.7473231964</v>
      </c>
      <c r="D26" s="179">
        <f>IFERROR(VLOOKUP($B26,'Operating Cost Savings'!$B$7:$G$53,'Operating Cost Savings'!$F$1,FALSE),0)</f>
        <v>-363991.52928871941</v>
      </c>
      <c r="E26" s="339">
        <f>IFERROR(VLOOKUP($B26,'Safety Benefits'!$B$6:$D$25,'Safety Benefits'!C$1,FALSE),0)</f>
        <v>6225678.4568640888</v>
      </c>
      <c r="F26" s="178">
        <f>IFERROR(VLOOKUP($B26,'Air Quality'!$B$7:$O$36,'Air Quality'!$L$1,FALSE),0)</f>
        <v>218.57324758667494</v>
      </c>
      <c r="G26" s="313">
        <f>IFERROR(VLOOKUP($B26,'Air Quality'!$B$7:$V$53,'Air Quality'!$E$1,FALSE),0)</f>
        <v>389.41139426283218</v>
      </c>
      <c r="H26" s="530">
        <f>'Quality of Life Benefits '!L24</f>
        <v>80474.658060875285</v>
      </c>
      <c r="I26" s="334">
        <f>IFERROR(VLOOKUP($B26,'Capital Costs'!$B$9:$K$97,'Capital Costs'!E$1,FALSE),0)</f>
        <v>0</v>
      </c>
      <c r="J26" s="282">
        <f>IFERROR(VLOOKUP($B26,Maintenance!$B$5:$D$24,2,FALSE),0)</f>
        <v>-90393.55</v>
      </c>
      <c r="K26" s="180">
        <f t="shared" si="2"/>
        <v>14356539.698146151</v>
      </c>
      <c r="L26" s="181">
        <f>K26*(1+0.07)^-(B26-Assumptions!$C$6)+G26</f>
        <v>3240849.4276862079</v>
      </c>
      <c r="M26"/>
    </row>
    <row r="27" spans="2:17" s="87" customFormat="1" ht="15.75" thickBot="1" x14ac:dyDescent="0.3">
      <c r="B27" s="160">
        <f t="shared" si="1"/>
        <v>2043</v>
      </c>
      <c r="C27" s="178">
        <f>IFERROR(VLOOKUP($B27,'Travel Time Cost Savings'!$B$7:$I$26,'Travel Time Cost Savings'!$H$1,FALSE),0)</f>
        <v>8711085.7898257766</v>
      </c>
      <c r="D27" s="179">
        <f>IFERROR(VLOOKUP($B27,'Operating Cost Savings'!$B$7:$G$53,'Operating Cost Savings'!$F$1,FALSE),0)</f>
        <v>-344632.0798174793</v>
      </c>
      <c r="E27" s="339">
        <f>IFERROR(VLOOKUP($B27,'Safety Benefits'!$B$6:$D$25,'Safety Benefits'!C$1,FALSE),0)</f>
        <v>6253121.5526497513</v>
      </c>
      <c r="F27" s="178">
        <f>IFERROR(VLOOKUP($B27,'Air Quality'!$B$7:$O$36,'Air Quality'!$L$1,FALSE),0)</f>
        <v>177.49195688591354</v>
      </c>
      <c r="G27" s="313">
        <f>IFERROR(VLOOKUP($B27,'Air Quality'!$B$7:$V$53,'Air Quality'!$E$1,FALSE),0)</f>
        <v>435.86097956590118</v>
      </c>
      <c r="H27" s="530">
        <f>'Quality of Life Benefits '!L25</f>
        <v>81551.083435143941</v>
      </c>
      <c r="I27" s="334">
        <f>IFERROR(VLOOKUP($B27,'Capital Costs'!$B$9:$K$97,'Capital Costs'!E$1,FALSE),0)</f>
        <v>0</v>
      </c>
      <c r="J27" s="282">
        <f>IFERROR(VLOOKUP($B27,Maintenance!$B$5:$D$24,2,FALSE),0)</f>
        <v>-90393.55</v>
      </c>
      <c r="K27" s="180">
        <f t="shared" si="2"/>
        <v>14529359.204614934</v>
      </c>
      <c r="L27" s="181">
        <f>K27*(1+0.07)^-(B27-Assumptions!$C$6)+G27</f>
        <v>3065358.9021961563</v>
      </c>
      <c r="N27" s="14"/>
      <c r="O27" s="15"/>
    </row>
    <row r="28" spans="2:17" s="87" customFormat="1" ht="15.75" thickBot="1" x14ac:dyDescent="0.3">
      <c r="B28" s="160">
        <f t="shared" si="1"/>
        <v>2044</v>
      </c>
      <c r="C28" s="178">
        <f>IFERROR(VLOOKUP($B28,'Travel Time Cost Savings'!$B$7:$I$26,'Travel Time Cost Savings'!$H$1,FALSE),0)</f>
        <v>8837143.8323190156</v>
      </c>
      <c r="D28" s="179">
        <f>IFERROR(VLOOKUP($B28,'Operating Cost Savings'!$B$7:$G$53,'Operating Cost Savings'!$F$1,FALSE),0)</f>
        <v>-325272.63034985232</v>
      </c>
      <c r="E28" s="339">
        <f>IFERROR(VLOOKUP($B28,'Safety Benefits'!$B$6:$D$25,'Safety Benefits'!C$1,FALSE),0)</f>
        <v>6280564.6484354138</v>
      </c>
      <c r="F28" s="178">
        <f>IFERROR(VLOOKUP($B28,'Air Quality'!$B$7:$O$36,'Air Quality'!$L$1,FALSE),0)</f>
        <v>136.41066616873391</v>
      </c>
      <c r="G28" s="313">
        <f>IFERROR(VLOOKUP($B28,'Air Quality'!$B$7:$V$53,'Air Quality'!$E$1,FALSE),0)</f>
        <v>475.5834331311616</v>
      </c>
      <c r="H28" s="530">
        <f>'Quality of Life Benefits '!L26</f>
        <v>82641.907026370449</v>
      </c>
      <c r="I28" s="334">
        <f>IFERROR(VLOOKUP($B28,'Capital Costs'!$B$9:$K$97,'Capital Costs'!E$1,FALSE),0)</f>
        <v>26923739.420950722</v>
      </c>
      <c r="J28" s="282">
        <f>IFERROR(VLOOKUP($B28,Maintenance!$B$5:$D$24,2,FALSE),0)</f>
        <v>-90393.55</v>
      </c>
      <c r="K28" s="180">
        <f t="shared" si="2"/>
        <v>41625918.132021472</v>
      </c>
      <c r="L28" s="181">
        <f>K28*(1+0.07)^-(B28-Assumptions!$C$6)+G28</f>
        <v>8206884.6454264792</v>
      </c>
    </row>
    <row r="29" spans="2:17" s="87" customFormat="1" ht="15.75" thickBot="1" x14ac:dyDescent="0.3">
      <c r="B29" s="161">
        <f t="shared" si="1"/>
        <v>2045</v>
      </c>
      <c r="C29" s="178">
        <f>IFERROR(VLOOKUP($B29,'Travel Time Cost Savings'!$B$7:$I$26,'Travel Time Cost Savings'!$H$1,FALSE),0)</f>
        <v>0</v>
      </c>
      <c r="D29" s="183">
        <f>IFERROR(VLOOKUP($B29,'Operating Cost Savings'!$B$7:$G$53,'Operating Cost Savings'!$F$1,FALSE),0)</f>
        <v>0</v>
      </c>
      <c r="E29" s="337">
        <f>IFERROR(VLOOKUP($B29,'Safety Benefits'!$B$6:$D$25,'Safety Benefits'!C$1,FALSE),0)</f>
        <v>0</v>
      </c>
      <c r="F29" s="182">
        <f>IFERROR(VLOOKUP($B29,'Air Quality'!$B$7:$O$36,'Air Quality'!$L$1,FALSE),0)</f>
        <v>0</v>
      </c>
      <c r="G29" s="314">
        <f>IFERROR(VLOOKUP($B29,'Air Quality'!$B$7:$V$53,'Air Quality'!$E$1,FALSE),0)</f>
        <v>0</v>
      </c>
      <c r="H29" s="531">
        <f>'Quality of Life Benefits '!L27</f>
        <v>0</v>
      </c>
      <c r="I29" s="332">
        <f>IFERROR(VLOOKUP($B29,'Capital Costs'!$B$9:$K$97,'Capital Costs'!E$1,FALSE),0)</f>
        <v>0</v>
      </c>
      <c r="J29" s="282">
        <f>IFERROR(VLOOKUP($B29,Maintenance!$B$5:$D$24,2,FALSE),0)</f>
        <v>0</v>
      </c>
      <c r="K29" s="184">
        <f t="shared" si="2"/>
        <v>0</v>
      </c>
      <c r="L29" s="185">
        <f>K29*(1+0.07)^-(B29-Assumptions!$C$6)+G29</f>
        <v>0</v>
      </c>
    </row>
    <row r="30" spans="2:17" s="438" customFormat="1" x14ac:dyDescent="0.25">
      <c r="B30" s="448"/>
      <c r="C30" s="448"/>
      <c r="D30" s="448"/>
      <c r="E30" s="448"/>
      <c r="F30" s="448"/>
      <c r="G30" s="448"/>
      <c r="H30" s="448"/>
      <c r="I30" s="449"/>
      <c r="J30" s="449"/>
      <c r="K30" s="449"/>
      <c r="L30" s="450"/>
    </row>
    <row r="31" spans="2:17" s="438" customFormat="1" x14ac:dyDescent="0.25">
      <c r="B31" s="448"/>
      <c r="C31" s="448"/>
      <c r="D31" s="448"/>
      <c r="E31" s="448"/>
      <c r="F31" s="448"/>
      <c r="G31" s="448"/>
      <c r="H31" s="448"/>
      <c r="I31" s="449"/>
      <c r="J31" s="449"/>
      <c r="K31" s="449"/>
      <c r="L31" s="450"/>
    </row>
    <row r="32" spans="2:17" s="87" customFormat="1" x14ac:dyDescent="0.25">
      <c r="B32" s="11"/>
      <c r="C32" s="76"/>
      <c r="D32" s="76"/>
      <c r="E32" s="76"/>
      <c r="F32" s="76"/>
      <c r="G32" s="448"/>
      <c r="H32" s="448"/>
      <c r="K32" s="101" t="s">
        <v>2</v>
      </c>
      <c r="L32" s="9">
        <f>SUM(L7:L29)</f>
        <v>107813658.04560727</v>
      </c>
      <c r="M32" s="187"/>
      <c r="O32" s="32"/>
      <c r="P32" s="223"/>
      <c r="Q32" s="223"/>
    </row>
    <row r="33" spans="2:17" s="87" customFormat="1" x14ac:dyDescent="0.25">
      <c r="B33" s="11"/>
      <c r="C33" s="15"/>
      <c r="D33" s="15"/>
      <c r="E33" s="15"/>
      <c r="F33" s="82"/>
      <c r="G33" s="82"/>
      <c r="H33" s="82"/>
      <c r="I33" s="82"/>
      <c r="J33" s="82"/>
      <c r="K33" s="117"/>
      <c r="L33" s="117">
        <f>+'Travel Time Cost Savings'!I27+'Operating Cost Savings'!G27+'Safety Benefits'!D26+'Air Quality'!O37+'Capital Costs'!F32+Maintenance!D25*-1</f>
        <v>109274801.57838744</v>
      </c>
      <c r="O33" s="32"/>
      <c r="P33" s="223"/>
      <c r="Q33" s="223"/>
    </row>
    <row r="34" spans="2:17" s="87" customFormat="1" x14ac:dyDescent="0.25">
      <c r="B34" s="11"/>
      <c r="C34" s="82"/>
      <c r="D34" s="82"/>
      <c r="E34" s="82"/>
      <c r="F34" s="82"/>
      <c r="G34" s="82"/>
      <c r="H34" s="82"/>
      <c r="I34" s="82"/>
      <c r="J34" s="82"/>
      <c r="K34" s="14"/>
      <c r="L34" s="15"/>
      <c r="O34" s="32"/>
      <c r="P34" s="223"/>
      <c r="Q34" s="223"/>
    </row>
    <row r="35" spans="2:17" s="87" customFormat="1" x14ac:dyDescent="0.25">
      <c r="B35" s="11"/>
      <c r="C35" s="82"/>
      <c r="D35" s="82"/>
      <c r="E35" s="82"/>
      <c r="F35" s="82"/>
      <c r="G35" s="82"/>
      <c r="H35" s="82"/>
      <c r="I35" s="82"/>
      <c r="J35" s="82"/>
      <c r="K35" s="14"/>
      <c r="L35" s="15"/>
      <c r="O35" s="32"/>
      <c r="P35" s="223"/>
      <c r="Q35" s="223"/>
    </row>
    <row r="36" spans="2:17" s="87" customFormat="1" ht="15.75" x14ac:dyDescent="0.25">
      <c r="B36" s="57" t="s">
        <v>20</v>
      </c>
      <c r="C36" s="57"/>
      <c r="D36" s="57"/>
      <c r="E36" s="12"/>
      <c r="F36" s="12"/>
      <c r="G36" s="12"/>
      <c r="H36" s="12"/>
      <c r="I36" s="9"/>
      <c r="J36" s="9"/>
      <c r="K36" s="9"/>
      <c r="L36" s="9"/>
      <c r="O36" s="32"/>
      <c r="P36" s="223"/>
      <c r="Q36" s="223"/>
    </row>
    <row r="37" spans="2:17" s="87" customFormat="1" ht="15.75" thickBot="1" x14ac:dyDescent="0.3">
      <c r="D37" s="55"/>
      <c r="E37" s="80"/>
      <c r="F37" s="80"/>
      <c r="G37" s="80"/>
      <c r="H37" s="80"/>
      <c r="I37" s="80"/>
      <c r="J37" s="80"/>
      <c r="K37" s="80"/>
      <c r="L37" s="80"/>
      <c r="O37" s="32"/>
      <c r="P37" s="223"/>
      <c r="Q37" s="223"/>
    </row>
    <row r="38" spans="2:17" s="87" customFormat="1" x14ac:dyDescent="0.25">
      <c r="B38" s="542" t="s">
        <v>0</v>
      </c>
      <c r="C38" s="562" t="s">
        <v>21</v>
      </c>
      <c r="D38" s="550" t="s">
        <v>1</v>
      </c>
      <c r="E38" s="119"/>
      <c r="F38" s="32"/>
      <c r="G38" s="32"/>
      <c r="H38" s="32"/>
      <c r="I38" s="32"/>
      <c r="O38" s="32"/>
      <c r="P38" s="223"/>
      <c r="Q38" s="223"/>
    </row>
    <row r="39" spans="2:17" s="87" customFormat="1" ht="15.75" thickBot="1" x14ac:dyDescent="0.3">
      <c r="B39" s="561"/>
      <c r="C39" s="563"/>
      <c r="D39" s="551"/>
      <c r="E39" s="119"/>
      <c r="H39" s="433"/>
      <c r="O39" s="29"/>
      <c r="P39" s="199"/>
      <c r="Q39" s="199"/>
    </row>
    <row r="40" spans="2:17" s="438" customFormat="1" x14ac:dyDescent="0.25">
      <c r="B40" s="519">
        <f>'Capital Costs'!B8</f>
        <v>2022</v>
      </c>
      <c r="C40" s="522">
        <f>'Capital Costs'!C8</f>
        <v>6721431.4384096991</v>
      </c>
      <c r="D40" s="522">
        <f>'Capital Costs'!D8</f>
        <v>5870758.5277401507</v>
      </c>
      <c r="E40" s="512"/>
      <c r="O40" s="29"/>
      <c r="P40" s="199"/>
      <c r="Q40" s="199"/>
    </row>
    <row r="41" spans="2:17" s="87" customFormat="1" x14ac:dyDescent="0.25">
      <c r="B41" s="520">
        <f xml:space="preserve"> 'Capital Costs'!$B$9</f>
        <v>2023</v>
      </c>
      <c r="C41" s="523">
        <f>VLOOKUP($B41,'Capital Costs'!$B$9:$D$32,'Capital Costs'!$C$1,FALSE)</f>
        <v>21455997.976011913</v>
      </c>
      <c r="D41" s="527">
        <f>C41*(1+0.07)^-(B41-Assumptions!$C$6)</f>
        <v>17514485.59439294</v>
      </c>
      <c r="E41" s="118"/>
      <c r="H41" s="433"/>
      <c r="O41" s="32"/>
      <c r="P41" s="32"/>
      <c r="Q41" s="32"/>
    </row>
    <row r="42" spans="2:17" s="87" customFormat="1" x14ac:dyDescent="0.25">
      <c r="B42" s="520">
        <f>B41+1</f>
        <v>2024</v>
      </c>
      <c r="C42" s="523">
        <f>VLOOKUP($B42,'Capital Costs'!$B$9:$D$32,'Capital Costs'!$C$1,FALSE)</f>
        <v>23601597.773613106</v>
      </c>
      <c r="D42" s="527">
        <f>C42*(1+0.07)^-(B42-Assumptions!$C$6)</f>
        <v>18005545.938160971</v>
      </c>
      <c r="E42" s="118"/>
      <c r="H42" s="433"/>
    </row>
    <row r="43" spans="2:17" s="87" customFormat="1" x14ac:dyDescent="0.25">
      <c r="B43" s="521">
        <f t="shared" ref="B43:B62" si="3">B42+1</f>
        <v>2025</v>
      </c>
      <c r="C43" s="523">
        <f>VLOOKUP($B43,'Capital Costs'!$B$9:$D$32,'Capital Costs'!$C$1,FALSE)</f>
        <v>0</v>
      </c>
      <c r="D43" s="527">
        <f>C43*(1+0.07)^-(B43-Assumptions!$C$6)</f>
        <v>0</v>
      </c>
      <c r="E43" s="9"/>
      <c r="H43" s="433"/>
    </row>
    <row r="44" spans="2:17" s="87" customFormat="1" x14ac:dyDescent="0.25">
      <c r="B44" s="235">
        <f t="shared" si="3"/>
        <v>2026</v>
      </c>
      <c r="C44" s="524">
        <f>VLOOKUP($B44,'Capital Costs'!$B$9:$D$32,'Capital Costs'!$C$1,FALSE)</f>
        <v>0</v>
      </c>
      <c r="D44" s="236">
        <f>C44*(1+0.07)^-(B44-Assumptions!$C$6)</f>
        <v>0</v>
      </c>
      <c r="E44" s="9"/>
      <c r="H44" s="433"/>
    </row>
    <row r="45" spans="2:17" s="87" customFormat="1" x14ac:dyDescent="0.25">
      <c r="B45" s="2">
        <f t="shared" si="3"/>
        <v>2027</v>
      </c>
      <c r="C45" s="525">
        <f>VLOOKUP($B45,'Capital Costs'!$B$9:$D$32,'Capital Costs'!$C$1,FALSE)</f>
        <v>0</v>
      </c>
      <c r="D45" s="236">
        <f>C45*(1+0.07)^-(B45-Assumptions!$C$6)</f>
        <v>0</v>
      </c>
      <c r="E45" s="9"/>
      <c r="H45" s="433"/>
    </row>
    <row r="46" spans="2:17" s="87" customFormat="1" x14ac:dyDescent="0.25">
      <c r="B46" s="2">
        <f t="shared" si="3"/>
        <v>2028</v>
      </c>
      <c r="C46" s="525">
        <f>VLOOKUP($B46,'Capital Costs'!$B$9:$D$32,'Capital Costs'!$C$1,FALSE)</f>
        <v>0</v>
      </c>
      <c r="D46" s="236">
        <f>C46*(1+0.07)^-(B46-Assumptions!$C$6)</f>
        <v>0</v>
      </c>
      <c r="E46" s="9"/>
      <c r="H46" s="433"/>
    </row>
    <row r="47" spans="2:17" s="87" customFormat="1" x14ac:dyDescent="0.25">
      <c r="B47" s="2">
        <f t="shared" si="3"/>
        <v>2029</v>
      </c>
      <c r="C47" s="525">
        <f>VLOOKUP($B47,'Capital Costs'!$B$9:$D$32,'Capital Costs'!$C$1,FALSE)</f>
        <v>0</v>
      </c>
      <c r="D47" s="236">
        <f>C47*(1+0.07)^-(B47-Assumptions!$C$6)</f>
        <v>0</v>
      </c>
      <c r="E47" s="9"/>
      <c r="H47" s="433"/>
    </row>
    <row r="48" spans="2:17" ht="15" customHeight="1" x14ac:dyDescent="0.25">
      <c r="B48" s="2">
        <f t="shared" si="3"/>
        <v>2030</v>
      </c>
      <c r="C48" s="525">
        <f>VLOOKUP($B48,'Capital Costs'!$B$9:$D$32,'Capital Costs'!$C$1,FALSE)</f>
        <v>0</v>
      </c>
      <c r="D48" s="236">
        <f>C48*(1+0.07)^-(B48-Assumptions!$C$6)</f>
        <v>0</v>
      </c>
      <c r="E48" s="9"/>
      <c r="F48" s="87"/>
      <c r="I48" s="87"/>
      <c r="K48" s="87"/>
      <c r="L48" s="87"/>
      <c r="M48"/>
    </row>
    <row r="49" spans="1:20" ht="15" customHeight="1" x14ac:dyDescent="0.25">
      <c r="B49" s="2">
        <f t="shared" si="3"/>
        <v>2031</v>
      </c>
      <c r="C49" s="525">
        <f>VLOOKUP($B49,'Capital Costs'!$B$9:$D$32,'Capital Costs'!$C$1,FALSE)</f>
        <v>0</v>
      </c>
      <c r="D49" s="236">
        <f>C49*(1+0.07)^-(B49-Assumptions!$C$6)</f>
        <v>0</v>
      </c>
      <c r="E49" s="9"/>
      <c r="F49" s="87"/>
      <c r="I49" s="87"/>
      <c r="K49" s="87"/>
      <c r="L49" s="87"/>
      <c r="M49"/>
    </row>
    <row r="50" spans="1:20" s="87" customFormat="1" ht="15" customHeight="1" x14ac:dyDescent="0.25">
      <c r="B50" s="2">
        <f t="shared" si="3"/>
        <v>2032</v>
      </c>
      <c r="C50" s="525">
        <f>VLOOKUP($B50,'Capital Costs'!$B$9:$D$32,'Capital Costs'!$C$1,FALSE)</f>
        <v>0</v>
      </c>
      <c r="D50" s="236">
        <f>C50*(1+0.07)^-(B50-Assumptions!$C$6)</f>
        <v>0</v>
      </c>
      <c r="E50" s="9"/>
      <c r="H50" s="433"/>
    </row>
    <row r="51" spans="1:20" s="87" customFormat="1" ht="15" customHeight="1" x14ac:dyDescent="0.25">
      <c r="B51" s="2">
        <f t="shared" si="3"/>
        <v>2033</v>
      </c>
      <c r="C51" s="525">
        <f>VLOOKUP($B51,'Capital Costs'!$B$9:$D$32,'Capital Costs'!$C$1,FALSE)</f>
        <v>0</v>
      </c>
      <c r="D51" s="236">
        <f>C51*(1+0.07)^-(B51-Assumptions!$C$6)</f>
        <v>0</v>
      </c>
      <c r="E51" s="9"/>
      <c r="H51" s="433"/>
    </row>
    <row r="52" spans="1:20" s="87" customFormat="1" ht="15" customHeight="1" x14ac:dyDescent="0.25">
      <c r="B52" s="2">
        <f t="shared" si="3"/>
        <v>2034</v>
      </c>
      <c r="C52" s="525">
        <f>VLOOKUP($B52,'Capital Costs'!$B$9:$D$32,'Capital Costs'!$C$1,FALSE)</f>
        <v>0</v>
      </c>
      <c r="D52" s="236">
        <f>C52*(1+0.07)^-(B52-Assumptions!$C$6)</f>
        <v>0</v>
      </c>
      <c r="E52" s="9"/>
      <c r="H52" s="433"/>
      <c r="M52" s="15"/>
    </row>
    <row r="53" spans="1:20" s="87" customFormat="1" ht="15" customHeight="1" x14ac:dyDescent="0.25">
      <c r="B53" s="2">
        <f t="shared" si="3"/>
        <v>2035</v>
      </c>
      <c r="C53" s="525">
        <f>VLOOKUP($B53,'Capital Costs'!$B$9:$D$32,'Capital Costs'!$C$1,FALSE)</f>
        <v>0</v>
      </c>
      <c r="D53" s="236">
        <f>C53*(1+0.07)^-(B53-Assumptions!$C$6)</f>
        <v>0</v>
      </c>
      <c r="E53" s="9"/>
      <c r="H53" s="433"/>
      <c r="M53" s="117"/>
      <c r="N53" s="15"/>
      <c r="O53" s="15"/>
      <c r="P53" s="15"/>
    </row>
    <row r="54" spans="1:20" s="87" customFormat="1" ht="15" customHeight="1" x14ac:dyDescent="0.25">
      <c r="B54" s="2">
        <f t="shared" si="3"/>
        <v>2036</v>
      </c>
      <c r="C54" s="525">
        <f>VLOOKUP($B54,'Capital Costs'!$B$9:$D$32,'Capital Costs'!$C$1,FALSE)</f>
        <v>0</v>
      </c>
      <c r="D54" s="236">
        <f>C54*(1+0.07)^-(B54-Assumptions!$C$6)</f>
        <v>0</v>
      </c>
      <c r="E54" s="9"/>
      <c r="H54" s="433"/>
      <c r="M54" s="15"/>
      <c r="N54" s="15"/>
      <c r="O54" s="15"/>
      <c r="P54" s="15"/>
    </row>
    <row r="55" spans="1:20" s="87" customFormat="1" ht="15" customHeight="1" x14ac:dyDescent="0.25">
      <c r="B55" s="2">
        <f t="shared" si="3"/>
        <v>2037</v>
      </c>
      <c r="C55" s="525">
        <f>VLOOKUP($B55,'Capital Costs'!$B$9:$D$32,'Capital Costs'!$C$1,FALSE)</f>
        <v>0</v>
      </c>
      <c r="D55" s="236">
        <f>C55*(1+0.07)^-(B55-Assumptions!$C$6)</f>
        <v>0</v>
      </c>
      <c r="E55" s="9"/>
      <c r="H55" s="433"/>
      <c r="M55" s="15"/>
      <c r="N55" s="15"/>
      <c r="O55" s="15"/>
      <c r="P55" s="15"/>
      <c r="Q55" s="15"/>
      <c r="R55" s="15"/>
    </row>
    <row r="56" spans="1:20" s="87" customFormat="1" ht="15" customHeight="1" x14ac:dyDescent="0.25">
      <c r="B56" s="2">
        <f t="shared" si="3"/>
        <v>2038</v>
      </c>
      <c r="C56" s="525">
        <f>VLOOKUP($B56,'Capital Costs'!$B$9:$D$32,'Capital Costs'!$C$1,FALSE)</f>
        <v>0</v>
      </c>
      <c r="D56" s="236">
        <f>C56*(1+0.07)^-(B56-Assumptions!$C$6)</f>
        <v>0</v>
      </c>
      <c r="E56" s="9"/>
      <c r="F56"/>
      <c r="H56" s="433"/>
      <c r="K56"/>
      <c r="L56"/>
      <c r="M56" s="9"/>
      <c r="N56" s="9"/>
      <c r="O56" s="9"/>
      <c r="P56" s="9"/>
      <c r="Q56" s="9"/>
      <c r="R56" s="9"/>
      <c r="S56" s="9"/>
      <c r="T56" s="9"/>
    </row>
    <row r="57" spans="1:20" s="87" customFormat="1" ht="15" customHeight="1" x14ac:dyDescent="0.25">
      <c r="B57" s="2">
        <f t="shared" si="3"/>
        <v>2039</v>
      </c>
      <c r="C57" s="525">
        <f>VLOOKUP($B57,'Capital Costs'!$B$9:$D$32,'Capital Costs'!$C$1,FALSE)</f>
        <v>0</v>
      </c>
      <c r="D57" s="236">
        <f>C57*(1+0.07)^-(B57-Assumptions!$C$6)</f>
        <v>0</v>
      </c>
      <c r="E57" s="9"/>
      <c r="F57"/>
      <c r="H57" s="433"/>
      <c r="K57"/>
      <c r="L57"/>
      <c r="M57" s="9"/>
      <c r="N57" s="81"/>
    </row>
    <row r="58" spans="1:20" s="87" customFormat="1" ht="15" customHeight="1" x14ac:dyDescent="0.25">
      <c r="B58" s="2">
        <f t="shared" si="3"/>
        <v>2040</v>
      </c>
      <c r="C58" s="525">
        <f>VLOOKUP($B58,'Capital Costs'!$B$9:$D$32,'Capital Costs'!$C$1,FALSE)</f>
        <v>0</v>
      </c>
      <c r="D58" s="236">
        <f>C58*(1+0.07)^-(B58-Assumptions!$C$6)</f>
        <v>0</v>
      </c>
      <c r="E58" s="9"/>
      <c r="F58"/>
      <c r="H58" s="433"/>
      <c r="K58"/>
      <c r="L58"/>
    </row>
    <row r="59" spans="1:20" s="87" customFormat="1" ht="15" customHeight="1" x14ac:dyDescent="0.25">
      <c r="A59" s="6"/>
      <c r="B59" s="2">
        <f t="shared" si="3"/>
        <v>2041</v>
      </c>
      <c r="C59" s="525">
        <f>VLOOKUP($B59,'Capital Costs'!$B$9:$D$32,'Capital Costs'!$C$1,FALSE)</f>
        <v>0</v>
      </c>
      <c r="D59" s="236">
        <f>C59*(1+0.07)^-(B59-Assumptions!$C$6)</f>
        <v>0</v>
      </c>
      <c r="E59" s="9"/>
      <c r="F59"/>
      <c r="H59" s="433"/>
      <c r="K59"/>
      <c r="L59"/>
    </row>
    <row r="60" spans="1:20" s="87" customFormat="1" x14ac:dyDescent="0.25">
      <c r="B60" s="2">
        <f t="shared" si="3"/>
        <v>2042</v>
      </c>
      <c r="C60" s="525">
        <f>VLOOKUP($B60,'Capital Costs'!$B$9:$D$32,'Capital Costs'!$C$1,FALSE)</f>
        <v>0</v>
      </c>
      <c r="D60" s="236">
        <f>C60*(1+0.07)^-(B60-Assumptions!$C$6)</f>
        <v>0</v>
      </c>
      <c r="E60" s="9"/>
      <c r="H60" s="433"/>
    </row>
    <row r="61" spans="1:20" s="87" customFormat="1" x14ac:dyDescent="0.25">
      <c r="B61" s="2">
        <f t="shared" si="3"/>
        <v>2043</v>
      </c>
      <c r="C61" s="525">
        <f>VLOOKUP($B61,'Capital Costs'!$B$9:$D$32,'Capital Costs'!$C$1,FALSE)</f>
        <v>0</v>
      </c>
      <c r="D61" s="236">
        <f>C61*(1+0.07)^-(B61-Assumptions!$C$6)</f>
        <v>0</v>
      </c>
      <c r="E61" s="9"/>
      <c r="F61"/>
      <c r="H61" s="433"/>
      <c r="K61"/>
      <c r="L61"/>
    </row>
    <row r="62" spans="1:20" s="87" customFormat="1" ht="15.75" thickBot="1" x14ac:dyDescent="0.3">
      <c r="B62" s="3">
        <f t="shared" si="3"/>
        <v>2044</v>
      </c>
      <c r="C62" s="526">
        <f>VLOOKUP($B62,'Capital Costs'!$B$9:$D$32,'Capital Costs'!$C$1,FALSE)</f>
        <v>0</v>
      </c>
      <c r="D62" s="198">
        <f>C62*(1+0.07)^-(B62-Assumptions!$C$6)</f>
        <v>0</v>
      </c>
      <c r="E62" s="9"/>
      <c r="F62"/>
      <c r="H62" s="433"/>
      <c r="K62"/>
      <c r="L62"/>
    </row>
    <row r="63" spans="1:20" s="87" customFormat="1" ht="15.75" thickBot="1" x14ac:dyDescent="0.3">
      <c r="B63"/>
      <c r="C63" s="120" t="s">
        <v>4</v>
      </c>
      <c r="D63" s="237">
        <f>SUM(D41:D62)</f>
        <v>35520031.532553911</v>
      </c>
      <c r="E63" s="59"/>
      <c r="F63" s="59"/>
      <c r="G63" s="59"/>
      <c r="H63" s="59"/>
      <c r="I63" s="59"/>
      <c r="J63" s="59"/>
      <c r="K63"/>
    </row>
    <row r="64" spans="1:20" s="87" customFormat="1" x14ac:dyDescent="0.25">
      <c r="B64"/>
      <c r="C64"/>
      <c r="D64" s="238">
        <f>'Capital Costs'!D32</f>
        <v>35520031.532553911</v>
      </c>
      <c r="E64" s="59"/>
      <c r="F64" s="60"/>
      <c r="G64" s="60"/>
      <c r="H64" s="60"/>
      <c r="I64" s="60"/>
      <c r="J64" s="59"/>
      <c r="K64"/>
    </row>
    <row r="65" spans="2:15" s="87" customFormat="1" ht="15.75" x14ac:dyDescent="0.25">
      <c r="B65" s="13" t="s">
        <v>26</v>
      </c>
      <c r="C65" s="13"/>
      <c r="D65" s="60"/>
      <c r="E65" s="60"/>
      <c r="F65" s="60"/>
      <c r="G65" s="60"/>
      <c r="H65" s="60"/>
      <c r="I65" s="60"/>
      <c r="J65"/>
    </row>
    <row r="66" spans="2:15" s="87" customFormat="1" ht="15.75" thickBot="1" x14ac:dyDescent="0.3">
      <c r="B66"/>
      <c r="C66"/>
      <c r="D66"/>
      <c r="E66"/>
      <c r="F66" s="68"/>
      <c r="H66" s="433"/>
      <c r="I66"/>
      <c r="K66"/>
      <c r="L66"/>
    </row>
    <row r="67" spans="2:15" s="87" customFormat="1" ht="15.75" thickBot="1" x14ac:dyDescent="0.3">
      <c r="B67" s="16"/>
      <c r="C67" s="204" t="s">
        <v>54</v>
      </c>
      <c r="D67" s="62"/>
      <c r="E67"/>
      <c r="F67" s="68"/>
      <c r="H67" s="433"/>
      <c r="I67"/>
      <c r="K67"/>
      <c r="L67"/>
    </row>
    <row r="68" spans="2:15" s="87" customFormat="1" x14ac:dyDescent="0.25">
      <c r="B68" s="17" t="s">
        <v>22</v>
      </c>
      <c r="C68" s="205">
        <f>L32</f>
        <v>107813658.04560727</v>
      </c>
      <c r="E68"/>
      <c r="F68" s="68"/>
      <c r="H68" s="433"/>
      <c r="I68"/>
      <c r="K68"/>
      <c r="L68"/>
    </row>
    <row r="69" spans="2:15" ht="15.75" thickBot="1" x14ac:dyDescent="0.3">
      <c r="B69" s="18" t="s">
        <v>23</v>
      </c>
      <c r="C69" s="206">
        <f>+D63</f>
        <v>35520031.532553911</v>
      </c>
    </row>
    <row r="70" spans="2:15" ht="15.75" thickTop="1" x14ac:dyDescent="0.25">
      <c r="B70" s="192" t="s">
        <v>24</v>
      </c>
      <c r="C70" s="193">
        <f>+C68/C69</f>
        <v>3.0352917324072939</v>
      </c>
      <c r="M70"/>
    </row>
    <row r="71" spans="2:15" ht="15.75" thickBot="1" x14ac:dyDescent="0.3">
      <c r="B71" s="194" t="s">
        <v>101</v>
      </c>
      <c r="C71" s="195">
        <f>C68-C69</f>
        <v>72293626.513053358</v>
      </c>
      <c r="M71"/>
    </row>
    <row r="72" spans="2:15" x14ac:dyDescent="0.25">
      <c r="M72"/>
    </row>
    <row r="73" spans="2:15" x14ac:dyDescent="0.25">
      <c r="M73" s="61"/>
    </row>
    <row r="74" spans="2:15" x14ac:dyDescent="0.25">
      <c r="M74"/>
      <c r="N74" s="15"/>
    </row>
    <row r="75" spans="2:15" x14ac:dyDescent="0.25">
      <c r="M75" s="15"/>
      <c r="N75" s="14"/>
      <c r="O75" s="15"/>
    </row>
    <row r="76" spans="2:15" x14ac:dyDescent="0.25">
      <c r="M76"/>
      <c r="N76" s="15"/>
    </row>
    <row r="77" spans="2:15" x14ac:dyDescent="0.25">
      <c r="M77" s="15"/>
      <c r="N77" s="14"/>
      <c r="O77" s="15"/>
    </row>
    <row r="78" spans="2:15" x14ac:dyDescent="0.25">
      <c r="N78" s="14"/>
      <c r="O78" s="15"/>
    </row>
  </sheetData>
  <mergeCells count="17">
    <mergeCell ref="B38:B39"/>
    <mergeCell ref="C38:C39"/>
    <mergeCell ref="D5:D6"/>
    <mergeCell ref="F5:F6"/>
    <mergeCell ref="B5:B6"/>
    <mergeCell ref="E5:E6"/>
    <mergeCell ref="C5:C6"/>
    <mergeCell ref="K5:K6"/>
    <mergeCell ref="L5:L6"/>
    <mergeCell ref="I5:I6"/>
    <mergeCell ref="C4:D4"/>
    <mergeCell ref="D38:D39"/>
    <mergeCell ref="I4:J4"/>
    <mergeCell ref="J5:J6"/>
    <mergeCell ref="G5:G6"/>
    <mergeCell ref="F4:G4"/>
    <mergeCell ref="H5:H6"/>
  </mergeCells>
  <pageMargins left="0.25" right="0.25" top="0.75" bottom="0.75" header="0.3" footer="0.3"/>
  <pageSetup paperSize="119"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K58"/>
  <sheetViews>
    <sheetView view="pageBreakPreview" zoomScale="85" zoomScaleNormal="85" zoomScaleSheetLayoutView="85" workbookViewId="0">
      <selection activeCell="B39" sqref="B39"/>
    </sheetView>
  </sheetViews>
  <sheetFormatPr defaultColWidth="9.140625" defaultRowHeight="15" x14ac:dyDescent="0.25"/>
  <cols>
    <col min="1" max="1" width="5.7109375" style="19" customWidth="1"/>
    <col min="2" max="2" width="16.140625" style="19" customWidth="1"/>
    <col min="3" max="5" width="15.85546875" style="19" customWidth="1"/>
    <col min="6" max="6" width="15.28515625" style="19" customWidth="1"/>
    <col min="7" max="8" width="15.85546875" style="19" customWidth="1"/>
    <col min="9" max="11" width="15.7109375" style="19" customWidth="1"/>
    <col min="12" max="16384" width="9.140625" style="19"/>
  </cols>
  <sheetData>
    <row r="1" spans="2:11" x14ac:dyDescent="0.25">
      <c r="B1" s="19">
        <v>1</v>
      </c>
      <c r="C1" s="19">
        <f>B1+1</f>
        <v>2</v>
      </c>
      <c r="D1" s="19">
        <f t="shared" ref="D1:K1" si="0">C1+1</f>
        <v>3</v>
      </c>
      <c r="E1" s="19">
        <f t="shared" si="0"/>
        <v>4</v>
      </c>
      <c r="F1" s="19">
        <f t="shared" si="0"/>
        <v>5</v>
      </c>
      <c r="G1" s="19">
        <f t="shared" si="0"/>
        <v>6</v>
      </c>
      <c r="H1" s="19">
        <f t="shared" si="0"/>
        <v>7</v>
      </c>
      <c r="I1" s="19">
        <f t="shared" si="0"/>
        <v>8</v>
      </c>
      <c r="J1" s="19">
        <f t="shared" si="0"/>
        <v>9</v>
      </c>
      <c r="K1" s="19">
        <f t="shared" si="0"/>
        <v>10</v>
      </c>
    </row>
    <row r="2" spans="2:11" x14ac:dyDescent="0.25">
      <c r="B2" s="106"/>
      <c r="C2" s="574" t="s">
        <v>83</v>
      </c>
      <c r="D2" s="574"/>
      <c r="E2" s="574"/>
      <c r="F2" s="574" t="s">
        <v>69</v>
      </c>
      <c r="G2" s="574"/>
      <c r="H2" s="574"/>
      <c r="I2" s="574" t="s">
        <v>121</v>
      </c>
      <c r="J2" s="574"/>
      <c r="K2" s="574"/>
    </row>
    <row r="3" spans="2:11" x14ac:dyDescent="0.25">
      <c r="B3" s="106"/>
      <c r="C3" s="130" t="s">
        <v>42</v>
      </c>
      <c r="D3" s="130" t="s">
        <v>43</v>
      </c>
      <c r="E3" s="130" t="s">
        <v>70</v>
      </c>
      <c r="F3" s="130" t="s">
        <v>42</v>
      </c>
      <c r="G3" s="130" t="s">
        <v>43</v>
      </c>
      <c r="H3" s="130" t="s">
        <v>70</v>
      </c>
      <c r="I3" s="216" t="s">
        <v>42</v>
      </c>
      <c r="J3" s="216" t="s">
        <v>43</v>
      </c>
      <c r="K3" s="216" t="s">
        <v>70</v>
      </c>
    </row>
    <row r="4" spans="2:11" x14ac:dyDescent="0.25">
      <c r="B4" s="168" t="s">
        <v>92</v>
      </c>
      <c r="C4" s="130" t="s">
        <v>45</v>
      </c>
      <c r="D4" s="130" t="s">
        <v>45</v>
      </c>
      <c r="E4" s="130" t="s">
        <v>45</v>
      </c>
      <c r="F4" s="130" t="s">
        <v>45</v>
      </c>
      <c r="G4" s="130" t="s">
        <v>45</v>
      </c>
      <c r="H4" s="130" t="s">
        <v>45</v>
      </c>
      <c r="I4" s="216" t="s">
        <v>45</v>
      </c>
      <c r="J4" s="216" t="s">
        <v>45</v>
      </c>
      <c r="K4" s="216" t="s">
        <v>45</v>
      </c>
    </row>
    <row r="5" spans="2:11" x14ac:dyDescent="0.25">
      <c r="B5" s="131">
        <v>2014</v>
      </c>
      <c r="C5" s="165">
        <f>'VMT-VHT'!D13</f>
        <v>10717652.65</v>
      </c>
      <c r="D5" s="165">
        <f>'VMT-VHT'!G13</f>
        <v>10725515.289999999</v>
      </c>
      <c r="E5" s="165">
        <f>C5-D5</f>
        <v>-7862.6399999987334</v>
      </c>
      <c r="F5" s="165">
        <f>[3]Sheet1!$G$12</f>
        <v>252337.24</v>
      </c>
      <c r="G5" s="165">
        <f>[3]Sheet1!$J$12</f>
        <v>252222.31</v>
      </c>
      <c r="H5" s="165">
        <f>F5-G5</f>
        <v>114.92999999999302</v>
      </c>
      <c r="I5" s="165">
        <f>[4]Sheet1!$I$41/0.6/0.4</f>
        <v>1032.0763888888889</v>
      </c>
      <c r="J5" s="165">
        <f>[4]Sheet1!$I$42/0.6/0.4</f>
        <v>683.00578703703707</v>
      </c>
      <c r="K5" s="165">
        <f>I5-J5</f>
        <v>349.07060185185185</v>
      </c>
    </row>
    <row r="6" spans="2:11" x14ac:dyDescent="0.25">
      <c r="B6" s="131">
        <v>2040</v>
      </c>
      <c r="C6" s="165">
        <f>'VMT-VHT'!D27</f>
        <v>12911061.779999999</v>
      </c>
      <c r="D6" s="165">
        <f>'VMT-VHT'!G27</f>
        <v>12914556.449999997</v>
      </c>
      <c r="E6" s="165">
        <f>C6-D6</f>
        <v>-3494.6699999980628</v>
      </c>
      <c r="F6" s="165">
        <f>[3]Sheet1!$G$26</f>
        <v>325154.25</v>
      </c>
      <c r="G6" s="165">
        <f>[3]Sheet1!$J$26</f>
        <v>324738.5</v>
      </c>
      <c r="H6" s="165">
        <f>F6-G6</f>
        <v>415.75</v>
      </c>
      <c r="I6" s="165">
        <f>[4]Sheet1!$I$41/0.6/0.4</f>
        <v>1032.0763888888889</v>
      </c>
      <c r="J6" s="165">
        <f>[4]Sheet1!$I$42/0.6/0.4</f>
        <v>683.00578703703707</v>
      </c>
      <c r="K6" s="165">
        <f>I6-J6</f>
        <v>349.07060185185185</v>
      </c>
    </row>
    <row r="7" spans="2:11" x14ac:dyDescent="0.25">
      <c r="B7" s="132" t="s">
        <v>71</v>
      </c>
      <c r="C7" s="186">
        <f>((C6-C5)/C5)/($B6-$B5)</f>
        <v>7.8713028281789457E-3</v>
      </c>
      <c r="D7" s="186">
        <f t="shared" ref="D7:H7" si="1">((D6-D5)/D5)/($B6-$B5)</f>
        <v>7.8498690732117463E-3</v>
      </c>
      <c r="E7" s="186">
        <f t="shared" si="1"/>
        <v>-2.1366722392720385E-2</v>
      </c>
      <c r="F7" s="186">
        <f t="shared" si="1"/>
        <v>1.1098854179308735E-2</v>
      </c>
      <c r="G7" s="186">
        <f t="shared" si="1"/>
        <v>1.1058039357300434E-2</v>
      </c>
      <c r="H7" s="186">
        <f t="shared" si="1"/>
        <v>0.1006699730270684</v>
      </c>
      <c r="I7" s="186">
        <f t="shared" ref="I7:K7" si="2">((I6-I5)/I5)/($B6-$B5)</f>
        <v>0</v>
      </c>
      <c r="J7" s="186">
        <f t="shared" si="2"/>
        <v>0</v>
      </c>
      <c r="K7" s="186">
        <f t="shared" si="2"/>
        <v>0</v>
      </c>
    </row>
    <row r="8" spans="2:11" x14ac:dyDescent="0.25">
      <c r="B8" s="5" t="s">
        <v>72</v>
      </c>
      <c r="C8" s="21"/>
      <c r="H8" s="21"/>
    </row>
    <row r="9" spans="2:11" ht="19.5" thickBot="1" x14ac:dyDescent="0.35">
      <c r="C9" s="188"/>
      <c r="D9" s="188"/>
      <c r="E9" s="188"/>
      <c r="F9" s="188"/>
      <c r="G9" s="188"/>
      <c r="H9" s="188"/>
    </row>
    <row r="10" spans="2:11" ht="35.1" customHeight="1" thickBot="1" x14ac:dyDescent="0.3">
      <c r="B10" s="568" t="s">
        <v>0</v>
      </c>
      <c r="C10" s="571" t="s">
        <v>122</v>
      </c>
      <c r="D10" s="572"/>
      <c r="E10" s="573"/>
      <c r="F10" s="571" t="s">
        <v>123</v>
      </c>
      <c r="G10" s="572"/>
      <c r="H10" s="573"/>
      <c r="I10" s="571" t="s">
        <v>124</v>
      </c>
      <c r="J10" s="572"/>
      <c r="K10" s="573"/>
    </row>
    <row r="11" spans="2:11" ht="35.1" customHeight="1" x14ac:dyDescent="0.25">
      <c r="B11" s="569"/>
      <c r="C11" s="568" t="s">
        <v>42</v>
      </c>
      <c r="D11" s="568" t="s">
        <v>43</v>
      </c>
      <c r="E11" s="568" t="s">
        <v>73</v>
      </c>
      <c r="F11" s="568" t="s">
        <v>42</v>
      </c>
      <c r="G11" s="568" t="s">
        <v>43</v>
      </c>
      <c r="H11" s="568" t="s">
        <v>73</v>
      </c>
      <c r="I11" s="568" t="s">
        <v>42</v>
      </c>
      <c r="J11" s="568" t="s">
        <v>43</v>
      </c>
      <c r="K11" s="568" t="s">
        <v>73</v>
      </c>
    </row>
    <row r="12" spans="2:11" ht="35.1" customHeight="1" thickBot="1" x14ac:dyDescent="0.3">
      <c r="B12" s="570"/>
      <c r="C12" s="570"/>
      <c r="D12" s="570"/>
      <c r="E12" s="570"/>
      <c r="F12" s="570"/>
      <c r="G12" s="570"/>
      <c r="H12" s="570"/>
      <c r="I12" s="570"/>
      <c r="J12" s="570"/>
      <c r="K12" s="570"/>
    </row>
    <row r="13" spans="2:11" x14ac:dyDescent="0.25">
      <c r="B13" s="22">
        <f>Assumptions!C10</f>
        <v>2025</v>
      </c>
      <c r="C13" s="114">
        <f>TREND(C$5:C$6,$B$5:$B$6,$B13)*Assumptions!$C$13</f>
        <v>4250656204.055769</v>
      </c>
      <c r="D13" s="114">
        <f>TREND(D$5:D$6,$B$5:$B$6,$B13)*Assumptions!$C$13</f>
        <v>4252851552.288465</v>
      </c>
      <c r="E13" s="107">
        <f t="shared" ref="E13:E32" si="3">D13-C13</f>
        <v>2195348.2326960564</v>
      </c>
      <c r="F13" s="114">
        <f>TREND(F$5:F$6,$B$5:$B$6,$B13)*Assumptions!$C$13</f>
        <v>103347719.33653848</v>
      </c>
      <c r="G13" s="114">
        <f>TREND(G$5:G$6,$B$5:$B$6,$B13)*Assumptions!$C$13</f>
        <v>103259316.33653876</v>
      </c>
      <c r="H13" s="107">
        <f t="shared" ref="H13:H32" si="4">G13-F13</f>
        <v>-88402.999999716878</v>
      </c>
      <c r="I13" s="114">
        <f>TREND(I$5:I$6,$B$5:$B$6,$B13)*Assumptions!$C$13</f>
        <v>376707.88194444444</v>
      </c>
      <c r="J13" s="114">
        <f>TREND(J$5:J$6,$B$5:$B$6,$B13)*Assumptions!$C$13</f>
        <v>249297.11226851854</v>
      </c>
      <c r="K13" s="107">
        <f t="shared" ref="K13:K32" si="5">J13-I13</f>
        <v>-127410.7696759259</v>
      </c>
    </row>
    <row r="14" spans="2:11" x14ac:dyDescent="0.25">
      <c r="B14" s="23">
        <f>B13+1</f>
        <v>2026</v>
      </c>
      <c r="C14" s="162">
        <f>TREND(C$5:C$6,$B$5:$B$6,$B14)*Assumptions!$C$13</f>
        <v>4281448293.7653852</v>
      </c>
      <c r="D14" s="164">
        <f>TREND(D$5:D$6,$B$5:$B$6,$B14)*Assumptions!$C$13</f>
        <v>4283582322.4192281</v>
      </c>
      <c r="E14" s="163">
        <f t="shared" si="3"/>
        <v>2134028.653842926</v>
      </c>
      <c r="F14" s="163">
        <f>TREND(F$5:F$6,$B$5:$B$6,$B14)*Assumptions!$C$13</f>
        <v>104369958.13076943</v>
      </c>
      <c r="G14" s="163">
        <f>TREND(G$5:G$6,$B$5:$B$6,$B14)*Assumptions!$C$13</f>
        <v>104277332.0807696</v>
      </c>
      <c r="H14" s="163">
        <f t="shared" si="4"/>
        <v>-92626.049999833107</v>
      </c>
      <c r="I14" s="163">
        <f>TREND(I$5:I$6,$B$5:$B$6,$B14)*Assumptions!$C$13</f>
        <v>376707.88194444444</v>
      </c>
      <c r="J14" s="163">
        <f>TREND(J$5:J$6,$B$5:$B$6,$B14)*Assumptions!$C$13</f>
        <v>249297.11226851854</v>
      </c>
      <c r="K14" s="163">
        <f t="shared" si="5"/>
        <v>-127410.7696759259</v>
      </c>
    </row>
    <row r="15" spans="2:11" x14ac:dyDescent="0.25">
      <c r="B15" s="23">
        <f t="shared" ref="B15:B32" si="6">B14+1</f>
        <v>2027</v>
      </c>
      <c r="C15" s="162">
        <f>TREND(C$5:C$6,$B$5:$B$6,$B15)*Assumptions!$C$13</f>
        <v>4312240383.4750013</v>
      </c>
      <c r="D15" s="164">
        <f>TREND(D$5:D$6,$B$5:$B$6,$B15)*Assumptions!$C$13</f>
        <v>4314313092.5500021</v>
      </c>
      <c r="E15" s="163">
        <f t="shared" si="3"/>
        <v>2072709.0750007629</v>
      </c>
      <c r="F15" s="163">
        <f>TREND(F$5:F$6,$B$5:$B$6,$B15)*Assumptions!$C$13</f>
        <v>105392196.92500004</v>
      </c>
      <c r="G15" s="163">
        <f>TREND(G$5:G$6,$B$5:$B$6,$B15)*Assumptions!$C$13</f>
        <v>105295347.82500009</v>
      </c>
      <c r="H15" s="163">
        <f t="shared" si="4"/>
        <v>-96849.099999949336</v>
      </c>
      <c r="I15" s="163">
        <f>TREND(I$5:I$6,$B$5:$B$6,$B15)*Assumptions!$C$13</f>
        <v>376707.88194444444</v>
      </c>
      <c r="J15" s="163">
        <f>TREND(J$5:J$6,$B$5:$B$6,$B15)*Assumptions!$C$13</f>
        <v>249297.11226851854</v>
      </c>
      <c r="K15" s="163">
        <f t="shared" si="5"/>
        <v>-127410.7696759259</v>
      </c>
    </row>
    <row r="16" spans="2:11" x14ac:dyDescent="0.25">
      <c r="B16" s="23">
        <f t="shared" si="6"/>
        <v>2028</v>
      </c>
      <c r="C16" s="162">
        <f>TREND(C$5:C$6,$B$5:$B$6,$B16)*Assumptions!$C$13</f>
        <v>4343032473.1846066</v>
      </c>
      <c r="D16" s="164">
        <f>TREND(D$5:D$6,$B$5:$B$6,$B16)*Assumptions!$C$13</f>
        <v>4345043862.6807642</v>
      </c>
      <c r="E16" s="163">
        <f t="shared" si="3"/>
        <v>2011389.4961576462</v>
      </c>
      <c r="F16" s="163">
        <f>TREND(F$5:F$6,$B$5:$B$6,$B16)*Assumptions!$C$13</f>
        <v>106414435.71923099</v>
      </c>
      <c r="G16" s="163">
        <f>TREND(G$5:G$6,$B$5:$B$6,$B16)*Assumptions!$C$13</f>
        <v>106313363.56923093</v>
      </c>
      <c r="H16" s="163">
        <f t="shared" si="4"/>
        <v>-101072.15000006557</v>
      </c>
      <c r="I16" s="163">
        <f>TREND(I$5:I$6,$B$5:$B$6,$B16)*Assumptions!$C$13</f>
        <v>376707.88194444444</v>
      </c>
      <c r="J16" s="163">
        <f>TREND(J$5:J$6,$B$5:$B$6,$B16)*Assumptions!$C$13</f>
        <v>249297.11226851854</v>
      </c>
      <c r="K16" s="163">
        <f t="shared" si="5"/>
        <v>-127410.7696759259</v>
      </c>
    </row>
    <row r="17" spans="2:11" x14ac:dyDescent="0.25">
      <c r="B17" s="23">
        <f t="shared" si="6"/>
        <v>2029</v>
      </c>
      <c r="C17" s="162">
        <f>TREND(C$5:C$6,$B$5:$B$6,$B17)*Assumptions!$C$13</f>
        <v>4373824562.8942223</v>
      </c>
      <c r="D17" s="164">
        <f>TREND(D$5:D$6,$B$5:$B$6,$B17)*Assumptions!$C$13</f>
        <v>4375774632.8115387</v>
      </c>
      <c r="E17" s="163">
        <f t="shared" si="3"/>
        <v>1950069.9173164368</v>
      </c>
      <c r="F17" s="163">
        <f>TREND(F$5:F$6,$B$5:$B$6,$B17)*Assumptions!$C$13</f>
        <v>107436674.5134616</v>
      </c>
      <c r="G17" s="163">
        <f>TREND(G$5:G$6,$B$5:$B$6,$B17)*Assumptions!$C$13</f>
        <v>107331379.31346178</v>
      </c>
      <c r="H17" s="163">
        <f t="shared" si="4"/>
        <v>-105295.19999982417</v>
      </c>
      <c r="I17" s="163">
        <f>TREND(I$5:I$6,$B$5:$B$6,$B17)*Assumptions!$C$13</f>
        <v>376707.88194444444</v>
      </c>
      <c r="J17" s="163">
        <f>TREND(J$5:J$6,$B$5:$B$6,$B17)*Assumptions!$C$13</f>
        <v>249297.11226851854</v>
      </c>
      <c r="K17" s="163">
        <f t="shared" si="5"/>
        <v>-127410.7696759259</v>
      </c>
    </row>
    <row r="18" spans="2:11" x14ac:dyDescent="0.25">
      <c r="B18" s="23">
        <f t="shared" si="6"/>
        <v>2030</v>
      </c>
      <c r="C18" s="162">
        <f>TREND(C$5:C$6,$B$5:$B$6,$B18)*Assumptions!$C$13</f>
        <v>4404616652.6038389</v>
      </c>
      <c r="D18" s="164">
        <f>TREND(D$5:D$6,$B$5:$B$6,$B18)*Assumptions!$C$13</f>
        <v>4406505402.9423122</v>
      </c>
      <c r="E18" s="163">
        <f t="shared" si="3"/>
        <v>1888750.33847332</v>
      </c>
      <c r="F18" s="163">
        <f>TREND(F$5:F$6,$B$5:$B$6,$B18)*Assumptions!$C$13</f>
        <v>108458913.30769254</v>
      </c>
      <c r="G18" s="163">
        <f>TREND(G$5:G$6,$B$5:$B$6,$B18)*Assumptions!$C$13</f>
        <v>108349395.05769262</v>
      </c>
      <c r="H18" s="163">
        <f t="shared" si="4"/>
        <v>-109518.24999992549</v>
      </c>
      <c r="I18" s="163">
        <f>TREND(I$5:I$6,$B$5:$B$6,$B18)*Assumptions!$C$13</f>
        <v>376707.88194444444</v>
      </c>
      <c r="J18" s="163">
        <f>TREND(J$5:J$6,$B$5:$B$6,$B18)*Assumptions!$C$13</f>
        <v>249297.11226851854</v>
      </c>
      <c r="K18" s="163">
        <f t="shared" si="5"/>
        <v>-127410.7696759259</v>
      </c>
    </row>
    <row r="19" spans="2:11" x14ac:dyDescent="0.25">
      <c r="B19" s="23">
        <f>B18+1</f>
        <v>2031</v>
      </c>
      <c r="C19" s="162">
        <f>TREND(C$5:C$6,$B$5:$B$6,$B19)*Assumptions!$C$13</f>
        <v>4435408742.3134546</v>
      </c>
      <c r="D19" s="164">
        <f>TREND(D$5:D$6,$B$5:$B$6,$B19)*Assumptions!$C$13</f>
        <v>4437236173.0730753</v>
      </c>
      <c r="E19" s="163">
        <f t="shared" si="3"/>
        <v>1827430.7596206665</v>
      </c>
      <c r="F19" s="163">
        <f>TREND(F$5:F$6,$B$5:$B$6,$B19)*Assumptions!$C$13</f>
        <v>109481152.10192315</v>
      </c>
      <c r="G19" s="163">
        <f>TREND(G$5:G$6,$B$5:$B$6,$B19)*Assumptions!$C$13</f>
        <v>109367410.80192345</v>
      </c>
      <c r="H19" s="163">
        <f t="shared" si="4"/>
        <v>-113741.299999699</v>
      </c>
      <c r="I19" s="163">
        <f>TREND(I$5:I$6,$B$5:$B$6,$B19)*Assumptions!$C$13</f>
        <v>376707.88194444444</v>
      </c>
      <c r="J19" s="163">
        <f>TREND(J$5:J$6,$B$5:$B$6,$B19)*Assumptions!$C$13</f>
        <v>249297.11226851854</v>
      </c>
      <c r="K19" s="163">
        <f t="shared" si="5"/>
        <v>-127410.7696759259</v>
      </c>
    </row>
    <row r="20" spans="2:11" x14ac:dyDescent="0.25">
      <c r="B20" s="23">
        <f t="shared" si="6"/>
        <v>2032</v>
      </c>
      <c r="C20" s="162">
        <f>TREND(C$5:C$6,$B$5:$B$6,$B20)*Assumptions!$C$13</f>
        <v>4466200832.0230713</v>
      </c>
      <c r="D20" s="164">
        <f>TREND(D$5:D$6,$B$5:$B$6,$B20)*Assumptions!$C$13</f>
        <v>4467966943.2038488</v>
      </c>
      <c r="E20" s="163">
        <f t="shared" si="3"/>
        <v>1766111.1807775497</v>
      </c>
      <c r="F20" s="163">
        <f>TREND(F$5:F$6,$B$5:$B$6,$B20)*Assumptions!$C$13</f>
        <v>110503390.89615376</v>
      </c>
      <c r="G20" s="163">
        <f>TREND(G$5:G$6,$B$5:$B$6,$B20)*Assumptions!$C$13</f>
        <v>110385426.54615396</v>
      </c>
      <c r="H20" s="163">
        <f t="shared" si="4"/>
        <v>-117964.34999980032</v>
      </c>
      <c r="I20" s="163">
        <f>TREND(I$5:I$6,$B$5:$B$6,$B20)*Assumptions!$C$13</f>
        <v>376707.88194444444</v>
      </c>
      <c r="J20" s="163">
        <f>TREND(J$5:J$6,$B$5:$B$6,$B20)*Assumptions!$C$13</f>
        <v>249297.11226851854</v>
      </c>
      <c r="K20" s="163">
        <f t="shared" si="5"/>
        <v>-127410.7696759259</v>
      </c>
    </row>
    <row r="21" spans="2:11" x14ac:dyDescent="0.25">
      <c r="B21" s="23">
        <f t="shared" si="6"/>
        <v>2033</v>
      </c>
      <c r="C21" s="162">
        <f>TREND(C$5:C$6,$B$5:$B$6,$B21)*Assumptions!$C$13</f>
        <v>4496992921.732687</v>
      </c>
      <c r="D21" s="164">
        <f>TREND(D$5:D$6,$B$5:$B$6,$B21)*Assumptions!$C$13</f>
        <v>4498697713.3346119</v>
      </c>
      <c r="E21" s="163">
        <f t="shared" si="3"/>
        <v>1704791.6019248962</v>
      </c>
      <c r="F21" s="163">
        <f>TREND(F$5:F$6,$B$5:$B$6,$B21)*Assumptions!$C$13</f>
        <v>111525629.69038472</v>
      </c>
      <c r="G21" s="163">
        <f>TREND(G$5:G$6,$B$5:$B$6,$B21)*Assumptions!$C$13</f>
        <v>111403442.2903848</v>
      </c>
      <c r="H21" s="163">
        <f t="shared" si="4"/>
        <v>-122187.39999991655</v>
      </c>
      <c r="I21" s="163">
        <f>TREND(I$5:I$6,$B$5:$B$6,$B21)*Assumptions!$C$13</f>
        <v>376707.88194444444</v>
      </c>
      <c r="J21" s="163">
        <f>TREND(J$5:J$6,$B$5:$B$6,$B21)*Assumptions!$C$13</f>
        <v>249297.11226851854</v>
      </c>
      <c r="K21" s="163">
        <f t="shared" si="5"/>
        <v>-127410.7696759259</v>
      </c>
    </row>
    <row r="22" spans="2:11" x14ac:dyDescent="0.25">
      <c r="B22" s="23">
        <f t="shared" si="6"/>
        <v>2034</v>
      </c>
      <c r="C22" s="162">
        <f>TREND(C$5:C$6,$B$5:$B$6,$B22)*Assumptions!$C$13</f>
        <v>4527785011.4423037</v>
      </c>
      <c r="D22" s="164">
        <f>TREND(D$5:D$6,$B$5:$B$6,$B22)*Assumptions!$C$13</f>
        <v>4529428483.4653854</v>
      </c>
      <c r="E22" s="163">
        <f t="shared" si="3"/>
        <v>1643472.0230817795</v>
      </c>
      <c r="F22" s="163">
        <f>TREND(F$5:F$6,$B$5:$B$6,$B22)*Assumptions!$C$13</f>
        <v>112547868.48461533</v>
      </c>
      <c r="G22" s="163">
        <f>TREND(G$5:G$6,$B$5:$B$6,$B22)*Assumptions!$C$13</f>
        <v>112421458.03461564</v>
      </c>
      <c r="H22" s="163">
        <f t="shared" si="4"/>
        <v>-126410.44999969006</v>
      </c>
      <c r="I22" s="163">
        <f>TREND(I$5:I$6,$B$5:$B$6,$B22)*Assumptions!$C$13</f>
        <v>376707.88194444444</v>
      </c>
      <c r="J22" s="163">
        <f>TREND(J$5:J$6,$B$5:$B$6,$B22)*Assumptions!$C$13</f>
        <v>249297.11226851854</v>
      </c>
      <c r="K22" s="163">
        <f t="shared" si="5"/>
        <v>-127410.7696759259</v>
      </c>
    </row>
    <row r="23" spans="2:11" x14ac:dyDescent="0.25">
      <c r="B23" s="23">
        <f t="shared" si="6"/>
        <v>2035</v>
      </c>
      <c r="C23" s="162">
        <f>TREND(C$5:C$6,$B$5:$B$6,$B23)*Assumptions!$C$13</f>
        <v>4558577101.1519194</v>
      </c>
      <c r="D23" s="164">
        <f>TREND(D$5:D$6,$B$5:$B$6,$B23)*Assumptions!$C$13</f>
        <v>4560159253.5961485</v>
      </c>
      <c r="E23" s="163">
        <f t="shared" si="3"/>
        <v>1582152.444229126</v>
      </c>
      <c r="F23" s="163">
        <f>TREND(F$5:F$6,$B$5:$B$6,$B23)*Assumptions!$C$13</f>
        <v>113570107.27884628</v>
      </c>
      <c r="G23" s="163">
        <f>TREND(G$5:G$6,$B$5:$B$6,$B23)*Assumptions!$C$13</f>
        <v>113439473.77884647</v>
      </c>
      <c r="H23" s="163">
        <f t="shared" si="4"/>
        <v>-130633.49999980628</v>
      </c>
      <c r="I23" s="163">
        <f>TREND(I$5:I$6,$B$5:$B$6,$B23)*Assumptions!$C$13</f>
        <v>376707.88194444444</v>
      </c>
      <c r="J23" s="163">
        <f>TREND(J$5:J$6,$B$5:$B$6,$B23)*Assumptions!$C$13</f>
        <v>249297.11226851854</v>
      </c>
      <c r="K23" s="163">
        <f t="shared" si="5"/>
        <v>-127410.7696759259</v>
      </c>
    </row>
    <row r="24" spans="2:11" x14ac:dyDescent="0.25">
      <c r="B24" s="23">
        <f t="shared" si="6"/>
        <v>2036</v>
      </c>
      <c r="C24" s="162">
        <f>TREND(C$5:C$6,$B$5:$B$6,$B24)*Assumptions!$C$13</f>
        <v>4589369190.861536</v>
      </c>
      <c r="D24" s="164">
        <f>TREND(D$5:D$6,$B$5:$B$6,$B24)*Assumptions!$C$13</f>
        <v>4590890023.726922</v>
      </c>
      <c r="E24" s="163">
        <f t="shared" si="3"/>
        <v>1520832.8653860092</v>
      </c>
      <c r="F24" s="163">
        <f>TREND(F$5:F$6,$B$5:$B$6,$B24)*Assumptions!$C$13</f>
        <v>114592346.07307689</v>
      </c>
      <c r="G24" s="163">
        <f>TREND(G$5:G$6,$B$5:$B$6,$B24)*Assumptions!$C$13</f>
        <v>114457489.52307732</v>
      </c>
      <c r="H24" s="163">
        <f t="shared" si="4"/>
        <v>-134856.54999956489</v>
      </c>
      <c r="I24" s="163">
        <f>TREND(I$5:I$6,$B$5:$B$6,$B24)*Assumptions!$C$13</f>
        <v>376707.88194444444</v>
      </c>
      <c r="J24" s="163">
        <f>TREND(J$5:J$6,$B$5:$B$6,$B24)*Assumptions!$C$13</f>
        <v>249297.11226851854</v>
      </c>
      <c r="K24" s="163">
        <f t="shared" si="5"/>
        <v>-127410.7696759259</v>
      </c>
    </row>
    <row r="25" spans="2:11" x14ac:dyDescent="0.25">
      <c r="B25" s="23">
        <f t="shared" si="6"/>
        <v>2037</v>
      </c>
      <c r="C25" s="162">
        <f>TREND(C$5:C$6,$B$5:$B$6,$B25)*Assumptions!$C$13</f>
        <v>4620161280.5711517</v>
      </c>
      <c r="D25" s="164">
        <f>TREND(D$5:D$6,$B$5:$B$6,$B25)*Assumptions!$C$13</f>
        <v>4621620793.8576965</v>
      </c>
      <c r="E25" s="163">
        <f t="shared" si="3"/>
        <v>1459513.2865447998</v>
      </c>
      <c r="F25" s="163">
        <f>TREND(F$5:F$6,$B$5:$B$6,$B25)*Assumptions!$C$13</f>
        <v>115614584.86730783</v>
      </c>
      <c r="G25" s="163">
        <f>TREND(G$5:G$6,$B$5:$B$6,$B25)*Assumptions!$C$13</f>
        <v>115475505.26730782</v>
      </c>
      <c r="H25" s="163">
        <f t="shared" si="4"/>
        <v>-139079.60000000894</v>
      </c>
      <c r="I25" s="163">
        <f>TREND(I$5:I$6,$B$5:$B$6,$B25)*Assumptions!$C$13</f>
        <v>376707.88194444444</v>
      </c>
      <c r="J25" s="163">
        <f>TREND(J$5:J$6,$B$5:$B$6,$B25)*Assumptions!$C$13</f>
        <v>249297.11226851854</v>
      </c>
      <c r="K25" s="163">
        <f t="shared" si="5"/>
        <v>-127410.7696759259</v>
      </c>
    </row>
    <row r="26" spans="2:11" x14ac:dyDescent="0.25">
      <c r="B26" s="23">
        <f t="shared" si="6"/>
        <v>2038</v>
      </c>
      <c r="C26" s="162">
        <f>TREND(C$5:C$6,$B$5:$B$6,$B26)*Assumptions!$C$13</f>
        <v>4650953370.2807684</v>
      </c>
      <c r="D26" s="164">
        <f>TREND(D$5:D$6,$B$5:$B$6,$B26)*Assumptions!$C$13</f>
        <v>4652351563.9884586</v>
      </c>
      <c r="E26" s="163">
        <f t="shared" si="3"/>
        <v>1398193.707690239</v>
      </c>
      <c r="F26" s="163">
        <f>TREND(F$5:F$6,$B$5:$B$6,$B26)*Assumptions!$C$13</f>
        <v>116636823.66153844</v>
      </c>
      <c r="G26" s="163">
        <f>TREND(G$5:G$6,$B$5:$B$6,$B26)*Assumptions!$C$13</f>
        <v>116493521.01153865</v>
      </c>
      <c r="H26" s="163">
        <f t="shared" si="4"/>
        <v>-143302.64999978244</v>
      </c>
      <c r="I26" s="163">
        <f>TREND(I$5:I$6,$B$5:$B$6,$B26)*Assumptions!$C$13</f>
        <v>376707.88194444444</v>
      </c>
      <c r="J26" s="163">
        <f>TREND(J$5:J$6,$B$5:$B$6,$B26)*Assumptions!$C$13</f>
        <v>249297.11226851854</v>
      </c>
      <c r="K26" s="163">
        <f t="shared" si="5"/>
        <v>-127410.7696759259</v>
      </c>
    </row>
    <row r="27" spans="2:11" x14ac:dyDescent="0.25">
      <c r="B27" s="23">
        <f t="shared" si="6"/>
        <v>2039</v>
      </c>
      <c r="C27" s="162">
        <f>TREND(C$5:C$6,$B$5:$B$6,$B27)*Assumptions!$C$13</f>
        <v>4681745459.9903841</v>
      </c>
      <c r="D27" s="164">
        <f>TREND(D$5:D$6,$B$5:$B$6,$B27)*Assumptions!$C$13</f>
        <v>4683082334.1192331</v>
      </c>
      <c r="E27" s="163">
        <f t="shared" si="3"/>
        <v>1336874.1288490295</v>
      </c>
      <c r="F27" s="163">
        <f>TREND(F$5:F$6,$B$5:$B$6,$B27)*Assumptions!$C$13</f>
        <v>117659062.45576939</v>
      </c>
      <c r="G27" s="163">
        <f>TREND(G$5:G$6,$B$5:$B$6,$B27)*Assumptions!$C$13</f>
        <v>117511536.75576951</v>
      </c>
      <c r="H27" s="163">
        <f t="shared" si="4"/>
        <v>-147525.69999988377</v>
      </c>
      <c r="I27" s="163">
        <f>TREND(I$5:I$6,$B$5:$B$6,$B27)*Assumptions!$C$13</f>
        <v>376707.88194444444</v>
      </c>
      <c r="J27" s="163">
        <f>TREND(J$5:J$6,$B$5:$B$6,$B27)*Assumptions!$C$13</f>
        <v>249297.11226851854</v>
      </c>
      <c r="K27" s="163">
        <f t="shared" si="5"/>
        <v>-127410.7696759259</v>
      </c>
    </row>
    <row r="28" spans="2:11" x14ac:dyDescent="0.25">
      <c r="B28" s="23">
        <f t="shared" si="6"/>
        <v>2040</v>
      </c>
      <c r="C28" s="162">
        <f>TREND(C$5:C$6,$B$5:$B$6,$B28)*Assumptions!$C$13</f>
        <v>4712537549.7000008</v>
      </c>
      <c r="D28" s="164">
        <f>TREND(D$5:D$6,$B$5:$B$6,$B28)*Assumptions!$C$13</f>
        <v>4713813104.2499952</v>
      </c>
      <c r="E28" s="163">
        <f t="shared" si="3"/>
        <v>1275554.5499944687</v>
      </c>
      <c r="F28" s="163">
        <f>TREND(F$5:F$6,$B$5:$B$6,$B28)*Assumptions!$C$13</f>
        <v>118681301.25</v>
      </c>
      <c r="G28" s="163">
        <f>TREND(G$5:G$6,$B$5:$B$6,$B28)*Assumptions!$C$13</f>
        <v>118529552.50000034</v>
      </c>
      <c r="H28" s="163">
        <f t="shared" si="4"/>
        <v>-151748.74999965727</v>
      </c>
      <c r="I28" s="163">
        <f>TREND(I$5:I$6,$B$5:$B$6,$B28)*Assumptions!$C$13</f>
        <v>376707.88194444444</v>
      </c>
      <c r="J28" s="163">
        <f>TREND(J$5:J$6,$B$5:$B$6,$B28)*Assumptions!$C$13</f>
        <v>249297.11226851854</v>
      </c>
      <c r="K28" s="163">
        <f t="shared" si="5"/>
        <v>-127410.7696759259</v>
      </c>
    </row>
    <row r="29" spans="2:11" x14ac:dyDescent="0.25">
      <c r="B29" s="23">
        <f t="shared" si="6"/>
        <v>2041</v>
      </c>
      <c r="C29" s="162">
        <f>TREND(C$5:C$6,$B$5:$B$6,$B29)*Assumptions!$C$13</f>
        <v>4743329639.4096165</v>
      </c>
      <c r="D29" s="164">
        <f>TREND(D$5:D$6,$B$5:$B$6,$B29)*Assumptions!$C$13</f>
        <v>4744543874.3807697</v>
      </c>
      <c r="E29" s="163">
        <f t="shared" si="3"/>
        <v>1214234.9711532593</v>
      </c>
      <c r="F29" s="163">
        <f>TREND(F$5:F$6,$B$5:$B$6,$B29)*Assumptions!$C$13</f>
        <v>119703540.04423095</v>
      </c>
      <c r="G29" s="163">
        <f>TREND(G$5:G$6,$B$5:$B$6,$B29)*Assumptions!$C$13</f>
        <v>119547568.24423084</v>
      </c>
      <c r="H29" s="163">
        <f t="shared" si="4"/>
        <v>-155971.80000011623</v>
      </c>
      <c r="I29" s="163">
        <f>TREND(I$5:I$6,$B$5:$B$6,$B29)*Assumptions!$C$13</f>
        <v>376707.88194444444</v>
      </c>
      <c r="J29" s="163">
        <f>TREND(J$5:J$6,$B$5:$B$6,$B29)*Assumptions!$C$13</f>
        <v>249297.11226851854</v>
      </c>
      <c r="K29" s="163">
        <f t="shared" si="5"/>
        <v>-127410.7696759259</v>
      </c>
    </row>
    <row r="30" spans="2:11" x14ac:dyDescent="0.25">
      <c r="B30" s="23">
        <f t="shared" si="6"/>
        <v>2042</v>
      </c>
      <c r="C30" s="162">
        <f>TREND(C$5:C$6,$B$5:$B$6,$B30)*Assumptions!$C$13</f>
        <v>4774121729.1192217</v>
      </c>
      <c r="D30" s="164">
        <f>TREND(D$5:D$6,$B$5:$B$6,$B30)*Assumptions!$C$13</f>
        <v>4775274644.5115433</v>
      </c>
      <c r="E30" s="163">
        <f t="shared" si="3"/>
        <v>1152915.3923215866</v>
      </c>
      <c r="F30" s="163">
        <f>TREND(F$5:F$6,$B$5:$B$6,$B30)*Assumptions!$C$13</f>
        <v>120725778.83846156</v>
      </c>
      <c r="G30" s="163">
        <f>TREND(G$5:G$6,$B$5:$B$6,$B30)*Assumptions!$C$13</f>
        <v>120565583.98846167</v>
      </c>
      <c r="H30" s="163">
        <f t="shared" si="4"/>
        <v>-160194.84999988973</v>
      </c>
      <c r="I30" s="163">
        <f>TREND(I$5:I$6,$B$5:$B$6,$B30)*Assumptions!$C$13</f>
        <v>376707.88194444444</v>
      </c>
      <c r="J30" s="163">
        <f>TREND(J$5:J$6,$B$5:$B$6,$B30)*Assumptions!$C$13</f>
        <v>249297.11226851854</v>
      </c>
      <c r="K30" s="163">
        <f t="shared" si="5"/>
        <v>-127410.7696759259</v>
      </c>
    </row>
    <row r="31" spans="2:11" x14ac:dyDescent="0.25">
      <c r="B31" s="23">
        <f t="shared" si="6"/>
        <v>2043</v>
      </c>
      <c r="C31" s="162">
        <f>TREND(C$5:C$6,$B$5:$B$6,$B31)*Assumptions!$C$13</f>
        <v>4804913818.8288383</v>
      </c>
      <c r="D31" s="164">
        <f>TREND(D$5:D$6,$B$5:$B$6,$B31)*Assumptions!$C$13</f>
        <v>4806005414.6423063</v>
      </c>
      <c r="E31" s="163">
        <f t="shared" si="3"/>
        <v>1091595.8134679794</v>
      </c>
      <c r="F31" s="163">
        <f>TREND(F$5:F$6,$B$5:$B$6,$B31)*Assumptions!$C$13</f>
        <v>121748017.6326925</v>
      </c>
      <c r="G31" s="163">
        <f>TREND(G$5:G$6,$B$5:$B$6,$B31)*Assumptions!$C$13</f>
        <v>121583599.73269252</v>
      </c>
      <c r="H31" s="163">
        <f t="shared" si="4"/>
        <v>-164417.89999997616</v>
      </c>
      <c r="I31" s="163">
        <f>TREND(I$5:I$6,$B$5:$B$6,$B31)*Assumptions!$C$13</f>
        <v>376707.88194444444</v>
      </c>
      <c r="J31" s="163">
        <f>TREND(J$5:J$6,$B$5:$B$6,$B31)*Assumptions!$C$13</f>
        <v>249297.11226851854</v>
      </c>
      <c r="K31" s="163">
        <f t="shared" si="5"/>
        <v>-127410.7696759259</v>
      </c>
    </row>
    <row r="32" spans="2:11" ht="15.75" thickBot="1" x14ac:dyDescent="0.3">
      <c r="B32" s="24">
        <f t="shared" si="6"/>
        <v>2044</v>
      </c>
      <c r="C32" s="166">
        <f>TREND(C$5:C$6,$B$5:$B$6,$B32)*Assumptions!$C$13</f>
        <v>4835705908.5384541</v>
      </c>
      <c r="D32" s="167">
        <f>TREND(D$5:D$6,$B$5:$B$6,$B32)*Assumptions!$C$13</f>
        <v>4836736184.7730799</v>
      </c>
      <c r="E32" s="166">
        <f t="shared" si="3"/>
        <v>1030276.2346258163</v>
      </c>
      <c r="F32" s="166">
        <f>TREND(F$5:F$6,$B$5:$B$6,$B32)*Assumptions!$C$13</f>
        <v>122770256.42692311</v>
      </c>
      <c r="G32" s="166">
        <f>TREND(G$5:G$6,$B$5:$B$6,$B32)*Assumptions!$C$13</f>
        <v>122601615.47692336</v>
      </c>
      <c r="H32" s="166">
        <f t="shared" si="4"/>
        <v>-168640.94999974966</v>
      </c>
      <c r="I32" s="166">
        <f>TREND(I$5:I$6,$B$5:$B$6,$B32)*Assumptions!$C$13</f>
        <v>376707.88194444444</v>
      </c>
      <c r="J32" s="166">
        <f>TREND(J$5:J$6,$B$5:$B$6,$B32)*Assumptions!$C$13</f>
        <v>249297.11226851854</v>
      </c>
      <c r="K32" s="166">
        <f t="shared" si="5"/>
        <v>-127410.7696759259</v>
      </c>
    </row>
    <row r="33" spans="1:8" x14ac:dyDescent="0.25">
      <c r="B33" s="25"/>
      <c r="C33" s="25"/>
      <c r="D33" s="26"/>
      <c r="E33" s="27"/>
      <c r="F33" s="25"/>
    </row>
    <row r="35" spans="1:8" x14ac:dyDescent="0.25">
      <c r="B35" s="21"/>
      <c r="F35" s="21"/>
    </row>
    <row r="36" spans="1:8" x14ac:dyDescent="0.25">
      <c r="A36" s="99"/>
      <c r="B36" s="20"/>
      <c r="C36" s="20"/>
      <c r="D36" s="108"/>
      <c r="E36" s="20"/>
    </row>
    <row r="37" spans="1:8" x14ac:dyDescent="0.25">
      <c r="B37" s="20"/>
      <c r="C37" s="20"/>
      <c r="D37" s="20"/>
      <c r="E37" s="20"/>
      <c r="F37" s="20"/>
      <c r="G37" s="20"/>
      <c r="H37" s="20"/>
    </row>
    <row r="38" spans="1:8" x14ac:dyDescent="0.25">
      <c r="B38" s="20"/>
      <c r="C38" s="20"/>
      <c r="D38" s="20"/>
      <c r="E38" s="20"/>
      <c r="F38" s="20"/>
      <c r="G38" s="20"/>
      <c r="H38" s="20"/>
    </row>
    <row r="39" spans="1:8" x14ac:dyDescent="0.25">
      <c r="B39" s="20"/>
      <c r="C39" s="20"/>
      <c r="D39" s="20"/>
      <c r="E39" s="20"/>
      <c r="F39" s="20"/>
      <c r="G39" s="20"/>
      <c r="H39" s="20"/>
    </row>
    <row r="40" spans="1:8" x14ac:dyDescent="0.25">
      <c r="B40" s="20"/>
      <c r="C40" s="20"/>
      <c r="D40" s="20"/>
      <c r="E40" s="20"/>
      <c r="F40" s="20"/>
      <c r="G40" s="20"/>
      <c r="H40" s="20"/>
    </row>
    <row r="41" spans="1:8" x14ac:dyDescent="0.25">
      <c r="B41" s="28"/>
      <c r="C41" s="28"/>
      <c r="D41" s="28"/>
      <c r="E41" s="28"/>
      <c r="F41" s="28"/>
      <c r="G41" s="28"/>
      <c r="H41" s="28"/>
    </row>
    <row r="42" spans="1:8" x14ac:dyDescent="0.25">
      <c r="A42" s="99"/>
      <c r="B42" s="20"/>
      <c r="C42" s="20"/>
      <c r="D42" s="20"/>
      <c r="E42" s="20"/>
      <c r="F42" s="20"/>
      <c r="G42" s="20"/>
      <c r="H42" s="20"/>
    </row>
    <row r="43" spans="1:8" x14ac:dyDescent="0.25">
      <c r="B43" s="20"/>
      <c r="C43" s="20"/>
      <c r="D43" s="20"/>
      <c r="E43" s="20"/>
      <c r="F43" s="20"/>
      <c r="G43" s="20"/>
      <c r="H43" s="20"/>
    </row>
    <row r="44" spans="1:8" x14ac:dyDescent="0.25">
      <c r="B44" s="20"/>
      <c r="C44" s="20"/>
      <c r="D44" s="20"/>
      <c r="E44" s="20"/>
      <c r="F44" s="20"/>
      <c r="G44" s="20"/>
      <c r="H44" s="20"/>
    </row>
    <row r="45" spans="1:8" x14ac:dyDescent="0.25">
      <c r="B45" s="20"/>
      <c r="C45" s="20"/>
      <c r="D45" s="20"/>
      <c r="E45" s="20"/>
      <c r="F45" s="20"/>
      <c r="G45" s="20"/>
      <c r="H45" s="20"/>
    </row>
    <row r="46" spans="1:8" x14ac:dyDescent="0.25">
      <c r="B46" s="20"/>
      <c r="C46" s="20"/>
      <c r="D46" s="20"/>
      <c r="E46" s="20"/>
      <c r="F46" s="20"/>
      <c r="G46" s="20"/>
      <c r="H46" s="20"/>
    </row>
    <row r="47" spans="1:8" x14ac:dyDescent="0.25">
      <c r="B47" s="20"/>
      <c r="C47" s="20"/>
      <c r="D47" s="20"/>
      <c r="E47" s="20"/>
      <c r="F47" s="20"/>
      <c r="G47" s="20"/>
      <c r="H47" s="20"/>
    </row>
    <row r="52" ht="15" customHeight="1" x14ac:dyDescent="0.25"/>
    <row r="58" ht="15" customHeight="1" x14ac:dyDescent="0.25"/>
  </sheetData>
  <mergeCells count="16">
    <mergeCell ref="I2:K2"/>
    <mergeCell ref="I10:K10"/>
    <mergeCell ref="I11:I12"/>
    <mergeCell ref="J11:J12"/>
    <mergeCell ref="K11:K12"/>
    <mergeCell ref="F2:H2"/>
    <mergeCell ref="C2:E2"/>
    <mergeCell ref="C11:C12"/>
    <mergeCell ref="F10:H10"/>
    <mergeCell ref="E11:E12"/>
    <mergeCell ref="F11:F12"/>
    <mergeCell ref="B10:B12"/>
    <mergeCell ref="C10:E10"/>
    <mergeCell ref="H11:H12"/>
    <mergeCell ref="D11:D12"/>
    <mergeCell ref="G11:G12"/>
  </mergeCells>
  <pageMargins left="0.25" right="0.25" top="0.75" bottom="0.75" header="0.3" footer="0.3"/>
  <pageSetup paperSize="3"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2C2CC-F28E-4FED-9C59-809B7933DDBF}">
  <dimension ref="C3:O27"/>
  <sheetViews>
    <sheetView topLeftCell="A4" workbookViewId="0">
      <selection activeCell="U17" sqref="U17"/>
    </sheetView>
  </sheetViews>
  <sheetFormatPr defaultColWidth="8.85546875" defaultRowHeight="15" x14ac:dyDescent="0.25"/>
  <cols>
    <col min="3" max="3" width="17.42578125" bestFit="1" customWidth="1"/>
    <col min="4" max="4" width="10.140625" bestFit="1" customWidth="1"/>
    <col min="5" max="5" width="7.42578125" bestFit="1" customWidth="1"/>
    <col min="6" max="6" width="9.42578125" bestFit="1" customWidth="1"/>
    <col min="7" max="7" width="10.140625" bestFit="1" customWidth="1"/>
    <col min="8" max="8" width="7.42578125" bestFit="1" customWidth="1"/>
    <col min="9" max="9" width="9.42578125" bestFit="1" customWidth="1"/>
    <col min="10" max="10" width="8.7109375" bestFit="1" customWidth="1"/>
    <col min="11" max="11" width="7.7109375" bestFit="1" customWidth="1"/>
    <col min="12" max="12" width="9.42578125" bestFit="1" customWidth="1"/>
    <col min="13" max="14" width="6.85546875" bestFit="1" customWidth="1"/>
    <col min="15" max="15" width="9.42578125" bestFit="1" customWidth="1"/>
  </cols>
  <sheetData>
    <row r="3" spans="3:15" ht="15.75" thickBot="1" x14ac:dyDescent="0.3"/>
    <row r="4" spans="3:15" ht="15.75" thickBot="1" x14ac:dyDescent="0.3">
      <c r="C4" s="581" t="s">
        <v>96</v>
      </c>
      <c r="D4" s="577" t="s">
        <v>42</v>
      </c>
      <c r="E4" s="578"/>
      <c r="F4" s="579"/>
      <c r="G4" s="577" t="s">
        <v>136</v>
      </c>
      <c r="H4" s="578"/>
      <c r="I4" s="579"/>
      <c r="J4" s="577" t="s">
        <v>70</v>
      </c>
      <c r="K4" s="578"/>
      <c r="L4" s="579"/>
      <c r="M4" s="577" t="s">
        <v>137</v>
      </c>
      <c r="N4" s="578"/>
      <c r="O4" s="579"/>
    </row>
    <row r="5" spans="3:15" ht="15.75" thickBot="1" x14ac:dyDescent="0.3">
      <c r="C5" s="582"/>
      <c r="D5" s="254" t="s">
        <v>138</v>
      </c>
      <c r="E5" s="255" t="s">
        <v>139</v>
      </c>
      <c r="F5" s="256" t="s">
        <v>140</v>
      </c>
      <c r="G5" s="254" t="s">
        <v>138</v>
      </c>
      <c r="H5" s="255" t="s">
        <v>139</v>
      </c>
      <c r="I5" s="256" t="s">
        <v>140</v>
      </c>
      <c r="J5" s="254" t="s">
        <v>138</v>
      </c>
      <c r="K5" s="255" t="s">
        <v>139</v>
      </c>
      <c r="L5" s="256" t="s">
        <v>140</v>
      </c>
      <c r="M5" s="254" t="s">
        <v>138</v>
      </c>
      <c r="N5" s="255" t="s">
        <v>139</v>
      </c>
      <c r="O5" s="256" t="s">
        <v>140</v>
      </c>
    </row>
    <row r="6" spans="3:15" x14ac:dyDescent="0.25">
      <c r="C6" s="257" t="s">
        <v>141</v>
      </c>
      <c r="D6" s="348">
        <v>5692040.3700000001</v>
      </c>
      <c r="E6" s="349">
        <v>108511.34</v>
      </c>
      <c r="F6" s="350">
        <v>52.455719098114542</v>
      </c>
      <c r="G6" s="348">
        <v>5707875.9100000001</v>
      </c>
      <c r="H6" s="348">
        <v>108868.60999999999</v>
      </c>
      <c r="I6" s="350">
        <v>52.429032666073361</v>
      </c>
      <c r="J6" s="258">
        <v>15835.540000000037</v>
      </c>
      <c r="K6" s="258">
        <v>357.26999999998952</v>
      </c>
      <c r="L6" s="259">
        <v>-2.6686432041181263E-2</v>
      </c>
      <c r="M6" s="260">
        <v>2.7820498398889669E-3</v>
      </c>
      <c r="N6" s="260">
        <v>3.2924669440077834E-3</v>
      </c>
      <c r="O6" s="261">
        <v>-5.0874208761233955E-4</v>
      </c>
    </row>
    <row r="7" spans="3:15" x14ac:dyDescent="0.25">
      <c r="C7" s="257" t="s">
        <v>142</v>
      </c>
      <c r="D7" s="348">
        <v>1079390.6299999999</v>
      </c>
      <c r="E7" s="351">
        <v>27339.03</v>
      </c>
      <c r="F7" s="352">
        <v>39.481672539223226</v>
      </c>
      <c r="G7" s="348">
        <v>1078965.49</v>
      </c>
      <c r="H7" s="351">
        <v>27328.63</v>
      </c>
      <c r="I7" s="352">
        <v>39.481140840210429</v>
      </c>
      <c r="J7" s="263">
        <v>-425.13999999989755</v>
      </c>
      <c r="K7" s="264">
        <v>-10.399999999997817</v>
      </c>
      <c r="L7" s="262">
        <v>-5.3169901279659371E-4</v>
      </c>
      <c r="M7" s="265">
        <v>-3.9387038221732349E-4</v>
      </c>
      <c r="N7" s="266">
        <v>-3.8040852217499367E-4</v>
      </c>
      <c r="O7" s="267">
        <v>-1.3466982997449645E-5</v>
      </c>
    </row>
    <row r="8" spans="3:15" x14ac:dyDescent="0.25">
      <c r="C8" s="257" t="s">
        <v>143</v>
      </c>
      <c r="D8" s="348">
        <v>734257.62</v>
      </c>
      <c r="E8" s="351">
        <v>20003.559999999998</v>
      </c>
      <c r="F8" s="352">
        <v>36.706347270185908</v>
      </c>
      <c r="G8" s="348">
        <v>730147.80999999994</v>
      </c>
      <c r="H8" s="351">
        <v>19868.16</v>
      </c>
      <c r="I8" s="352">
        <v>36.749644154264914</v>
      </c>
      <c r="J8" s="263">
        <v>-4109.8100000000559</v>
      </c>
      <c r="K8" s="264">
        <v>-135.39999999999782</v>
      </c>
      <c r="L8" s="262">
        <v>4.3296884079005338E-2</v>
      </c>
      <c r="M8" s="265">
        <v>-5.5972316637313974E-3</v>
      </c>
      <c r="N8" s="266">
        <v>-6.7687951544623971E-3</v>
      </c>
      <c r="O8" s="267">
        <v>1.1795476068568794E-3</v>
      </c>
    </row>
    <row r="9" spans="3:15" x14ac:dyDescent="0.25">
      <c r="C9" s="257" t="s">
        <v>144</v>
      </c>
      <c r="D9" s="348">
        <v>2087851.98</v>
      </c>
      <c r="E9" s="351">
        <v>61076.71</v>
      </c>
      <c r="F9" s="352">
        <v>34.184093740478161</v>
      </c>
      <c r="G9" s="348">
        <v>2089112.74</v>
      </c>
      <c r="H9" s="351">
        <v>61059.7</v>
      </c>
      <c r="I9" s="352">
        <v>34.21426472779919</v>
      </c>
      <c r="J9" s="263">
        <v>1260.7600000000093</v>
      </c>
      <c r="K9" s="264">
        <v>-17.010000000002037</v>
      </c>
      <c r="L9" s="262">
        <v>3.017098732102852E-2</v>
      </c>
      <c r="M9" s="265">
        <v>6.0385506830805565E-4</v>
      </c>
      <c r="N9" s="266">
        <v>-2.7850223104685957E-4</v>
      </c>
      <c r="O9" s="267">
        <v>8.8260310628923797E-4</v>
      </c>
    </row>
    <row r="10" spans="3:15" x14ac:dyDescent="0.25">
      <c r="C10" s="257" t="s">
        <v>145</v>
      </c>
      <c r="D10" s="348">
        <v>779951.97</v>
      </c>
      <c r="E10" s="351">
        <v>25742.2</v>
      </c>
      <c r="F10" s="352">
        <v>30.298574713893917</v>
      </c>
      <c r="G10" s="348">
        <v>777374.03</v>
      </c>
      <c r="H10" s="351">
        <v>25495.920000000002</v>
      </c>
      <c r="I10" s="352">
        <v>30.490134499951363</v>
      </c>
      <c r="J10" s="263">
        <v>-2577.9399999999441</v>
      </c>
      <c r="K10" s="264">
        <v>-246.27999999999884</v>
      </c>
      <c r="L10" s="262">
        <v>0.1915597860574465</v>
      </c>
      <c r="M10" s="265">
        <v>-3.3052548094723629E-3</v>
      </c>
      <c r="N10" s="266">
        <v>-9.5671698611617829E-3</v>
      </c>
      <c r="O10" s="267">
        <v>6.3224025508237377E-3</v>
      </c>
    </row>
    <row r="11" spans="3:15" x14ac:dyDescent="0.25">
      <c r="C11" s="257" t="s">
        <v>146</v>
      </c>
      <c r="D11" s="348">
        <v>344160.07999999996</v>
      </c>
      <c r="E11" s="351">
        <v>9664.4000000000015</v>
      </c>
      <c r="F11" s="352">
        <v>35.611117089524427</v>
      </c>
      <c r="G11" s="348">
        <v>342039.31</v>
      </c>
      <c r="H11" s="351">
        <v>9601.2900000000009</v>
      </c>
      <c r="I11" s="352">
        <v>35.624307775309354</v>
      </c>
      <c r="J11" s="263">
        <v>-2120.7699999999604</v>
      </c>
      <c r="K11" s="264">
        <v>-63.110000000000582</v>
      </c>
      <c r="L11" s="262">
        <v>1.3190685784927325E-2</v>
      </c>
      <c r="M11" s="265">
        <v>-6.1621615150715932E-3</v>
      </c>
      <c r="N11" s="266">
        <v>-6.5301518976864136E-3</v>
      </c>
      <c r="O11" s="267">
        <v>3.7040921102718155E-4</v>
      </c>
    </row>
    <row r="12" spans="3:15" ht="15.75" thickBot="1" x14ac:dyDescent="0.3">
      <c r="C12" s="268" t="s">
        <v>147</v>
      </c>
      <c r="D12" s="269">
        <v>0</v>
      </c>
      <c r="E12" s="270">
        <v>0</v>
      </c>
      <c r="F12" s="271">
        <v>0</v>
      </c>
      <c r="G12" s="269">
        <v>0</v>
      </c>
      <c r="H12" s="270">
        <v>0</v>
      </c>
      <c r="I12" s="271">
        <v>0</v>
      </c>
      <c r="J12" s="269">
        <v>0</v>
      </c>
      <c r="K12" s="270">
        <v>0</v>
      </c>
      <c r="L12" s="271">
        <v>0</v>
      </c>
      <c r="M12" s="269"/>
      <c r="N12" s="270"/>
      <c r="O12" s="271"/>
    </row>
    <row r="13" spans="3:15" ht="15.75" thickBot="1" x14ac:dyDescent="0.3">
      <c r="C13" s="272" t="s">
        <v>45</v>
      </c>
      <c r="D13" s="273">
        <v>10717652.65</v>
      </c>
      <c r="E13" s="274">
        <v>252337.24</v>
      </c>
      <c r="F13" s="275">
        <v>42.473527292285517</v>
      </c>
      <c r="G13" s="273">
        <v>10725515.289999999</v>
      </c>
      <c r="H13" s="274">
        <v>252222.31</v>
      </c>
      <c r="I13" s="275">
        <v>42.524054632597725</v>
      </c>
      <c r="J13" s="273">
        <v>7862.6400000001886</v>
      </c>
      <c r="K13" s="276">
        <v>-114.93000000000757</v>
      </c>
      <c r="L13" s="277">
        <v>0.25100021218842983</v>
      </c>
      <c r="M13" s="278">
        <v>-1.2072613462295654E-2</v>
      </c>
      <c r="N13" s="279">
        <v>-2.0232560722524662E-2</v>
      </c>
      <c r="O13" s="280">
        <v>8.2327534043872483E-3</v>
      </c>
    </row>
    <row r="14" spans="3:15" x14ac:dyDescent="0.25">
      <c r="C14" s="87"/>
      <c r="D14" s="87"/>
      <c r="E14" s="87"/>
      <c r="F14" s="87"/>
      <c r="G14" s="87"/>
      <c r="H14" s="87"/>
      <c r="I14" s="87"/>
      <c r="J14" s="87"/>
      <c r="K14" s="87"/>
      <c r="L14" s="87"/>
      <c r="M14" s="87"/>
      <c r="N14" s="87"/>
      <c r="O14" s="87"/>
    </row>
    <row r="15" spans="3:15" x14ac:dyDescent="0.25">
      <c r="C15" s="87"/>
      <c r="D15" s="87"/>
      <c r="E15" s="87"/>
      <c r="F15" s="87"/>
      <c r="G15" s="87"/>
      <c r="H15" s="87"/>
      <c r="I15" s="87"/>
      <c r="J15" s="87"/>
      <c r="K15" s="87"/>
      <c r="L15" s="87"/>
      <c r="M15" s="87"/>
      <c r="N15" s="87"/>
      <c r="O15" s="87"/>
    </row>
    <row r="16" spans="3:15" x14ac:dyDescent="0.25">
      <c r="C16" s="87"/>
      <c r="D16" s="87"/>
      <c r="E16" s="87"/>
      <c r="F16" s="87"/>
      <c r="G16" s="87"/>
      <c r="H16" s="87"/>
      <c r="I16" s="87"/>
      <c r="J16" s="87"/>
      <c r="K16" s="87"/>
      <c r="L16" s="87"/>
      <c r="M16" s="87"/>
      <c r="N16" s="87"/>
      <c r="O16" s="87"/>
    </row>
    <row r="17" spans="3:15" ht="15.75" thickBot="1" x14ac:dyDescent="0.3">
      <c r="C17" s="87"/>
      <c r="D17" s="87"/>
      <c r="E17" s="87"/>
      <c r="F17" s="87"/>
      <c r="G17" s="87"/>
      <c r="H17" s="87"/>
      <c r="I17" s="87"/>
      <c r="J17" s="580" t="s">
        <v>148</v>
      </c>
      <c r="K17" s="580"/>
      <c r="L17" s="580"/>
      <c r="M17" s="580"/>
      <c r="N17" s="580"/>
      <c r="O17" s="580"/>
    </row>
    <row r="18" spans="3:15" ht="15.75" thickBot="1" x14ac:dyDescent="0.3">
      <c r="C18" s="575">
        <v>2040</v>
      </c>
      <c r="D18" s="577" t="s">
        <v>42</v>
      </c>
      <c r="E18" s="578"/>
      <c r="F18" s="579"/>
      <c r="G18" s="577" t="s">
        <v>136</v>
      </c>
      <c r="H18" s="578"/>
      <c r="I18" s="579"/>
      <c r="J18" s="577" t="s">
        <v>70</v>
      </c>
      <c r="K18" s="578"/>
      <c r="L18" s="579"/>
      <c r="M18" s="577" t="s">
        <v>137</v>
      </c>
      <c r="N18" s="578"/>
      <c r="O18" s="579"/>
    </row>
    <row r="19" spans="3:15" ht="15.75" thickBot="1" x14ac:dyDescent="0.3">
      <c r="C19" s="576"/>
      <c r="D19" s="254" t="s">
        <v>138</v>
      </c>
      <c r="E19" s="255" t="s">
        <v>139</v>
      </c>
      <c r="F19" s="256" t="s">
        <v>140</v>
      </c>
      <c r="G19" s="254" t="s">
        <v>138</v>
      </c>
      <c r="H19" s="255" t="s">
        <v>139</v>
      </c>
      <c r="I19" s="256" t="s">
        <v>140</v>
      </c>
      <c r="J19" s="254" t="s">
        <v>138</v>
      </c>
      <c r="K19" s="255" t="s">
        <v>139</v>
      </c>
      <c r="L19" s="256" t="s">
        <v>140</v>
      </c>
      <c r="M19" s="254" t="s">
        <v>138</v>
      </c>
      <c r="N19" s="255" t="s">
        <v>139</v>
      </c>
      <c r="O19" s="256" t="s">
        <v>140</v>
      </c>
    </row>
    <row r="20" spans="3:15" x14ac:dyDescent="0.25">
      <c r="C20" s="257" t="s">
        <v>141</v>
      </c>
      <c r="D20" s="348">
        <v>6598109.5599999996</v>
      </c>
      <c r="E20" s="348">
        <v>134577.54</v>
      </c>
      <c r="F20" s="350">
        <v>49.028311559269099</v>
      </c>
      <c r="G20" s="348">
        <v>6619933.2599999998</v>
      </c>
      <c r="H20" s="348">
        <v>135255.52000000002</v>
      </c>
      <c r="I20" s="350">
        <v>48.943904544524308</v>
      </c>
      <c r="J20" s="258">
        <v>21823.700000000186</v>
      </c>
      <c r="K20" s="258">
        <v>677.98000000001048</v>
      </c>
      <c r="L20" s="259">
        <v>-8.4407014744790843E-2</v>
      </c>
      <c r="M20" s="260">
        <v>3.3075685999976313E-3</v>
      </c>
      <c r="N20" s="260">
        <v>5.0378391520606667E-3</v>
      </c>
      <c r="O20" s="261">
        <v>-1.7215974211706906E-3</v>
      </c>
    </row>
    <row r="21" spans="3:15" x14ac:dyDescent="0.25">
      <c r="C21" s="257" t="s">
        <v>142</v>
      </c>
      <c r="D21" s="353">
        <v>1250758.73</v>
      </c>
      <c r="E21" s="351">
        <v>33898.6</v>
      </c>
      <c r="F21" s="352">
        <v>36.897061530564685</v>
      </c>
      <c r="G21" s="353">
        <v>1250147.8500000001</v>
      </c>
      <c r="H21" s="353">
        <v>33859.550000000003</v>
      </c>
      <c r="I21" s="352">
        <v>36.921573086470431</v>
      </c>
      <c r="J21" s="263">
        <v>-610.87999999988824</v>
      </c>
      <c r="K21" s="264">
        <v>-39.049999999995634</v>
      </c>
      <c r="L21" s="262">
        <v>2.4511555905746718E-2</v>
      </c>
      <c r="M21" s="265">
        <v>-4.884075444349593E-4</v>
      </c>
      <c r="N21" s="266">
        <v>-1.1519649779045634E-3</v>
      </c>
      <c r="O21" s="267">
        <v>6.6432270996545086E-4</v>
      </c>
    </row>
    <row r="22" spans="3:15" x14ac:dyDescent="0.25">
      <c r="C22" s="257" t="s">
        <v>143</v>
      </c>
      <c r="D22" s="353">
        <v>927920.32000000007</v>
      </c>
      <c r="E22" s="351">
        <v>26452.29</v>
      </c>
      <c r="F22" s="352">
        <v>35.079016599319004</v>
      </c>
      <c r="G22" s="353">
        <v>922034.28999999992</v>
      </c>
      <c r="H22" s="353">
        <v>26222.239999999998</v>
      </c>
      <c r="I22" s="352">
        <v>35.162300779796084</v>
      </c>
      <c r="J22" s="263">
        <v>-5886.0300000001444</v>
      </c>
      <c r="K22" s="264">
        <v>-230.05000000000291</v>
      </c>
      <c r="L22" s="262">
        <v>8.3284180477079417E-2</v>
      </c>
      <c r="M22" s="265">
        <v>-6.343249385895703E-3</v>
      </c>
      <c r="N22" s="266">
        <v>-8.6967895785205335E-3</v>
      </c>
      <c r="O22" s="267">
        <v>2.374188006134021E-3</v>
      </c>
    </row>
    <row r="23" spans="3:15" x14ac:dyDescent="0.25">
      <c r="C23" s="257" t="s">
        <v>144</v>
      </c>
      <c r="D23" s="353">
        <v>2711388.09</v>
      </c>
      <c r="E23" s="351">
        <v>83877.849999999991</v>
      </c>
      <c r="F23" s="352">
        <v>32.325436214686</v>
      </c>
      <c r="G23" s="353">
        <v>2703365.78</v>
      </c>
      <c r="H23" s="353">
        <v>83386.73000000001</v>
      </c>
      <c r="I23" s="352">
        <v>32.419616166744987</v>
      </c>
      <c r="J23" s="263">
        <v>-8022.3100000000559</v>
      </c>
      <c r="K23" s="264">
        <v>-491.11999999998079</v>
      </c>
      <c r="L23" s="262">
        <v>9.4179952058986771E-2</v>
      </c>
      <c r="M23" s="265">
        <v>-2.9587464920966208E-3</v>
      </c>
      <c r="N23" s="266">
        <v>-5.8551810758141849E-3</v>
      </c>
      <c r="O23" s="267">
        <v>2.9134936164047559E-3</v>
      </c>
    </row>
    <row r="24" spans="3:15" x14ac:dyDescent="0.25">
      <c r="C24" s="257" t="s">
        <v>145</v>
      </c>
      <c r="D24" s="353">
        <v>1016633.95</v>
      </c>
      <c r="E24" s="351">
        <v>34604.97</v>
      </c>
      <c r="F24" s="352">
        <v>29.378264162633283</v>
      </c>
      <c r="G24" s="353">
        <v>1015727.2</v>
      </c>
      <c r="H24" s="353">
        <v>34395.47</v>
      </c>
      <c r="I24" s="352">
        <v>29.530842288243189</v>
      </c>
      <c r="J24" s="263">
        <v>-906.75</v>
      </c>
      <c r="K24" s="264">
        <v>-209.5</v>
      </c>
      <c r="L24" s="262">
        <v>0.15257812560990658</v>
      </c>
      <c r="M24" s="265">
        <v>-8.919139479849163E-4</v>
      </c>
      <c r="N24" s="266">
        <v>-6.0540436821647295E-3</v>
      </c>
      <c r="O24" s="267">
        <v>5.1935718449959787E-3</v>
      </c>
    </row>
    <row r="25" spans="3:15" x14ac:dyDescent="0.25">
      <c r="C25" s="257" t="s">
        <v>146</v>
      </c>
      <c r="D25" s="353">
        <v>406251.13</v>
      </c>
      <c r="E25" s="351">
        <v>11743</v>
      </c>
      <c r="F25" s="352">
        <v>34.595174146299925</v>
      </c>
      <c r="G25" s="353">
        <v>403348.06999999995</v>
      </c>
      <c r="H25" s="353">
        <v>11618.99</v>
      </c>
      <c r="I25" s="352">
        <v>34.714555223818934</v>
      </c>
      <c r="J25" s="263">
        <v>-2903.0600000000559</v>
      </c>
      <c r="K25" s="264">
        <v>-124.01000000000022</v>
      </c>
      <c r="L25" s="262">
        <v>0.11938107751900873</v>
      </c>
      <c r="M25" s="265">
        <v>-7.1459739693525426E-3</v>
      </c>
      <c r="N25" s="266">
        <v>-1.0560333815890336E-2</v>
      </c>
      <c r="O25" s="267">
        <v>3.4508014619078582E-3</v>
      </c>
    </row>
    <row r="26" spans="3:15" ht="15.75" thickBot="1" x14ac:dyDescent="0.3">
      <c r="C26" s="268" t="s">
        <v>147</v>
      </c>
      <c r="D26" s="354">
        <v>0</v>
      </c>
      <c r="E26" s="355">
        <v>0</v>
      </c>
      <c r="F26" s="356">
        <v>0</v>
      </c>
      <c r="G26" s="357">
        <v>0</v>
      </c>
      <c r="H26" s="358">
        <v>0</v>
      </c>
      <c r="I26" s="356">
        <v>0</v>
      </c>
      <c r="J26" s="269">
        <v>0</v>
      </c>
      <c r="K26" s="270">
        <v>0</v>
      </c>
      <c r="L26" s="271">
        <v>0</v>
      </c>
      <c r="M26" s="269"/>
      <c r="N26" s="270"/>
      <c r="O26" s="271"/>
    </row>
    <row r="27" spans="3:15" ht="15.75" thickBot="1" x14ac:dyDescent="0.3">
      <c r="C27" s="272" t="s">
        <v>45</v>
      </c>
      <c r="D27" s="273">
        <v>12911061.779999999</v>
      </c>
      <c r="E27" s="274">
        <v>325154.25</v>
      </c>
      <c r="F27" s="275">
        <v>39.707498148955452</v>
      </c>
      <c r="G27" s="273">
        <v>12914556.449999997</v>
      </c>
      <c r="H27" s="274">
        <v>324738.5</v>
      </c>
      <c r="I27" s="275">
        <v>39.769095595379042</v>
      </c>
      <c r="J27" s="273">
        <v>3494.6700000000419</v>
      </c>
      <c r="K27" s="276">
        <v>-415.74999999996908</v>
      </c>
      <c r="L27" s="277">
        <v>0.38952787682593737</v>
      </c>
      <c r="M27" s="278">
        <v>-1.4520722739767112E-2</v>
      </c>
      <c r="N27" s="279">
        <v>-2.7280473978233681E-2</v>
      </c>
      <c r="O27" s="280">
        <v>1.2874780218237375E-2</v>
      </c>
    </row>
  </sheetData>
  <mergeCells count="11">
    <mergeCell ref="J17:O17"/>
    <mergeCell ref="C4:C5"/>
    <mergeCell ref="D4:F4"/>
    <mergeCell ref="G4:I4"/>
    <mergeCell ref="J4:L4"/>
    <mergeCell ref="M4:O4"/>
    <mergeCell ref="C18:C19"/>
    <mergeCell ref="D18:F18"/>
    <mergeCell ref="G18:I18"/>
    <mergeCell ref="J18:L18"/>
    <mergeCell ref="M18:O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M54"/>
  <sheetViews>
    <sheetView view="pageBreakPreview" zoomScale="80" zoomScaleNormal="85" zoomScaleSheetLayoutView="80" workbookViewId="0">
      <selection activeCell="K37" sqref="K37"/>
    </sheetView>
  </sheetViews>
  <sheetFormatPr defaultColWidth="9.140625" defaultRowHeight="15" x14ac:dyDescent="0.25"/>
  <cols>
    <col min="1" max="1" width="3.7109375" style="87" customWidth="1"/>
    <col min="2" max="9" width="15.7109375" style="87" customWidth="1"/>
    <col min="10" max="10" width="9.42578125" style="87" customWidth="1"/>
    <col min="11" max="11" width="31.42578125" style="87" customWidth="1"/>
    <col min="12" max="12" width="27.85546875" style="87" customWidth="1"/>
    <col min="13" max="16384" width="9.140625" style="87"/>
  </cols>
  <sheetData>
    <row r="1" spans="1:13" x14ac:dyDescent="0.25">
      <c r="A1" s="19"/>
      <c r="B1" s="19">
        <v>1</v>
      </c>
      <c r="C1" s="19">
        <f>B1+1</f>
        <v>2</v>
      </c>
      <c r="D1" s="19">
        <f t="shared" ref="D1:G1" si="0">C1+1</f>
        <v>3</v>
      </c>
      <c r="E1" s="19">
        <f t="shared" si="0"/>
        <v>4</v>
      </c>
      <c r="F1" s="19">
        <f t="shared" si="0"/>
        <v>5</v>
      </c>
      <c r="G1" s="19">
        <f t="shared" si="0"/>
        <v>6</v>
      </c>
      <c r="H1" s="19">
        <f t="shared" ref="H1" si="1">G1+1</f>
        <v>7</v>
      </c>
      <c r="I1" s="19">
        <f t="shared" ref="I1" si="2">H1+1</f>
        <v>8</v>
      </c>
    </row>
    <row r="2" spans="1:13" x14ac:dyDescent="0.25">
      <c r="B2" s="5" t="s">
        <v>77</v>
      </c>
      <c r="E2" s="169"/>
      <c r="F2" s="169"/>
    </row>
    <row r="3" spans="1:13" x14ac:dyDescent="0.25">
      <c r="B3" s="5"/>
      <c r="G3" s="169"/>
      <c r="H3" s="169"/>
    </row>
    <row r="4" spans="1:13" ht="15.75" thickBot="1" x14ac:dyDescent="0.3">
      <c r="C4" s="69"/>
      <c r="D4" s="247"/>
      <c r="E4" s="247"/>
      <c r="F4" s="248"/>
      <c r="G4" s="247"/>
      <c r="H4" s="247"/>
      <c r="I4" s="247"/>
      <c r="L4" s="95"/>
    </row>
    <row r="5" spans="1:13" ht="35.1" customHeight="1" x14ac:dyDescent="0.25">
      <c r="B5" s="584" t="s">
        <v>0</v>
      </c>
      <c r="C5" s="586" t="s">
        <v>127</v>
      </c>
      <c r="D5" s="588" t="s">
        <v>128</v>
      </c>
      <c r="E5" s="592" t="s">
        <v>130</v>
      </c>
      <c r="F5" s="594" t="s">
        <v>131</v>
      </c>
      <c r="G5" s="590" t="s">
        <v>70</v>
      </c>
      <c r="H5" s="600" t="s">
        <v>76</v>
      </c>
      <c r="I5" s="597" t="s">
        <v>1</v>
      </c>
      <c r="K5" s="95"/>
      <c r="M5" s="32"/>
    </row>
    <row r="6" spans="1:13" ht="43.5" customHeight="1" thickBot="1" x14ac:dyDescent="0.3">
      <c r="B6" s="585"/>
      <c r="C6" s="587"/>
      <c r="D6" s="589"/>
      <c r="E6" s="593"/>
      <c r="F6" s="595"/>
      <c r="G6" s="591"/>
      <c r="H6" s="601"/>
      <c r="I6" s="598"/>
      <c r="K6" s="599" t="s">
        <v>126</v>
      </c>
      <c r="L6" s="599"/>
      <c r="M6" s="58"/>
    </row>
    <row r="7" spans="1:13" ht="18" customHeight="1" x14ac:dyDescent="0.25">
      <c r="B7" s="222">
        <f>Assumptions!C10</f>
        <v>2025</v>
      </c>
      <c r="C7" s="245">
        <f>IFERROR(VLOOKUP($B7,'Annualized Operations'!$B$13:$H$32,'Annualized Operations'!F$1,FALSE),0)</f>
        <v>103347719.33653848</v>
      </c>
      <c r="D7" s="246">
        <f>IFERROR(VLOOKUP($B7,'Annualized Operations'!$B$13:$H$32,'Annualized Operations'!G$1,FALSE),0)</f>
        <v>103259316.33653876</v>
      </c>
      <c r="E7" s="245">
        <f>IFERROR(VLOOKUP($B7,'Annualized Operations'!$B$13:$K$32,'Annualized Operations'!I$1,FALSE),0)</f>
        <v>376707.88194444444</v>
      </c>
      <c r="F7" s="246">
        <f>IFERROR(VLOOKUP($B7,'Annualized Operations'!$B$13:$K$32,'Annualized Operations'!J$1,FALSE),0)</f>
        <v>249297.11226851854</v>
      </c>
      <c r="G7" s="239">
        <f>$C7+E7-D7-F7</f>
        <v>215813.76967564609</v>
      </c>
      <c r="H7" s="226">
        <f>G7*$L$19</f>
        <v>6442041.0248180358</v>
      </c>
      <c r="I7" s="227">
        <f>H7*(1+0.07)^-($B7-Assumptions!$C$6)</f>
        <v>4593086.2183620669</v>
      </c>
      <c r="K7" s="215" t="s">
        <v>105</v>
      </c>
      <c r="L7" s="324">
        <v>17.8</v>
      </c>
      <c r="M7" s="19"/>
    </row>
    <row r="8" spans="1:13" x14ac:dyDescent="0.25">
      <c r="B8" s="97">
        <f>B7+1</f>
        <v>2026</v>
      </c>
      <c r="C8" s="171">
        <f>IFERROR(VLOOKUP($B8,'Annualized Operations'!$B$13:$H$32,'Annualized Operations'!F$1,FALSE),0)</f>
        <v>104369958.13076943</v>
      </c>
      <c r="D8" s="243">
        <f>IFERROR(VLOOKUP($B8,'Annualized Operations'!$B$13:$H$32,'Annualized Operations'!G$1,FALSE),0)</f>
        <v>104277332.0807696</v>
      </c>
      <c r="E8" s="171">
        <f>IFERROR(VLOOKUP($B8,'Annualized Operations'!$B$13:$K$32,'Annualized Operations'!I$1,FALSE),0)</f>
        <v>376707.88194444444</v>
      </c>
      <c r="F8" s="243">
        <f>IFERROR(VLOOKUP($B8,'Annualized Operations'!$B$13:$K$32,'Annualized Operations'!J$1,FALSE),0)</f>
        <v>249297.11226851854</v>
      </c>
      <c r="G8" s="240">
        <f t="shared" ref="G8:G26" si="3">$C8+E8-D8-F8</f>
        <v>220036.81967576232</v>
      </c>
      <c r="H8" s="228">
        <f t="shared" ref="H8:H26" si="4">G8*$L$19</f>
        <v>6568099.0673215054</v>
      </c>
      <c r="I8" s="229">
        <f>H8*(1+0.07)^-($B8-Assumptions!$C$6)</f>
        <v>4376601.7387661738</v>
      </c>
      <c r="K8" s="215" t="s">
        <v>64</v>
      </c>
      <c r="L8" s="325">
        <v>32</v>
      </c>
      <c r="M8" s="30"/>
    </row>
    <row r="9" spans="1:13" x14ac:dyDescent="0.25">
      <c r="B9" s="97">
        <f t="shared" ref="B9:B26" si="5">B8+1</f>
        <v>2027</v>
      </c>
      <c r="C9" s="171">
        <f>IFERROR(VLOOKUP($B9,'Annualized Operations'!$B$13:$H$32,'Annualized Operations'!F$1,FALSE),0)</f>
        <v>105392196.92500004</v>
      </c>
      <c r="D9" s="243">
        <f>IFERROR(VLOOKUP($B9,'Annualized Operations'!$B$13:$H$32,'Annualized Operations'!G$1,FALSE),0)</f>
        <v>105295347.82500009</v>
      </c>
      <c r="E9" s="171">
        <f>IFERROR(VLOOKUP($B9,'Annualized Operations'!$B$13:$K$32,'Annualized Operations'!I$1,FALSE),0)</f>
        <v>376707.88194444444</v>
      </c>
      <c r="F9" s="243">
        <f>IFERROR(VLOOKUP($B9,'Annualized Operations'!$B$13:$K$32,'Annualized Operations'!J$1,FALSE),0)</f>
        <v>249297.11226851854</v>
      </c>
      <c r="G9" s="240">
        <f t="shared" si="3"/>
        <v>224259.86967587855</v>
      </c>
      <c r="H9" s="228">
        <f t="shared" si="4"/>
        <v>6694157.109824975</v>
      </c>
      <c r="I9" s="229">
        <f>H9*(1+0.07)^-($B9-Assumptions!$C$6)</f>
        <v>4168784.6122784037</v>
      </c>
      <c r="J9" s="100"/>
      <c r="K9" s="293"/>
      <c r="L9" s="294"/>
      <c r="M9" s="30"/>
    </row>
    <row r="10" spans="1:13" ht="14.25" customHeight="1" x14ac:dyDescent="0.25">
      <c r="B10" s="97">
        <f t="shared" si="5"/>
        <v>2028</v>
      </c>
      <c r="C10" s="171">
        <f>IFERROR(VLOOKUP($B10,'Annualized Operations'!$B$13:$H$32,'Annualized Operations'!F$1,FALSE),0)</f>
        <v>106414435.71923099</v>
      </c>
      <c r="D10" s="243">
        <f>IFERROR(VLOOKUP($B10,'Annualized Operations'!$B$13:$H$32,'Annualized Operations'!G$1,FALSE),0)</f>
        <v>106313363.56923093</v>
      </c>
      <c r="E10" s="171">
        <f>IFERROR(VLOOKUP($B10,'Annualized Operations'!$B$13:$K$32,'Annualized Operations'!I$1,FALSE),0)</f>
        <v>376707.88194444444</v>
      </c>
      <c r="F10" s="243">
        <f>IFERROR(VLOOKUP($B10,'Annualized Operations'!$B$13:$K$32,'Annualized Operations'!J$1,FALSE),0)</f>
        <v>249297.11226851854</v>
      </c>
      <c r="G10" s="240">
        <f t="shared" si="3"/>
        <v>228482.91967599478</v>
      </c>
      <c r="H10" s="228">
        <f t="shared" si="4"/>
        <v>6820215.1523284446</v>
      </c>
      <c r="I10" s="229">
        <f>H10*(1+0.07)^-($B10-Assumptions!$C$6)</f>
        <v>3969427.3137475853</v>
      </c>
      <c r="K10" s="596" t="s">
        <v>152</v>
      </c>
      <c r="L10" s="596"/>
      <c r="M10" s="29"/>
    </row>
    <row r="11" spans="1:13" x14ac:dyDescent="0.25">
      <c r="B11" s="97">
        <f t="shared" si="5"/>
        <v>2029</v>
      </c>
      <c r="C11" s="171">
        <f>IFERROR(VLOOKUP($B11,'Annualized Operations'!$B$13:$H$32,'Annualized Operations'!F$1,FALSE),0)</f>
        <v>107436674.5134616</v>
      </c>
      <c r="D11" s="243">
        <f>IFERROR(VLOOKUP($B11,'Annualized Operations'!$B$13:$H$32,'Annualized Operations'!G$1,FALSE),0)</f>
        <v>107331379.31346178</v>
      </c>
      <c r="E11" s="171">
        <f>IFERROR(VLOOKUP($B11,'Annualized Operations'!$B$13:$K$32,'Annualized Operations'!I$1,FALSE),0)</f>
        <v>376707.88194444444</v>
      </c>
      <c r="F11" s="243">
        <f>IFERROR(VLOOKUP($B11,'Annualized Operations'!$B$13:$K$32,'Annualized Operations'!J$1,FALSE),0)</f>
        <v>249297.11226851854</v>
      </c>
      <c r="G11" s="240">
        <f t="shared" si="3"/>
        <v>232705.96967575338</v>
      </c>
      <c r="H11" s="228">
        <f t="shared" si="4"/>
        <v>6946273.1948212385</v>
      </c>
      <c r="I11" s="229">
        <f>H11*(1+0.07)^-($B11-Assumptions!$C$6)</f>
        <v>3778312.3758710632</v>
      </c>
      <c r="K11" s="215" t="s">
        <v>60</v>
      </c>
      <c r="L11" s="295">
        <f>1-L12</f>
        <v>0.91500000000000004</v>
      </c>
      <c r="M11" s="207"/>
    </row>
    <row r="12" spans="1:13" x14ac:dyDescent="0.25">
      <c r="B12" s="97">
        <f t="shared" si="5"/>
        <v>2030</v>
      </c>
      <c r="C12" s="171">
        <f>IFERROR(VLOOKUP($B12,'Annualized Operations'!$B$13:$H$32,'Annualized Operations'!F$1,FALSE),0)</f>
        <v>108458913.30769254</v>
      </c>
      <c r="D12" s="243">
        <f>IFERROR(VLOOKUP($B12,'Annualized Operations'!$B$13:$H$32,'Annualized Operations'!G$1,FALSE),0)</f>
        <v>108349395.05769262</v>
      </c>
      <c r="E12" s="171">
        <f>IFERROR(VLOOKUP($B12,'Annualized Operations'!$B$13:$K$32,'Annualized Operations'!I$1,FALSE),0)</f>
        <v>376707.88194444444</v>
      </c>
      <c r="F12" s="243">
        <f>IFERROR(VLOOKUP($B12,'Annualized Operations'!$B$13:$K$32,'Annualized Operations'!J$1,FALSE),0)</f>
        <v>249297.11226851854</v>
      </c>
      <c r="G12" s="240">
        <f t="shared" si="3"/>
        <v>236929.01967585471</v>
      </c>
      <c r="H12" s="228">
        <f t="shared" si="4"/>
        <v>7072331.237324263</v>
      </c>
      <c r="I12" s="229">
        <f>H12*(1+0.07)^-($B12-Assumptions!$C$6)</f>
        <v>3595214.5782360421</v>
      </c>
      <c r="K12" s="215" t="s">
        <v>61</v>
      </c>
      <c r="L12" s="295">
        <v>8.5000000000000006E-2</v>
      </c>
      <c r="M12" s="208"/>
    </row>
    <row r="13" spans="1:13" x14ac:dyDescent="0.25">
      <c r="B13" s="97">
        <f t="shared" si="5"/>
        <v>2031</v>
      </c>
      <c r="C13" s="171">
        <f>IFERROR(VLOOKUP($B13,'Annualized Operations'!$B$13:$H$32,'Annualized Operations'!F$1,FALSE),0)</f>
        <v>109481152.10192315</v>
      </c>
      <c r="D13" s="243">
        <f>IFERROR(VLOOKUP($B13,'Annualized Operations'!$B$13:$H$32,'Annualized Operations'!G$1,FALSE),0)</f>
        <v>109367410.80192345</v>
      </c>
      <c r="E13" s="171">
        <f>IFERROR(VLOOKUP($B13,'Annualized Operations'!$B$13:$K$32,'Annualized Operations'!I$1,FALSE),0)</f>
        <v>376707.88194444444</v>
      </c>
      <c r="F13" s="243">
        <f>IFERROR(VLOOKUP($B13,'Annualized Operations'!$B$13:$K$32,'Annualized Operations'!J$1,FALSE),0)</f>
        <v>249297.11226851854</v>
      </c>
      <c r="G13" s="240">
        <f t="shared" si="3"/>
        <v>241152.06967562821</v>
      </c>
      <c r="H13" s="228">
        <f t="shared" si="4"/>
        <v>7198389.279817502</v>
      </c>
      <c r="I13" s="229">
        <f>H13*(1+0.07)^-($B13-Assumptions!$C$6)</f>
        <v>3419902.892434923</v>
      </c>
      <c r="K13" s="293"/>
      <c r="L13" s="296"/>
      <c r="M13" s="29"/>
    </row>
    <row r="14" spans="1:13" ht="15" customHeight="1" x14ac:dyDescent="0.25">
      <c r="B14" s="97">
        <f t="shared" si="5"/>
        <v>2032</v>
      </c>
      <c r="C14" s="171">
        <f>IFERROR(VLOOKUP($B14,'Annualized Operations'!$B$13:$H$32,'Annualized Operations'!F$1,FALSE),0)</f>
        <v>110503390.89615376</v>
      </c>
      <c r="D14" s="243">
        <f>IFERROR(VLOOKUP($B14,'Annualized Operations'!$B$13:$H$32,'Annualized Operations'!G$1,FALSE),0)</f>
        <v>110385426.54615396</v>
      </c>
      <c r="E14" s="171">
        <f>IFERROR(VLOOKUP($B14,'Annualized Operations'!$B$13:$K$32,'Annualized Operations'!I$1,FALSE),0)</f>
        <v>376707.88194444444</v>
      </c>
      <c r="F14" s="243">
        <f>IFERROR(VLOOKUP($B14,'Annualized Operations'!$B$13:$K$32,'Annualized Operations'!J$1,FALSE),0)</f>
        <v>249297.11226851854</v>
      </c>
      <c r="G14" s="240">
        <f t="shared" si="3"/>
        <v>245375.11967572954</v>
      </c>
      <c r="H14" s="228">
        <f t="shared" si="4"/>
        <v>7324447.3223205274</v>
      </c>
      <c r="I14" s="229">
        <f>H14*(1+0.07)^-($B14-Assumptions!$C$6)</f>
        <v>3252142.2059390945</v>
      </c>
      <c r="K14" s="596" t="s">
        <v>153</v>
      </c>
      <c r="L14" s="596"/>
      <c r="M14" s="29"/>
    </row>
    <row r="15" spans="1:13" x14ac:dyDescent="0.25">
      <c r="B15" s="97">
        <f t="shared" si="5"/>
        <v>2033</v>
      </c>
      <c r="C15" s="171">
        <f>IFERROR(VLOOKUP($B15,'Annualized Operations'!$B$13:$H$32,'Annualized Operations'!F$1,FALSE),0)</f>
        <v>111525629.69038472</v>
      </c>
      <c r="D15" s="243">
        <f>IFERROR(VLOOKUP($B15,'Annualized Operations'!$B$13:$H$32,'Annualized Operations'!G$1,FALSE),0)</f>
        <v>111403442.2903848</v>
      </c>
      <c r="E15" s="171">
        <f>IFERROR(VLOOKUP($B15,'Annualized Operations'!$B$13:$K$32,'Annualized Operations'!I$1,FALSE),0)</f>
        <v>376707.88194444444</v>
      </c>
      <c r="F15" s="243">
        <f>IFERROR(VLOOKUP($B15,'Annualized Operations'!$B$13:$K$32,'Annualized Operations'!J$1,FALSE),0)</f>
        <v>249297.11226851854</v>
      </c>
      <c r="G15" s="240">
        <f t="shared" si="3"/>
        <v>249598.16967584577</v>
      </c>
      <c r="H15" s="228">
        <f t="shared" si="4"/>
        <v>7450505.364823997</v>
      </c>
      <c r="I15" s="229">
        <f>H15*(1+0.07)^-($B15-Assumptions!$C$6)</f>
        <v>3091694.8452047771</v>
      </c>
      <c r="K15" s="215" t="s">
        <v>66</v>
      </c>
      <c r="L15" s="224">
        <v>1.67</v>
      </c>
      <c r="M15" s="92"/>
    </row>
    <row r="16" spans="1:13" x14ac:dyDescent="0.25">
      <c r="B16" s="97">
        <f t="shared" si="5"/>
        <v>2034</v>
      </c>
      <c r="C16" s="171">
        <f>IFERROR(VLOOKUP($B16,'Annualized Operations'!$B$13:$H$32,'Annualized Operations'!F$1,FALSE),0)</f>
        <v>112547868.48461533</v>
      </c>
      <c r="D16" s="243">
        <f>IFERROR(VLOOKUP($B16,'Annualized Operations'!$B$13:$H$32,'Annualized Operations'!G$1,FALSE),0)</f>
        <v>112421458.03461564</v>
      </c>
      <c r="E16" s="171">
        <f>IFERROR(VLOOKUP($B16,'Annualized Operations'!$B$13:$K$32,'Annualized Operations'!I$1,FALSE),0)</f>
        <v>376707.88194444444</v>
      </c>
      <c r="F16" s="243">
        <f>IFERROR(VLOOKUP($B16,'Annualized Operations'!$B$13:$K$32,'Annualized Operations'!J$1,FALSE),0)</f>
        <v>249297.11226851854</v>
      </c>
      <c r="G16" s="240">
        <f t="shared" si="3"/>
        <v>253821.21967561927</v>
      </c>
      <c r="H16" s="228">
        <f t="shared" si="4"/>
        <v>7576563.4073172361</v>
      </c>
      <c r="I16" s="229">
        <f>H16*(1+0.07)^-($B16-Assumptions!$C$6)</f>
        <v>2938321.9170185928</v>
      </c>
      <c r="K16" s="215" t="s">
        <v>67</v>
      </c>
      <c r="L16" s="224">
        <v>1</v>
      </c>
      <c r="M16" s="29"/>
    </row>
    <row r="17" spans="1:13" x14ac:dyDescent="0.25">
      <c r="B17" s="97">
        <f t="shared" si="5"/>
        <v>2035</v>
      </c>
      <c r="C17" s="171">
        <f>IFERROR(VLOOKUP($B17,'Annualized Operations'!$B$13:$H$32,'Annualized Operations'!F$1,FALSE),0)</f>
        <v>113570107.27884628</v>
      </c>
      <c r="D17" s="243">
        <f>IFERROR(VLOOKUP($B17,'Annualized Operations'!$B$13:$H$32,'Annualized Operations'!G$1,FALSE),0)</f>
        <v>113439473.77884647</v>
      </c>
      <c r="E17" s="171">
        <f>IFERROR(VLOOKUP($B17,'Annualized Operations'!$B$13:$K$32,'Annualized Operations'!I$1,FALSE),0)</f>
        <v>376707.88194444444</v>
      </c>
      <c r="F17" s="243">
        <f>IFERROR(VLOOKUP($B17,'Annualized Operations'!$B$13:$K$32,'Annualized Operations'!J$1,FALSE),0)</f>
        <v>249297.11226851854</v>
      </c>
      <c r="G17" s="240">
        <f t="shared" si="3"/>
        <v>258044.2696757355</v>
      </c>
      <c r="H17" s="228">
        <f t="shared" si="4"/>
        <v>7702621.4498207048</v>
      </c>
      <c r="I17" s="229">
        <f>H17*(1+0.07)^-($B17-Assumptions!$C$6)</f>
        <v>2791784.4852993763</v>
      </c>
      <c r="K17" s="88"/>
      <c r="L17" s="91"/>
      <c r="M17" s="30"/>
    </row>
    <row r="18" spans="1:13" x14ac:dyDescent="0.25">
      <c r="B18" s="97">
        <f t="shared" si="5"/>
        <v>2036</v>
      </c>
      <c r="C18" s="171">
        <f>IFERROR(VLOOKUP($B18,'Annualized Operations'!$B$13:$H$32,'Annualized Operations'!F$1,FALSE),0)</f>
        <v>114592346.07307689</v>
      </c>
      <c r="D18" s="243">
        <f>IFERROR(VLOOKUP($B18,'Annualized Operations'!$B$13:$H$32,'Annualized Operations'!G$1,FALSE),0)</f>
        <v>114457489.52307732</v>
      </c>
      <c r="E18" s="171">
        <f>IFERROR(VLOOKUP($B18,'Annualized Operations'!$B$13:$K$32,'Annualized Operations'!I$1,FALSE),0)</f>
        <v>376707.88194444444</v>
      </c>
      <c r="F18" s="243">
        <f>IFERROR(VLOOKUP($B18,'Annualized Operations'!$B$13:$K$32,'Annualized Operations'!J$1,FALSE),0)</f>
        <v>249297.11226851854</v>
      </c>
      <c r="G18" s="240">
        <f t="shared" si="3"/>
        <v>262267.3196754941</v>
      </c>
      <c r="H18" s="228">
        <f t="shared" si="4"/>
        <v>7828679.4923134996</v>
      </c>
      <c r="I18" s="229">
        <f>H18*(1+0.07)^-($B18-Assumptions!$C$6)</f>
        <v>2651844.5991072874</v>
      </c>
      <c r="K18" s="316" t="s">
        <v>68</v>
      </c>
      <c r="L18" s="78"/>
      <c r="M18" s="30"/>
    </row>
    <row r="19" spans="1:13" x14ac:dyDescent="0.25">
      <c r="B19" s="97">
        <f t="shared" si="5"/>
        <v>2037</v>
      </c>
      <c r="C19" s="171">
        <f>IFERROR(VLOOKUP($B19,'Annualized Operations'!$B$13:$H$32,'Annualized Operations'!F$1,FALSE),0)</f>
        <v>115614584.86730783</v>
      </c>
      <c r="D19" s="243">
        <f>IFERROR(VLOOKUP($B19,'Annualized Operations'!$B$13:$H$32,'Annualized Operations'!G$1,FALSE),0)</f>
        <v>115475505.26730782</v>
      </c>
      <c r="E19" s="171">
        <f>IFERROR(VLOOKUP($B19,'Annualized Operations'!$B$13:$K$32,'Annualized Operations'!I$1,FALSE),0)</f>
        <v>376707.88194444444</v>
      </c>
      <c r="F19" s="243">
        <f>IFERROR(VLOOKUP($B19,'Annualized Operations'!$B$13:$K$32,'Annualized Operations'!J$1,FALSE),0)</f>
        <v>249297.11226851854</v>
      </c>
      <c r="G19" s="240">
        <f t="shared" si="3"/>
        <v>266490.36967593816</v>
      </c>
      <c r="H19" s="228">
        <f t="shared" si="4"/>
        <v>7954737.5348267546</v>
      </c>
      <c r="I19" s="229">
        <f>H19*(1+0.07)^-($B19-Assumptions!$C$6)</f>
        <v>2518266.1863897583</v>
      </c>
      <c r="K19" s="77" t="s">
        <v>65</v>
      </c>
      <c r="L19" s="111">
        <v>29.85</v>
      </c>
      <c r="M19" s="89"/>
    </row>
    <row r="20" spans="1:13" x14ac:dyDescent="0.25">
      <c r="B20" s="97">
        <f t="shared" si="5"/>
        <v>2038</v>
      </c>
      <c r="C20" s="171">
        <f>IFERROR(VLOOKUP($B20,'Annualized Operations'!$B$13:$H$32,'Annualized Operations'!F$1,FALSE),0)</f>
        <v>116636823.66153844</v>
      </c>
      <c r="D20" s="243">
        <f>IFERROR(VLOOKUP($B20,'Annualized Operations'!$B$13:$H$32,'Annualized Operations'!G$1,FALSE),0)</f>
        <v>116493521.01153865</v>
      </c>
      <c r="E20" s="171">
        <f>IFERROR(VLOOKUP($B20,'Annualized Operations'!$B$13:$K$32,'Annualized Operations'!I$1,FALSE),0)</f>
        <v>376707.88194444444</v>
      </c>
      <c r="F20" s="243">
        <f>IFERROR(VLOOKUP($B20,'Annualized Operations'!$B$13:$K$32,'Annualized Operations'!J$1,FALSE),0)</f>
        <v>249297.11226851854</v>
      </c>
      <c r="G20" s="240">
        <f t="shared" si="3"/>
        <v>270713.41967571166</v>
      </c>
      <c r="H20" s="228">
        <f t="shared" si="4"/>
        <v>8080795.5773199936</v>
      </c>
      <c r="I20" s="229">
        <f>H20*(1+0.07)^-($B20-Assumptions!$C$6)</f>
        <v>2390815.8265001439</v>
      </c>
      <c r="K20" s="88"/>
      <c r="L20" s="91"/>
      <c r="M20" s="90"/>
    </row>
    <row r="21" spans="1:13" ht="14.25" customHeight="1" x14ac:dyDescent="0.25">
      <c r="B21" s="97">
        <f t="shared" si="5"/>
        <v>2039</v>
      </c>
      <c r="C21" s="171">
        <f>IFERROR(VLOOKUP($B21,'Annualized Operations'!$B$13:$H$32,'Annualized Operations'!F$1,FALSE),0)</f>
        <v>117659062.45576939</v>
      </c>
      <c r="D21" s="243">
        <f>IFERROR(VLOOKUP($B21,'Annualized Operations'!$B$13:$H$32,'Annualized Operations'!G$1,FALSE),0)</f>
        <v>117511536.75576951</v>
      </c>
      <c r="E21" s="171">
        <f>IFERROR(VLOOKUP($B21,'Annualized Operations'!$B$13:$K$32,'Annualized Operations'!I$1,FALSE),0)</f>
        <v>376707.88194444444</v>
      </c>
      <c r="F21" s="243">
        <f>IFERROR(VLOOKUP($B21,'Annualized Operations'!$B$13:$K$32,'Annualized Operations'!J$1,FALSE),0)</f>
        <v>249297.11226851854</v>
      </c>
      <c r="G21" s="240">
        <f t="shared" si="3"/>
        <v>274936.46967581299</v>
      </c>
      <c r="H21" s="228">
        <f t="shared" si="4"/>
        <v>8206853.6198230181</v>
      </c>
      <c r="I21" s="229">
        <f>H21*(1+0.07)^-($B21-Assumptions!$C$6)</f>
        <v>2269263.4136812366</v>
      </c>
      <c r="K21" s="88"/>
      <c r="L21" s="30"/>
      <c r="M21" s="72"/>
    </row>
    <row r="22" spans="1:13" x14ac:dyDescent="0.25">
      <c r="B22" s="97">
        <f t="shared" si="5"/>
        <v>2040</v>
      </c>
      <c r="C22" s="171">
        <f>IFERROR(VLOOKUP($B22,'Annualized Operations'!$B$13:$H$32,'Annualized Operations'!F$1,FALSE),0)</f>
        <v>118681301.25</v>
      </c>
      <c r="D22" s="243">
        <f>IFERROR(VLOOKUP($B22,'Annualized Operations'!$B$13:$H$32,'Annualized Operations'!G$1,FALSE),0)</f>
        <v>118529552.50000034</v>
      </c>
      <c r="E22" s="171">
        <f>IFERROR(VLOOKUP($B22,'Annualized Operations'!$B$13:$K$32,'Annualized Operations'!I$1,FALSE),0)</f>
        <v>376707.88194444444</v>
      </c>
      <c r="F22" s="243">
        <f>IFERROR(VLOOKUP($B22,'Annualized Operations'!$B$13:$K$32,'Annualized Operations'!J$1,FALSE),0)</f>
        <v>249297.11226851854</v>
      </c>
      <c r="G22" s="240">
        <f t="shared" si="3"/>
        <v>279159.51967558649</v>
      </c>
      <c r="H22" s="228">
        <f t="shared" si="4"/>
        <v>8332911.6623162571</v>
      </c>
      <c r="I22" s="229">
        <f>H22*(1+0.07)^-($B22-Assumptions!$C$6)</f>
        <v>2153382.7223118241</v>
      </c>
      <c r="K22" s="88"/>
      <c r="L22" s="30"/>
      <c r="M22" s="73"/>
    </row>
    <row r="23" spans="1:13" x14ac:dyDescent="0.25">
      <c r="B23" s="97">
        <f t="shared" si="5"/>
        <v>2041</v>
      </c>
      <c r="C23" s="171">
        <f>IFERROR(VLOOKUP($B23,'Annualized Operations'!$B$13:$H$32,'Annualized Operations'!F$1,FALSE),0)</f>
        <v>119703540.04423095</v>
      </c>
      <c r="D23" s="243">
        <f>IFERROR(VLOOKUP($B23,'Annualized Operations'!$B$13:$H$32,'Annualized Operations'!G$1,FALSE),0)</f>
        <v>119547568.24423084</v>
      </c>
      <c r="E23" s="171">
        <f>IFERROR(VLOOKUP($B23,'Annualized Operations'!$B$13:$K$32,'Annualized Operations'!I$1,FALSE),0)</f>
        <v>376707.88194444444</v>
      </c>
      <c r="F23" s="243">
        <f>IFERROR(VLOOKUP($B23,'Annualized Operations'!$B$13:$K$32,'Annualized Operations'!J$1,FALSE),0)</f>
        <v>249297.11226851854</v>
      </c>
      <c r="G23" s="240">
        <f t="shared" si="3"/>
        <v>283382.56967604544</v>
      </c>
      <c r="H23" s="228">
        <f t="shared" si="4"/>
        <v>8458969.7048299573</v>
      </c>
      <c r="I23" s="229">
        <f>H23*(1+0.07)^-($B23-Assumptions!$C$6)</f>
        <v>2042951.8840699838</v>
      </c>
      <c r="K23" s="88"/>
      <c r="L23" s="30"/>
      <c r="M23" s="69"/>
    </row>
    <row r="24" spans="1:13" x14ac:dyDescent="0.25">
      <c r="B24" s="97">
        <f t="shared" si="5"/>
        <v>2042</v>
      </c>
      <c r="C24" s="171">
        <f>IFERROR(VLOOKUP($B24,'Annualized Operations'!$B$13:$H$32,'Annualized Operations'!F$1,FALSE),0)</f>
        <v>120725778.83846156</v>
      </c>
      <c r="D24" s="243">
        <f>IFERROR(VLOOKUP($B24,'Annualized Operations'!$B$13:$H$32,'Annualized Operations'!G$1,FALSE),0)</f>
        <v>120565583.98846167</v>
      </c>
      <c r="E24" s="171">
        <f>IFERROR(VLOOKUP($B24,'Annualized Operations'!$B$13:$K$32,'Annualized Operations'!I$1,FALSE),0)</f>
        <v>376707.88194444444</v>
      </c>
      <c r="F24" s="243">
        <f>IFERROR(VLOOKUP($B24,'Annualized Operations'!$B$13:$K$32,'Annualized Operations'!J$1,FALSE),0)</f>
        <v>249297.11226851854</v>
      </c>
      <c r="G24" s="240">
        <f t="shared" si="3"/>
        <v>287605.61967581895</v>
      </c>
      <c r="H24" s="228">
        <f t="shared" si="4"/>
        <v>8585027.7473231964</v>
      </c>
      <c r="I24" s="229">
        <f>H24*(1+0.07)^-($B24-Assumptions!$C$6)</f>
        <v>1937753.7860010953</v>
      </c>
      <c r="K24" s="316"/>
      <c r="L24" s="67"/>
      <c r="M24" s="69"/>
    </row>
    <row r="25" spans="1:13" x14ac:dyDescent="0.25">
      <c r="B25" s="97">
        <f t="shared" si="5"/>
        <v>2043</v>
      </c>
      <c r="C25" s="171">
        <f>IFERROR(VLOOKUP($B25,'Annualized Operations'!$B$13:$H$32,'Annualized Operations'!F$1,FALSE),0)</f>
        <v>121748017.6326925</v>
      </c>
      <c r="D25" s="243">
        <f>IFERROR(VLOOKUP($B25,'Annualized Operations'!$B$13:$H$32,'Annualized Operations'!G$1,FALSE),0)</f>
        <v>121583599.73269252</v>
      </c>
      <c r="E25" s="171">
        <f>IFERROR(VLOOKUP($B25,'Annualized Operations'!$B$13:$K$32,'Annualized Operations'!I$1,FALSE),0)</f>
        <v>376707.88194444444</v>
      </c>
      <c r="F25" s="243">
        <f>IFERROR(VLOOKUP($B25,'Annualized Operations'!$B$13:$K$32,'Annualized Operations'!J$1,FALSE),0)</f>
        <v>249297.11226851854</v>
      </c>
      <c r="G25" s="240">
        <f t="shared" si="3"/>
        <v>291828.66967590537</v>
      </c>
      <c r="H25" s="228">
        <f t="shared" si="4"/>
        <v>8711085.7898257766</v>
      </c>
      <c r="I25" s="233">
        <f>H25*(1+0.07)^-($B25-Assumptions!$C$6)</f>
        <v>1837576.397916513</v>
      </c>
      <c r="K25" s="88"/>
      <c r="L25" s="74"/>
      <c r="M25" s="69"/>
    </row>
    <row r="26" spans="1:13" ht="15" customHeight="1" thickBot="1" x14ac:dyDescent="0.3">
      <c r="B26" s="242">
        <f t="shared" si="5"/>
        <v>2044</v>
      </c>
      <c r="C26" s="173">
        <f>IFERROR(VLOOKUP($B26,'Annualized Operations'!$B$13:$H$32,'Annualized Operations'!F$1,FALSE),0)</f>
        <v>122770256.42692311</v>
      </c>
      <c r="D26" s="244">
        <f>IFERROR(VLOOKUP($B26,'Annualized Operations'!$B$13:$H$32,'Annualized Operations'!G$1,FALSE),0)</f>
        <v>122601615.47692336</v>
      </c>
      <c r="E26" s="173">
        <f>IFERROR(VLOOKUP($B26,'Annualized Operations'!$B$13:$K$32,'Annualized Operations'!I$1,FALSE),0)</f>
        <v>376707.88194444444</v>
      </c>
      <c r="F26" s="244">
        <f>IFERROR(VLOOKUP($B26,'Annualized Operations'!$B$13:$K$32,'Annualized Operations'!J$1,FALSE),0)</f>
        <v>249297.11226851854</v>
      </c>
      <c r="G26" s="241">
        <f t="shared" si="3"/>
        <v>296051.71967567888</v>
      </c>
      <c r="H26" s="230">
        <f t="shared" si="4"/>
        <v>8837143.8323190156</v>
      </c>
      <c r="I26" s="231">
        <f>H26*(1+0.07)^-($B26-Assumptions!$C$6)</f>
        <v>1742213.0365430468</v>
      </c>
      <c r="K26" s="88"/>
      <c r="L26" s="29"/>
      <c r="M26" s="35"/>
    </row>
    <row r="27" spans="1:13" ht="15" customHeight="1" thickBot="1" x14ac:dyDescent="0.3">
      <c r="B27" s="4"/>
      <c r="C27" s="85"/>
      <c r="D27" s="85"/>
      <c r="E27" s="85"/>
      <c r="F27" s="85"/>
      <c r="G27" s="85"/>
      <c r="H27" s="174" t="s">
        <v>2</v>
      </c>
      <c r="I27" s="232">
        <f>SUM(I7:I26)</f>
        <v>59519341.03567899</v>
      </c>
    </row>
    <row r="28" spans="1:13" ht="15" customHeight="1" x14ac:dyDescent="0.25">
      <c r="H28" s="69"/>
      <c r="I28" s="69"/>
    </row>
    <row r="29" spans="1:13" x14ac:dyDescent="0.25">
      <c r="B29" s="5" t="s">
        <v>3</v>
      </c>
      <c r="K29" s="66"/>
      <c r="L29" s="66"/>
      <c r="M29" s="66"/>
    </row>
    <row r="30" spans="1:13" ht="15" customHeight="1" x14ac:dyDescent="0.25">
      <c r="A30" s="6" t="s">
        <v>32</v>
      </c>
      <c r="B30" s="540" t="s">
        <v>262</v>
      </c>
      <c r="C30" s="540"/>
      <c r="D30" s="540"/>
      <c r="E30" s="540"/>
      <c r="F30" s="540"/>
      <c r="G30" s="540"/>
      <c r="H30" s="540"/>
      <c r="I30" s="540"/>
      <c r="J30" s="66"/>
      <c r="K30" s="66"/>
    </row>
    <row r="31" spans="1:13" ht="15" customHeight="1" x14ac:dyDescent="0.25">
      <c r="B31" s="540"/>
      <c r="C31" s="540"/>
      <c r="D31" s="540"/>
      <c r="E31" s="540"/>
      <c r="F31" s="540"/>
      <c r="G31" s="540"/>
      <c r="H31" s="540"/>
      <c r="I31" s="540"/>
      <c r="J31" s="66"/>
      <c r="K31" s="66"/>
    </row>
    <row r="32" spans="1:13" ht="15" customHeight="1" x14ac:dyDescent="0.25">
      <c r="B32" s="540"/>
      <c r="C32" s="540"/>
      <c r="D32" s="540"/>
      <c r="E32" s="540"/>
      <c r="F32" s="540"/>
      <c r="G32" s="540"/>
      <c r="H32" s="540"/>
      <c r="I32" s="540"/>
      <c r="J32" s="66"/>
      <c r="K32" s="66"/>
    </row>
    <row r="33" spans="1:11" ht="15" customHeight="1" x14ac:dyDescent="0.25">
      <c r="B33" s="540"/>
      <c r="C33" s="540"/>
      <c r="D33" s="540"/>
      <c r="E33" s="540"/>
      <c r="F33" s="540"/>
      <c r="G33" s="540"/>
      <c r="H33" s="540"/>
      <c r="I33" s="540"/>
      <c r="J33" s="66"/>
      <c r="K33" s="66"/>
    </row>
    <row r="34" spans="1:11" ht="15" customHeight="1" x14ac:dyDescent="0.25">
      <c r="B34" s="31"/>
      <c r="C34" s="31"/>
      <c r="D34" s="31"/>
      <c r="E34" s="31"/>
      <c r="F34" s="31"/>
      <c r="G34" s="19"/>
      <c r="H34" s="19"/>
      <c r="I34" s="31"/>
      <c r="J34" s="66"/>
      <c r="K34" s="66"/>
    </row>
    <row r="35" spans="1:11" ht="15" customHeight="1" x14ac:dyDescent="0.25">
      <c r="A35" s="6" t="s">
        <v>31</v>
      </c>
      <c r="B35" s="583" t="s">
        <v>125</v>
      </c>
      <c r="C35" s="583"/>
      <c r="D35" s="583"/>
      <c r="E35" s="583"/>
      <c r="F35" s="583"/>
      <c r="G35" s="583"/>
      <c r="H35" s="583"/>
      <c r="I35" s="583"/>
      <c r="J35" s="66"/>
      <c r="K35" s="66"/>
    </row>
    <row r="36" spans="1:11" ht="15" customHeight="1" x14ac:dyDescent="0.25">
      <c r="A36" s="6"/>
      <c r="B36" s="317"/>
      <c r="C36" s="317"/>
      <c r="D36" s="317"/>
      <c r="E36" s="317"/>
      <c r="F36" s="317"/>
      <c r="G36" s="317"/>
      <c r="H36" s="19"/>
      <c r="I36" s="31"/>
      <c r="J36" s="66"/>
      <c r="K36" s="66"/>
    </row>
    <row r="37" spans="1:11" ht="15" customHeight="1" x14ac:dyDescent="0.25">
      <c r="A37" s="6" t="s">
        <v>116</v>
      </c>
      <c r="B37" s="540" t="s">
        <v>263</v>
      </c>
      <c r="C37" s="540"/>
      <c r="D37" s="540"/>
      <c r="E37" s="540"/>
      <c r="F37" s="540"/>
      <c r="G37" s="540"/>
      <c r="H37" s="540"/>
      <c r="I37" s="540"/>
      <c r="J37" s="33"/>
      <c r="K37" s="33"/>
    </row>
    <row r="38" spans="1:11" ht="15" customHeight="1" x14ac:dyDescent="0.25">
      <c r="B38" s="540"/>
      <c r="C38" s="540"/>
      <c r="D38" s="540"/>
      <c r="E38" s="540"/>
      <c r="F38" s="540"/>
      <c r="G38" s="540"/>
      <c r="H38" s="540"/>
      <c r="I38" s="540"/>
    </row>
    <row r="39" spans="1:11" ht="15" customHeight="1" x14ac:dyDescent="0.25">
      <c r="B39" s="540"/>
      <c r="C39" s="540"/>
      <c r="D39" s="540"/>
      <c r="E39" s="540"/>
      <c r="F39" s="540"/>
      <c r="G39" s="540"/>
      <c r="H39" s="540"/>
      <c r="I39" s="540"/>
    </row>
    <row r="40" spans="1:11" s="438" customFormat="1" ht="15" customHeight="1" x14ac:dyDescent="0.25">
      <c r="B40" s="540"/>
      <c r="C40" s="540"/>
      <c r="D40" s="540"/>
      <c r="E40" s="540"/>
      <c r="F40" s="540"/>
      <c r="G40" s="540"/>
      <c r="H40" s="540"/>
      <c r="I40" s="540"/>
    </row>
    <row r="41" spans="1:11" x14ac:dyDescent="0.25">
      <c r="B41" s="31"/>
      <c r="C41" s="31"/>
      <c r="D41" s="31"/>
      <c r="E41" s="31"/>
      <c r="F41" s="31"/>
      <c r="G41" s="19"/>
      <c r="H41" s="19"/>
      <c r="I41" s="19"/>
    </row>
    <row r="42" spans="1:11" ht="15" customHeight="1" x14ac:dyDescent="0.25">
      <c r="A42" s="6" t="s">
        <v>117</v>
      </c>
      <c r="B42" s="583" t="s">
        <v>183</v>
      </c>
      <c r="C42" s="583"/>
      <c r="D42" s="583"/>
      <c r="E42" s="583"/>
      <c r="F42" s="583"/>
      <c r="G42" s="583"/>
      <c r="H42" s="583"/>
      <c r="I42" s="583"/>
    </row>
    <row r="43" spans="1:11" x14ac:dyDescent="0.25">
      <c r="B43" s="583"/>
      <c r="C43" s="583"/>
      <c r="D43" s="583"/>
      <c r="E43" s="583"/>
      <c r="F43" s="583"/>
      <c r="G43" s="583"/>
      <c r="H43" s="583"/>
      <c r="I43" s="583"/>
    </row>
    <row r="44" spans="1:11" x14ac:dyDescent="0.25">
      <c r="B44" s="583"/>
      <c r="C44" s="583"/>
      <c r="D44" s="583"/>
      <c r="E44" s="583"/>
      <c r="F44" s="583"/>
      <c r="G44" s="583"/>
      <c r="H44" s="583"/>
      <c r="I44" s="583"/>
    </row>
    <row r="45" spans="1:11" x14ac:dyDescent="0.25">
      <c r="B45" s="583"/>
      <c r="C45" s="583"/>
      <c r="D45" s="583"/>
      <c r="E45" s="583"/>
      <c r="F45" s="583"/>
      <c r="G45" s="583"/>
      <c r="H45" s="583"/>
      <c r="I45" s="583"/>
    </row>
    <row r="47" spans="1:11" ht="15" customHeight="1" x14ac:dyDescent="0.25">
      <c r="A47" s="87" t="s">
        <v>129</v>
      </c>
      <c r="B47" s="583" t="s">
        <v>132</v>
      </c>
      <c r="C47" s="583"/>
      <c r="D47" s="583"/>
      <c r="E47" s="583"/>
      <c r="F47" s="583"/>
      <c r="G47" s="583"/>
      <c r="H47" s="583"/>
      <c r="I47" s="583"/>
    </row>
    <row r="48" spans="1:11" x14ac:dyDescent="0.25">
      <c r="B48" s="583"/>
      <c r="C48" s="583"/>
      <c r="D48" s="583"/>
      <c r="E48" s="583"/>
      <c r="F48" s="583"/>
      <c r="G48" s="583"/>
      <c r="H48" s="583"/>
      <c r="I48" s="583"/>
    </row>
    <row r="49" spans="2:9" x14ac:dyDescent="0.25">
      <c r="B49" s="583"/>
      <c r="C49" s="583"/>
      <c r="D49" s="583"/>
      <c r="E49" s="583"/>
      <c r="F49" s="583"/>
      <c r="G49" s="583"/>
      <c r="H49" s="583"/>
      <c r="I49" s="583"/>
    </row>
    <row r="50" spans="2:9" x14ac:dyDescent="0.25">
      <c r="B50" s="583"/>
      <c r="C50" s="583"/>
      <c r="D50" s="583"/>
      <c r="E50" s="583"/>
      <c r="F50" s="583"/>
      <c r="G50" s="583"/>
      <c r="H50" s="583"/>
      <c r="I50" s="583"/>
    </row>
    <row r="51" spans="2:9" x14ac:dyDescent="0.25">
      <c r="B51" s="583"/>
      <c r="C51" s="583"/>
      <c r="D51" s="583"/>
      <c r="E51" s="583"/>
      <c r="F51" s="583"/>
      <c r="G51" s="583"/>
      <c r="H51" s="583"/>
      <c r="I51" s="583"/>
    </row>
    <row r="52" spans="2:9" x14ac:dyDescent="0.25">
      <c r="B52" s="583"/>
      <c r="C52" s="583"/>
      <c r="D52" s="583"/>
      <c r="E52" s="583"/>
      <c r="F52" s="583"/>
      <c r="G52" s="583"/>
      <c r="H52" s="583"/>
      <c r="I52" s="583"/>
    </row>
    <row r="53" spans="2:9" x14ac:dyDescent="0.25">
      <c r="B53" s="583"/>
      <c r="C53" s="583"/>
      <c r="D53" s="583"/>
      <c r="E53" s="583"/>
      <c r="F53" s="583"/>
      <c r="G53" s="583"/>
      <c r="H53" s="583"/>
      <c r="I53" s="583"/>
    </row>
    <row r="54" spans="2:9" ht="31.5" customHeight="1" x14ac:dyDescent="0.25">
      <c r="B54" s="583"/>
      <c r="C54" s="583"/>
      <c r="D54" s="583"/>
      <c r="E54" s="583"/>
      <c r="F54" s="583"/>
      <c r="G54" s="583"/>
      <c r="H54" s="583"/>
      <c r="I54" s="583"/>
    </row>
  </sheetData>
  <mergeCells count="16">
    <mergeCell ref="K14:L14"/>
    <mergeCell ref="I5:I6"/>
    <mergeCell ref="K6:L6"/>
    <mergeCell ref="K10:L10"/>
    <mergeCell ref="H5:H6"/>
    <mergeCell ref="B5:B6"/>
    <mergeCell ref="C5:C6"/>
    <mergeCell ref="D5:D6"/>
    <mergeCell ref="G5:G6"/>
    <mergeCell ref="E5:E6"/>
    <mergeCell ref="F5:F6"/>
    <mergeCell ref="B30:I33"/>
    <mergeCell ref="B35:I35"/>
    <mergeCell ref="B42:I45"/>
    <mergeCell ref="B47:I54"/>
    <mergeCell ref="B37:I40"/>
  </mergeCells>
  <pageMargins left="0.25" right="0.25" top="0.75" bottom="0.75" header="0.3" footer="0.3"/>
  <pageSetup paperSize="11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L46"/>
  <sheetViews>
    <sheetView view="pageBreakPreview" topLeftCell="A4" zoomScale="85" zoomScaleNormal="85" zoomScaleSheetLayoutView="85" workbookViewId="0">
      <selection activeCell="N9" sqref="N9"/>
    </sheetView>
  </sheetViews>
  <sheetFormatPr defaultColWidth="9.140625" defaultRowHeight="15" x14ac:dyDescent="0.25"/>
  <cols>
    <col min="1" max="1" width="3.7109375" style="87" customWidth="1"/>
    <col min="2" max="7" width="15.85546875" style="87" customWidth="1"/>
    <col min="8" max="8" width="5.7109375" style="87" customWidth="1"/>
    <col min="9" max="9" width="10.7109375" style="87" customWidth="1"/>
    <col min="10" max="10" width="32" style="87" customWidth="1"/>
    <col min="11" max="12" width="20" style="87" customWidth="1"/>
    <col min="13" max="16384" width="9.140625" style="87"/>
  </cols>
  <sheetData>
    <row r="1" spans="1:12" x14ac:dyDescent="0.25">
      <c r="A1" s="19"/>
      <c r="B1" s="19">
        <v>1</v>
      </c>
      <c r="C1" s="19">
        <f>B1+1</f>
        <v>2</v>
      </c>
      <c r="D1" s="19">
        <f t="shared" ref="D1:G1" si="0">C1+1</f>
        <v>3</v>
      </c>
      <c r="E1" s="19">
        <f t="shared" si="0"/>
        <v>4</v>
      </c>
      <c r="F1" s="19">
        <f t="shared" si="0"/>
        <v>5</v>
      </c>
      <c r="G1" s="19">
        <f t="shared" si="0"/>
        <v>6</v>
      </c>
    </row>
    <row r="2" spans="1:12" x14ac:dyDescent="0.25">
      <c r="B2" s="5" t="s">
        <v>102</v>
      </c>
      <c r="E2" s="169"/>
      <c r="F2" s="169"/>
    </row>
    <row r="3" spans="1:12" ht="15.75" thickBot="1" x14ac:dyDescent="0.3">
      <c r="B3" s="5"/>
      <c r="E3" s="169"/>
      <c r="F3" s="169"/>
    </row>
    <row r="4" spans="1:12" ht="15.75" thickBot="1" x14ac:dyDescent="0.3">
      <c r="C4" s="69"/>
      <c r="D4" s="603" t="s">
        <v>43</v>
      </c>
      <c r="E4" s="604"/>
      <c r="F4" s="604"/>
      <c r="G4" s="605"/>
    </row>
    <row r="5" spans="1:12" ht="35.1" customHeight="1" x14ac:dyDescent="0.25">
      <c r="B5" s="606" t="s">
        <v>0</v>
      </c>
      <c r="C5" s="606" t="s">
        <v>134</v>
      </c>
      <c r="D5" s="610" t="s">
        <v>135</v>
      </c>
      <c r="E5" s="600" t="s">
        <v>70</v>
      </c>
      <c r="F5" s="600" t="s">
        <v>107</v>
      </c>
      <c r="G5" s="597" t="s">
        <v>1</v>
      </c>
    </row>
    <row r="6" spans="1:12" ht="43.5" customHeight="1" thickBot="1" x14ac:dyDescent="0.3">
      <c r="B6" s="607"/>
      <c r="C6" s="607"/>
      <c r="D6" s="611"/>
      <c r="E6" s="601"/>
      <c r="F6" s="601"/>
      <c r="G6" s="598"/>
      <c r="J6" s="608" t="s">
        <v>189</v>
      </c>
      <c r="K6" s="608"/>
    </row>
    <row r="7" spans="1:12" ht="18" customHeight="1" x14ac:dyDescent="0.25">
      <c r="B7" s="1">
        <f>Assumptions!C10</f>
        <v>2025</v>
      </c>
      <c r="C7" s="175">
        <f>IFERROR(VLOOKUP($B7,'Annualized Operations'!$B$13:$H$32,'Annualized Operations'!C$1,FALSE),0)</f>
        <v>4250656204.055769</v>
      </c>
      <c r="D7" s="170">
        <f>IFERROR(VLOOKUP($B7,'Annualized Operations'!$B$13:$H$32,'Annualized Operations'!D$1,FALSE),0)</f>
        <v>4252851552.288465</v>
      </c>
      <c r="E7" s="172">
        <f>$C7-D7</f>
        <v>-2195348.2326960564</v>
      </c>
      <c r="F7" s="456">
        <f>E7*$K$15</f>
        <v>-693102.17025659466</v>
      </c>
      <c r="G7" s="219">
        <f>F7*(1+0.07)^-($B7-Assumptions!$C$6)</f>
        <v>-494172.26836308849</v>
      </c>
      <c r="J7" s="109" t="s">
        <v>58</v>
      </c>
      <c r="K7" s="365">
        <f>0.27/K18</f>
        <v>0.28119010322705562</v>
      </c>
    </row>
    <row r="8" spans="1:12" x14ac:dyDescent="0.25">
      <c r="B8" s="2">
        <f>B7+1</f>
        <v>2026</v>
      </c>
      <c r="C8" s="176">
        <f>IFERROR(VLOOKUP($B8,'Annualized Operations'!$B$13:$H$32,'Annualized Operations'!C$1,FALSE),0)</f>
        <v>4281448293.7653852</v>
      </c>
      <c r="D8" s="171">
        <f>IFERROR(VLOOKUP($B8,'Annualized Operations'!$B$13:$H$32,'Annualized Operations'!D$1,FALSE),0)</f>
        <v>4283582322.4192281</v>
      </c>
      <c r="E8" s="140">
        <f t="shared" ref="E8:E26" si="1">$C8-D8</f>
        <v>-2134028.653842926</v>
      </c>
      <c r="F8" s="457">
        <f t="shared" ref="F8:F26" si="2">E8*$K$15</f>
        <v>-673742.72078550514</v>
      </c>
      <c r="G8" s="179">
        <f>F8*(1+0.07)^-($B8-Assumptions!$C$6)</f>
        <v>-448943.22284840117</v>
      </c>
      <c r="J8" s="109" t="s">
        <v>59</v>
      </c>
      <c r="K8" s="365">
        <f>0.66/K18</f>
        <v>0.68735358566613591</v>
      </c>
    </row>
    <row r="9" spans="1:12" x14ac:dyDescent="0.25">
      <c r="B9" s="2">
        <f t="shared" ref="B9:B26" si="3">B8+1</f>
        <v>2027</v>
      </c>
      <c r="C9" s="176">
        <f>IFERROR(VLOOKUP($B9,'Annualized Operations'!$B$13:$H$32,'Annualized Operations'!C$1,FALSE),0)</f>
        <v>4312240383.4750013</v>
      </c>
      <c r="D9" s="171">
        <f>IFERROR(VLOOKUP($B9,'Annualized Operations'!$B$13:$H$32,'Annualized Operations'!D$1,FALSE),0)</f>
        <v>4314313092.5500021</v>
      </c>
      <c r="E9" s="140">
        <f t="shared" si="1"/>
        <v>-2072709.0750007629</v>
      </c>
      <c r="F9" s="457">
        <f t="shared" si="2"/>
        <v>-654383.27131787816</v>
      </c>
      <c r="G9" s="179">
        <f>F9*(1+0.07)^-($B9-Assumptions!$C$6)</f>
        <v>-407517.01330680295</v>
      </c>
      <c r="H9" s="100"/>
      <c r="I9" s="100"/>
      <c r="J9" s="88"/>
      <c r="K9" s="102"/>
      <c r="L9" s="100"/>
    </row>
    <row r="10" spans="1:12" ht="14.25" customHeight="1" x14ac:dyDescent="0.25">
      <c r="B10" s="2">
        <f t="shared" si="3"/>
        <v>2028</v>
      </c>
      <c r="C10" s="176">
        <f>IFERROR(VLOOKUP($B10,'Annualized Operations'!$B$13:$H$32,'Annualized Operations'!C$1,FALSE),0)</f>
        <v>4343032473.1846066</v>
      </c>
      <c r="D10" s="171">
        <f>IFERROR(VLOOKUP($B10,'Annualized Operations'!$B$13:$H$32,'Annualized Operations'!D$1,FALSE),0)</f>
        <v>4345043862.6807642</v>
      </c>
      <c r="E10" s="140">
        <f t="shared" si="1"/>
        <v>-2011389.4961576462</v>
      </c>
      <c r="F10" s="457">
        <f t="shared" si="2"/>
        <v>-635023.82184995001</v>
      </c>
      <c r="G10" s="179">
        <f>F10*(1+0.07)^-($B10-Assumptions!$C$6)</f>
        <v>-369589.64593235787</v>
      </c>
      <c r="J10" s="609" t="s">
        <v>266</v>
      </c>
      <c r="K10" s="609"/>
    </row>
    <row r="11" spans="1:12" x14ac:dyDescent="0.25">
      <c r="B11" s="2">
        <f t="shared" si="3"/>
        <v>2029</v>
      </c>
      <c r="C11" s="176">
        <f>IFERROR(VLOOKUP($B11,'Annualized Operations'!$B$13:$H$32,'Annualized Operations'!C$1,FALSE),0)</f>
        <v>4373824562.8942223</v>
      </c>
      <c r="D11" s="171">
        <f>IFERROR(VLOOKUP($B11,'Annualized Operations'!$B$13:$H$32,'Annualized Operations'!D$1,FALSE),0)</f>
        <v>4375774632.8115387</v>
      </c>
      <c r="E11" s="140">
        <f t="shared" si="1"/>
        <v>-1950069.9173164368</v>
      </c>
      <c r="F11" s="457">
        <f t="shared" si="2"/>
        <v>-615664.37238262407</v>
      </c>
      <c r="G11" s="179">
        <f>F11*(1+0.07)^-($B11-Assumptions!$C$6)</f>
        <v>-334880.62624580134</v>
      </c>
      <c r="J11" s="109" t="s">
        <v>60</v>
      </c>
      <c r="K11" s="105">
        <f>1-K12</f>
        <v>0.91500000000000004</v>
      </c>
      <c r="L11" s="29"/>
    </row>
    <row r="12" spans="1:12" x14ac:dyDescent="0.25">
      <c r="B12" s="2">
        <f t="shared" si="3"/>
        <v>2030</v>
      </c>
      <c r="C12" s="176">
        <f>IFERROR(VLOOKUP($B12,'Annualized Operations'!$B$13:$H$32,'Annualized Operations'!C$1,FALSE),0)</f>
        <v>4404616652.6038389</v>
      </c>
      <c r="D12" s="171">
        <f>IFERROR(VLOOKUP($B12,'Annualized Operations'!$B$13:$H$32,'Annualized Operations'!D$1,FALSE),0)</f>
        <v>4406505402.9423122</v>
      </c>
      <c r="E12" s="140">
        <f t="shared" si="1"/>
        <v>-1888750.33847332</v>
      </c>
      <c r="F12" s="457">
        <f t="shared" si="2"/>
        <v>-596304.92291469593</v>
      </c>
      <c r="G12" s="179">
        <f>F12*(1+0.07)^-($B12-Assumptions!$C$6)</f>
        <v>-303131.18546013313</v>
      </c>
      <c r="J12" s="109" t="s">
        <v>61</v>
      </c>
      <c r="K12" s="105">
        <f>'Travel Time Cost Savings'!L12</f>
        <v>8.5000000000000006E-2</v>
      </c>
      <c r="L12" s="88"/>
    </row>
    <row r="13" spans="1:12" x14ac:dyDescent="0.25">
      <c r="B13" s="2">
        <f t="shared" si="3"/>
        <v>2031</v>
      </c>
      <c r="C13" s="176">
        <f>IFERROR(VLOOKUP($B13,'Annualized Operations'!$B$13:$H$32,'Annualized Operations'!C$1,FALSE),0)</f>
        <v>4435408742.3134546</v>
      </c>
      <c r="D13" s="171">
        <f>IFERROR(VLOOKUP($B13,'Annualized Operations'!$B$13:$H$32,'Annualized Operations'!D$1,FALSE),0)</f>
        <v>4437236173.0730753</v>
      </c>
      <c r="E13" s="140">
        <f t="shared" si="1"/>
        <v>-1827430.7596206665</v>
      </c>
      <c r="F13" s="457">
        <f t="shared" si="2"/>
        <v>-576945.47344375693</v>
      </c>
      <c r="G13" s="179">
        <f>F13*(1+0.07)^-($B13-Assumptions!$C$6)</f>
        <v>-274102.63834155462</v>
      </c>
      <c r="J13" s="88"/>
      <c r="K13" s="91"/>
    </row>
    <row r="14" spans="1:12" ht="15" customHeight="1" x14ac:dyDescent="0.25">
      <c r="B14" s="2">
        <f t="shared" si="3"/>
        <v>2032</v>
      </c>
      <c r="C14" s="176">
        <f>IFERROR(VLOOKUP($B14,'Annualized Operations'!$B$13:$H$32,'Annualized Operations'!C$1,FALSE),0)</f>
        <v>4466200832.0230713</v>
      </c>
      <c r="D14" s="171">
        <f>IFERROR(VLOOKUP($B14,'Annualized Operations'!$B$13:$H$32,'Annualized Operations'!D$1,FALSE),0)</f>
        <v>4467966943.2038488</v>
      </c>
      <c r="E14" s="140">
        <f t="shared" si="1"/>
        <v>-1766111.1807775497</v>
      </c>
      <c r="F14" s="457">
        <f t="shared" si="2"/>
        <v>-557586.0239758289</v>
      </c>
      <c r="G14" s="179">
        <f>F14*(1+0.07)^-($B14-Assumptions!$C$6)</f>
        <v>-247574.86295075939</v>
      </c>
      <c r="J14" s="150" t="s">
        <v>62</v>
      </c>
      <c r="K14" s="78"/>
    </row>
    <row r="15" spans="1:12" x14ac:dyDescent="0.25">
      <c r="B15" s="2">
        <f t="shared" si="3"/>
        <v>2033</v>
      </c>
      <c r="C15" s="176">
        <f>IFERROR(VLOOKUP($B15,'Annualized Operations'!$B$13:$H$32,'Annualized Operations'!C$1,FALSE),0)</f>
        <v>4496992921.732687</v>
      </c>
      <c r="D15" s="171">
        <f>IFERROR(VLOOKUP($B15,'Annualized Operations'!$B$13:$H$32,'Annualized Operations'!D$1,FALSE),0)</f>
        <v>4498697713.3346119</v>
      </c>
      <c r="E15" s="140">
        <f t="shared" si="1"/>
        <v>-1704791.6019248962</v>
      </c>
      <c r="F15" s="457">
        <f t="shared" si="2"/>
        <v>-538226.5745048899</v>
      </c>
      <c r="G15" s="179">
        <f>F15*(1+0.07)^-($B15-Assumptions!$C$6)</f>
        <v>-223344.89332836049</v>
      </c>
      <c r="J15" s="77" t="s">
        <v>63</v>
      </c>
      <c r="K15" s="111">
        <f>K11*K7+K12*K8</f>
        <v>0.31571399923437748</v>
      </c>
    </row>
    <row r="16" spans="1:12" x14ac:dyDescent="0.25">
      <c r="B16" s="2">
        <f t="shared" si="3"/>
        <v>2034</v>
      </c>
      <c r="C16" s="176">
        <f>IFERROR(VLOOKUP($B16,'Annualized Operations'!$B$13:$H$32,'Annualized Operations'!C$1,FALSE),0)</f>
        <v>4527785011.4423037</v>
      </c>
      <c r="D16" s="171">
        <f>IFERROR(VLOOKUP($B16,'Annualized Operations'!$B$13:$H$32,'Annualized Operations'!D$1,FALSE),0)</f>
        <v>4529428483.4653854</v>
      </c>
      <c r="E16" s="140">
        <f t="shared" si="1"/>
        <v>-1643472.0230817795</v>
      </c>
      <c r="F16" s="457">
        <f t="shared" si="2"/>
        <v>-518867.12503696175</v>
      </c>
      <c r="G16" s="179">
        <f>F16*(1+0.07)^-($B16-Assumptions!$C$6)</f>
        <v>-201225.61688642585</v>
      </c>
    </row>
    <row r="17" spans="1:11" x14ac:dyDescent="0.25">
      <c r="B17" s="2">
        <f t="shared" si="3"/>
        <v>2035</v>
      </c>
      <c r="C17" s="176">
        <f>IFERROR(VLOOKUP($B17,'Annualized Operations'!$B$13:$H$32,'Annualized Operations'!C$1,FALSE),0)</f>
        <v>4558577101.1519194</v>
      </c>
      <c r="D17" s="171">
        <f>IFERROR(VLOOKUP($B17,'Annualized Operations'!$B$13:$H$32,'Annualized Operations'!D$1,FALSE),0)</f>
        <v>4560159253.5961485</v>
      </c>
      <c r="E17" s="140">
        <f t="shared" si="1"/>
        <v>-1582152.444229126</v>
      </c>
      <c r="F17" s="457">
        <f t="shared" si="2"/>
        <v>-499507.67556602275</v>
      </c>
      <c r="G17" s="179">
        <f>F17*(1+0.07)^-($B17-Assumptions!$C$6)</f>
        <v>-181044.5687897121</v>
      </c>
      <c r="J17" s="453" t="s">
        <v>264</v>
      </c>
      <c r="K17" s="453"/>
    </row>
    <row r="18" spans="1:11" x14ac:dyDescent="0.25">
      <c r="B18" s="2">
        <f t="shared" si="3"/>
        <v>2036</v>
      </c>
      <c r="C18" s="176">
        <f>IFERROR(VLOOKUP($B18,'Annualized Operations'!$B$13:$H$32,'Annualized Operations'!C$1,FALSE),0)</f>
        <v>4589369190.861536</v>
      </c>
      <c r="D18" s="171">
        <f>IFERROR(VLOOKUP($B18,'Annualized Operations'!$B$13:$H$32,'Annualized Operations'!D$1,FALSE),0)</f>
        <v>4590890023.726922</v>
      </c>
      <c r="E18" s="140">
        <f t="shared" si="1"/>
        <v>-1520832.8653860092</v>
      </c>
      <c r="F18" s="457">
        <f t="shared" si="2"/>
        <v>-480148.2260980946</v>
      </c>
      <c r="G18" s="179">
        <f>F18*(1+0.07)^-($B18-Assumptions!$C$6)</f>
        <v>-162642.81625008801</v>
      </c>
      <c r="J18" s="459" t="s">
        <v>265</v>
      </c>
      <c r="K18" s="455">
        <v>0.96020449120138562</v>
      </c>
    </row>
    <row r="19" spans="1:11" x14ac:dyDescent="0.25">
      <c r="B19" s="2">
        <f t="shared" si="3"/>
        <v>2037</v>
      </c>
      <c r="C19" s="176">
        <f>IFERROR(VLOOKUP($B19,'Annualized Operations'!$B$13:$H$32,'Annualized Operations'!C$1,FALSE),0)</f>
        <v>4620161280.5711517</v>
      </c>
      <c r="D19" s="171">
        <f>IFERROR(VLOOKUP($B19,'Annualized Operations'!$B$13:$H$32,'Annualized Operations'!D$1,FALSE),0)</f>
        <v>4621620793.8576965</v>
      </c>
      <c r="E19" s="140">
        <f t="shared" si="1"/>
        <v>-1459513.2865447998</v>
      </c>
      <c r="F19" s="457">
        <f t="shared" si="2"/>
        <v>-460788.77663076867</v>
      </c>
      <c r="G19" s="179">
        <f>F19*(1+0.07)^-($B19-Assumptions!$C$6)</f>
        <v>-145873.92609458862</v>
      </c>
    </row>
    <row r="20" spans="1:11" x14ac:dyDescent="0.25">
      <c r="B20" s="2">
        <f t="shared" si="3"/>
        <v>2038</v>
      </c>
      <c r="C20" s="176">
        <f>IFERROR(VLOOKUP($B20,'Annualized Operations'!$B$13:$H$32,'Annualized Operations'!C$1,FALSE),0)</f>
        <v>4650953370.2807684</v>
      </c>
      <c r="D20" s="171">
        <f>IFERROR(VLOOKUP($B20,'Annualized Operations'!$B$13:$H$32,'Annualized Operations'!D$1,FALSE),0)</f>
        <v>4652351563.9884586</v>
      </c>
      <c r="E20" s="140">
        <f t="shared" si="1"/>
        <v>-1398193.707690239</v>
      </c>
      <c r="F20" s="457">
        <f t="shared" si="2"/>
        <v>-441429.32715922751</v>
      </c>
      <c r="G20" s="179">
        <f>F20*(1+0.07)^-($B20-Assumptions!$C$6)</f>
        <v>-130603.0095125371</v>
      </c>
    </row>
    <row r="21" spans="1:11" ht="14.25" customHeight="1" x14ac:dyDescent="0.25">
      <c r="B21" s="2">
        <f t="shared" si="3"/>
        <v>2039</v>
      </c>
      <c r="C21" s="176">
        <f>IFERROR(VLOOKUP($B21,'Annualized Operations'!$B$13:$H$32,'Annualized Operations'!C$1,FALSE),0)</f>
        <v>4681745459.9903841</v>
      </c>
      <c r="D21" s="171">
        <f>IFERROR(VLOOKUP($B21,'Annualized Operations'!$B$13:$H$32,'Annualized Operations'!D$1,FALSE),0)</f>
        <v>4683082334.1192331</v>
      </c>
      <c r="E21" s="140">
        <f t="shared" si="1"/>
        <v>-1336874.1288490295</v>
      </c>
      <c r="F21" s="457">
        <f t="shared" si="2"/>
        <v>-422069.87769190158</v>
      </c>
      <c r="G21" s="179">
        <f>F21*(1+0.07)^-($B21-Assumptions!$C$6)</f>
        <v>-116705.83829467662</v>
      </c>
    </row>
    <row r="22" spans="1:11" x14ac:dyDescent="0.25">
      <c r="B22" s="2">
        <f t="shared" si="3"/>
        <v>2040</v>
      </c>
      <c r="C22" s="176">
        <f>IFERROR(VLOOKUP($B22,'Annualized Operations'!$B$13:$H$32,'Annualized Operations'!C$1,FALSE),0)</f>
        <v>4712537549.7000008</v>
      </c>
      <c r="D22" s="171">
        <f>IFERROR(VLOOKUP($B22,'Annualized Operations'!$B$13:$H$32,'Annualized Operations'!D$1,FALSE),0)</f>
        <v>4713813104.2499952</v>
      </c>
      <c r="E22" s="140">
        <f t="shared" si="1"/>
        <v>-1275554.5499944687</v>
      </c>
      <c r="F22" s="457">
        <f t="shared" si="2"/>
        <v>-402710.42822036042</v>
      </c>
      <c r="G22" s="179">
        <f>F22*(1+0.07)^-($B22-Assumptions!$C$6)</f>
        <v>-104068.02728345159</v>
      </c>
    </row>
    <row r="23" spans="1:11" x14ac:dyDescent="0.25">
      <c r="B23" s="2">
        <f t="shared" si="3"/>
        <v>2041</v>
      </c>
      <c r="C23" s="176">
        <f>IFERROR(VLOOKUP($B23,'Annualized Operations'!$B$13:$H$32,'Annualized Operations'!C$1,FALSE),0)</f>
        <v>4743329639.4096165</v>
      </c>
      <c r="D23" s="171">
        <f>IFERROR(VLOOKUP($B23,'Annualized Operations'!$B$13:$H$32,'Annualized Operations'!D$1,FALSE),0)</f>
        <v>4744543874.3807697</v>
      </c>
      <c r="E23" s="140">
        <f t="shared" si="1"/>
        <v>-1214234.9711532593</v>
      </c>
      <c r="F23" s="457">
        <f t="shared" si="2"/>
        <v>-383350.97875303449</v>
      </c>
      <c r="G23" s="179">
        <f>F23*(1+0.07)^-($B23-Assumptions!$C$6)</f>
        <v>-92584.278184186667</v>
      </c>
    </row>
    <row r="24" spans="1:11" x14ac:dyDescent="0.25">
      <c r="B24" s="2">
        <f t="shared" si="3"/>
        <v>2042</v>
      </c>
      <c r="C24" s="176">
        <f>IFERROR(VLOOKUP($B24,'Annualized Operations'!$B$13:$H$32,'Annualized Operations'!C$1,FALSE),0)</f>
        <v>4774121729.1192217</v>
      </c>
      <c r="D24" s="171">
        <f>IFERROR(VLOOKUP($B24,'Annualized Operations'!$B$13:$H$32,'Annualized Operations'!D$1,FALSE),0)</f>
        <v>4775274644.5115433</v>
      </c>
      <c r="E24" s="140">
        <f t="shared" si="1"/>
        <v>-1152915.3923215866</v>
      </c>
      <c r="F24" s="457">
        <f t="shared" si="2"/>
        <v>-363991.52928871941</v>
      </c>
      <c r="G24" s="179">
        <f>F24*(1+0.07)^-($B24-Assumptions!$C$6)</f>
        <v>-82157.680174238762</v>
      </c>
    </row>
    <row r="25" spans="1:11" x14ac:dyDescent="0.25">
      <c r="B25" s="2">
        <f t="shared" si="3"/>
        <v>2043</v>
      </c>
      <c r="C25" s="176">
        <f>IFERROR(VLOOKUP($B25,'Annualized Operations'!$B$13:$H$32,'Annualized Operations'!C$1,FALSE),0)</f>
        <v>4804913818.8288383</v>
      </c>
      <c r="D25" s="171">
        <f>IFERROR(VLOOKUP($B25,'Annualized Operations'!$B$13:$H$32,'Annualized Operations'!D$1,FALSE),0)</f>
        <v>4806005414.6423063</v>
      </c>
      <c r="E25" s="140">
        <f t="shared" si="1"/>
        <v>-1091595.8134679794</v>
      </c>
      <c r="F25" s="457">
        <f t="shared" si="2"/>
        <v>-344632.0798174793</v>
      </c>
      <c r="G25" s="179">
        <f>F25*(1+0.07)^-($B25-Assumptions!$C$6)</f>
        <v>-72699.06313827564</v>
      </c>
    </row>
    <row r="26" spans="1:11" ht="15" customHeight="1" thickBot="1" x14ac:dyDescent="0.3">
      <c r="B26" s="3">
        <f t="shared" si="3"/>
        <v>2044</v>
      </c>
      <c r="C26" s="177">
        <f>IFERROR(VLOOKUP($B26,'Annualized Operations'!$B$13:$H$32,'Annualized Operations'!C$1,FALSE),0)</f>
        <v>4835705908.5384541</v>
      </c>
      <c r="D26" s="173">
        <f>IFERROR(VLOOKUP($B26,'Annualized Operations'!$B$13:$H$32,'Annualized Operations'!D$1,FALSE),0)</f>
        <v>4836736184.7730799</v>
      </c>
      <c r="E26" s="153">
        <f t="shared" si="1"/>
        <v>-1030276.2346258163</v>
      </c>
      <c r="F26" s="458">
        <f t="shared" si="2"/>
        <v>-325272.63034985232</v>
      </c>
      <c r="G26" s="183">
        <f>F26*(1+0.07)^-($B26-Assumptions!$C$6)</f>
        <v>-64126.39963532766</v>
      </c>
      <c r="K26" s="87" t="s">
        <v>185</v>
      </c>
    </row>
    <row r="27" spans="1:11" ht="15" customHeight="1" thickBot="1" x14ac:dyDescent="0.3">
      <c r="B27" s="4"/>
      <c r="C27" s="85"/>
      <c r="D27" s="85"/>
      <c r="E27" s="85"/>
      <c r="F27" s="174" t="s">
        <v>2</v>
      </c>
      <c r="G27" s="232">
        <f>SUM(G7:G26)</f>
        <v>-4456987.5810207678</v>
      </c>
    </row>
    <row r="28" spans="1:11" ht="15" customHeight="1" x14ac:dyDescent="0.25">
      <c r="F28" s="69"/>
      <c r="G28" s="69"/>
    </row>
    <row r="29" spans="1:11" x14ac:dyDescent="0.25">
      <c r="B29" s="5" t="s">
        <v>3</v>
      </c>
      <c r="C29" s="5"/>
      <c r="D29" s="5"/>
    </row>
    <row r="30" spans="1:11" x14ac:dyDescent="0.25">
      <c r="A30" s="6" t="s">
        <v>32</v>
      </c>
      <c r="B30" s="612" t="s">
        <v>133</v>
      </c>
      <c r="C30" s="612"/>
      <c r="D30" s="612"/>
      <c r="E30" s="612"/>
      <c r="F30" s="612"/>
      <c r="G30" s="612"/>
    </row>
    <row r="31" spans="1:11" x14ac:dyDescent="0.25">
      <c r="B31" s="612"/>
      <c r="C31" s="612"/>
      <c r="D31" s="612"/>
      <c r="E31" s="612"/>
      <c r="F31" s="612"/>
      <c r="G31" s="612"/>
    </row>
    <row r="32" spans="1:11" x14ac:dyDescent="0.25">
      <c r="B32" s="612"/>
      <c r="C32" s="612"/>
      <c r="D32" s="612"/>
      <c r="E32" s="612"/>
      <c r="F32" s="612"/>
      <c r="G32" s="612"/>
    </row>
    <row r="33" spans="1:9" x14ac:dyDescent="0.25">
      <c r="B33" s="612"/>
      <c r="C33" s="612"/>
      <c r="D33" s="612"/>
      <c r="E33" s="612"/>
      <c r="F33" s="612"/>
      <c r="G33" s="612"/>
    </row>
    <row r="34" spans="1:9" x14ac:dyDescent="0.25">
      <c r="B34" s="253"/>
      <c r="C34" s="253"/>
      <c r="D34" s="253"/>
      <c r="E34" s="253"/>
      <c r="F34" s="253"/>
      <c r="G34" s="253"/>
    </row>
    <row r="35" spans="1:9" ht="15" customHeight="1" x14ac:dyDescent="0.25">
      <c r="A35" s="6" t="s">
        <v>31</v>
      </c>
      <c r="B35" s="540" t="s">
        <v>267</v>
      </c>
      <c r="C35" s="540"/>
      <c r="D35" s="540"/>
      <c r="E35" s="540"/>
      <c r="F35" s="540"/>
      <c r="G35" s="540"/>
      <c r="H35" s="33"/>
      <c r="I35" s="33"/>
    </row>
    <row r="36" spans="1:9" x14ac:dyDescent="0.25">
      <c r="B36" s="540"/>
      <c r="C36" s="540"/>
      <c r="D36" s="540"/>
      <c r="E36" s="540"/>
      <c r="F36" s="540"/>
      <c r="G36" s="540"/>
      <c r="H36" s="33"/>
      <c r="I36" s="33"/>
    </row>
    <row r="37" spans="1:9" x14ac:dyDescent="0.25">
      <c r="B37" s="540"/>
      <c r="C37" s="540"/>
      <c r="D37" s="540"/>
      <c r="E37" s="540"/>
      <c r="F37" s="540"/>
      <c r="G37" s="540"/>
      <c r="H37" s="33"/>
      <c r="I37" s="33"/>
    </row>
    <row r="38" spans="1:9" x14ac:dyDescent="0.25">
      <c r="B38" s="540"/>
      <c r="C38" s="540"/>
      <c r="D38" s="540"/>
      <c r="E38" s="540"/>
      <c r="F38" s="540"/>
      <c r="G38" s="540"/>
      <c r="H38" s="33"/>
      <c r="I38" s="33"/>
    </row>
    <row r="39" spans="1:9" s="438" customFormat="1" x14ac:dyDescent="0.25">
      <c r="B39" s="540"/>
      <c r="C39" s="540"/>
      <c r="D39" s="540"/>
      <c r="E39" s="540"/>
      <c r="F39" s="540"/>
      <c r="G39" s="540"/>
      <c r="H39" s="33"/>
      <c r="I39" s="33"/>
    </row>
    <row r="40" spans="1:9" s="438" customFormat="1" x14ac:dyDescent="0.25">
      <c r="B40" s="540"/>
      <c r="C40" s="540"/>
      <c r="D40" s="540"/>
      <c r="E40" s="540"/>
      <c r="F40" s="540"/>
      <c r="G40" s="540"/>
      <c r="H40" s="33"/>
      <c r="I40" s="33"/>
    </row>
    <row r="41" spans="1:9" ht="18.75" customHeight="1" x14ac:dyDescent="0.25">
      <c r="B41" s="452"/>
      <c r="C41" s="452"/>
      <c r="D41" s="452"/>
      <c r="E41" s="452"/>
      <c r="F41" s="452"/>
      <c r="G41" s="452"/>
    </row>
    <row r="42" spans="1:9" ht="15" customHeight="1" x14ac:dyDescent="0.25">
      <c r="A42" s="87" t="s">
        <v>116</v>
      </c>
      <c r="B42" s="602" t="s">
        <v>125</v>
      </c>
      <c r="C42" s="602"/>
      <c r="D42" s="602"/>
      <c r="E42" s="602"/>
      <c r="F42" s="602"/>
      <c r="G42" s="602"/>
    </row>
    <row r="43" spans="1:9" x14ac:dyDescent="0.25">
      <c r="B43" s="602"/>
      <c r="C43" s="602"/>
      <c r="D43" s="602"/>
      <c r="E43" s="602"/>
      <c r="F43" s="602"/>
      <c r="G43" s="602"/>
    </row>
    <row r="44" spans="1:9" x14ac:dyDescent="0.25">
      <c r="B44" s="33"/>
      <c r="C44" s="33"/>
      <c r="D44" s="33"/>
      <c r="E44" s="33"/>
      <c r="F44" s="33"/>
      <c r="G44" s="33"/>
    </row>
    <row r="45" spans="1:9" x14ac:dyDescent="0.25">
      <c r="B45" s="33"/>
      <c r="C45" s="33"/>
      <c r="D45" s="33"/>
      <c r="E45" s="33"/>
      <c r="F45" s="33"/>
      <c r="G45" s="33"/>
    </row>
    <row r="46" spans="1:9" x14ac:dyDescent="0.25">
      <c r="B46" s="33"/>
      <c r="C46" s="33"/>
      <c r="D46" s="33"/>
      <c r="E46" s="33"/>
      <c r="F46" s="33"/>
      <c r="G46" s="33"/>
    </row>
  </sheetData>
  <mergeCells count="12">
    <mergeCell ref="J6:K6"/>
    <mergeCell ref="J10:K10"/>
    <mergeCell ref="G5:G6"/>
    <mergeCell ref="D5:D6"/>
    <mergeCell ref="E5:E6"/>
    <mergeCell ref="F5:F6"/>
    <mergeCell ref="B42:G43"/>
    <mergeCell ref="B35:G40"/>
    <mergeCell ref="D4:G4"/>
    <mergeCell ref="B5:B6"/>
    <mergeCell ref="C5:C6"/>
    <mergeCell ref="B30:G33"/>
  </mergeCells>
  <pageMargins left="0.25" right="0.25" top="0.75" bottom="0.75" header="0.3" footer="0.3"/>
  <pageSetup paperSize="119" scale="5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U112"/>
  <sheetViews>
    <sheetView view="pageBreakPreview" topLeftCell="A4" zoomScale="85" zoomScaleNormal="85" zoomScaleSheetLayoutView="85" workbookViewId="0">
      <selection activeCell="K35" sqref="K35"/>
    </sheetView>
  </sheetViews>
  <sheetFormatPr defaultColWidth="8.85546875" defaultRowHeight="15" x14ac:dyDescent="0.25"/>
  <cols>
    <col min="1" max="1" width="5.42578125" style="87" customWidth="1"/>
    <col min="2" max="5" width="15.85546875" style="87" customWidth="1"/>
    <col min="6" max="6" width="10.85546875" style="87" customWidth="1"/>
    <col min="7" max="7" width="43.42578125" customWidth="1"/>
    <col min="8" max="12" width="18.28515625" customWidth="1"/>
    <col min="13" max="17" width="20.7109375" customWidth="1"/>
    <col min="18" max="21" width="20.42578125" customWidth="1"/>
  </cols>
  <sheetData>
    <row r="1" spans="2:20" x14ac:dyDescent="0.25">
      <c r="B1" s="87">
        <v>1</v>
      </c>
      <c r="C1" s="87">
        <f>B1+1</f>
        <v>2</v>
      </c>
      <c r="D1" s="87">
        <f t="shared" ref="D1:E1" si="0">C1+1</f>
        <v>3</v>
      </c>
      <c r="E1" s="87">
        <f t="shared" si="0"/>
        <v>4</v>
      </c>
      <c r="T1" s="87"/>
    </row>
    <row r="2" spans="2:20" x14ac:dyDescent="0.25">
      <c r="B2" s="21" t="s">
        <v>103</v>
      </c>
      <c r="T2" s="87"/>
    </row>
    <row r="3" spans="2:20" ht="15.75" thickBot="1" x14ac:dyDescent="0.3">
      <c r="T3" s="87"/>
    </row>
    <row r="4" spans="2:20" ht="29.25" customHeight="1" x14ac:dyDescent="0.25">
      <c r="B4" s="568" t="s">
        <v>0</v>
      </c>
      <c r="C4" s="616" t="s">
        <v>120</v>
      </c>
      <c r="D4" s="613" t="s">
        <v>1</v>
      </c>
      <c r="E4" s="615"/>
      <c r="T4" s="87"/>
    </row>
    <row r="5" spans="2:20" ht="29.25" customHeight="1" thickBot="1" x14ac:dyDescent="0.3">
      <c r="B5" s="570"/>
      <c r="C5" s="617"/>
      <c r="D5" s="614"/>
      <c r="E5" s="615"/>
      <c r="G5" s="125" t="s">
        <v>268</v>
      </c>
      <c r="H5" s="126"/>
      <c r="I5" s="36"/>
      <c r="J5" s="36"/>
      <c r="K5" s="36"/>
      <c r="L5" s="36"/>
      <c r="T5" s="87"/>
    </row>
    <row r="6" spans="2:20" x14ac:dyDescent="0.25">
      <c r="B6" s="93">
        <f>Assumptions!$C$10</f>
        <v>2025</v>
      </c>
      <c r="C6" s="460">
        <f t="shared" ref="C6:C25" si="1">TREND($J$33:$J$34,$G$33:$G$34,$B6)</f>
        <v>5759145.8285078034</v>
      </c>
      <c r="D6" s="461">
        <f>C6*(1+0.07)^-($B6-Assumptions!$C$6)</f>
        <v>4106191.381357085</v>
      </c>
      <c r="E6" s="225"/>
      <c r="F6" s="156"/>
      <c r="G6" s="127" t="s">
        <v>90</v>
      </c>
      <c r="H6" s="128" t="s">
        <v>50</v>
      </c>
      <c r="I6" s="128" t="s">
        <v>51</v>
      </c>
      <c r="J6" s="128" t="s">
        <v>52</v>
      </c>
      <c r="K6" s="115" t="s">
        <v>53</v>
      </c>
      <c r="L6" s="115" t="s">
        <v>82</v>
      </c>
      <c r="P6" s="133"/>
      <c r="Q6" s="133"/>
      <c r="T6" s="87"/>
    </row>
    <row r="7" spans="2:20" x14ac:dyDescent="0.25">
      <c r="B7" s="94">
        <f>B6+1</f>
        <v>2026</v>
      </c>
      <c r="C7" s="462">
        <f t="shared" si="1"/>
        <v>5786588.9242934734</v>
      </c>
      <c r="D7" s="463">
        <f>C7*(1+0.07)^-($B7-Assumptions!$C$6)</f>
        <v>3855848.5321257142</v>
      </c>
      <c r="E7" s="225"/>
      <c r="G7" s="215" t="s">
        <v>44</v>
      </c>
      <c r="H7" s="366">
        <v>11600000</v>
      </c>
      <c r="I7" s="366">
        <v>554800</v>
      </c>
      <c r="J7" s="366">
        <v>151100</v>
      </c>
      <c r="K7" s="366">
        <v>77800</v>
      </c>
      <c r="L7" s="366">
        <v>4600</v>
      </c>
      <c r="T7" s="87"/>
    </row>
    <row r="8" spans="2:20" x14ac:dyDescent="0.25">
      <c r="B8" s="94">
        <f t="shared" ref="B8:B25" si="2">B7+1</f>
        <v>2027</v>
      </c>
      <c r="C8" s="462">
        <f t="shared" si="1"/>
        <v>5814032.0200791359</v>
      </c>
      <c r="D8" s="463">
        <f>C8*(1+0.07)^-($B8-Assumptions!$C$6)</f>
        <v>3620686.9398130295</v>
      </c>
      <c r="E8" s="225"/>
      <c r="P8" s="19"/>
      <c r="Q8" s="87"/>
      <c r="R8" s="133"/>
      <c r="T8" s="87"/>
    </row>
    <row r="9" spans="2:20" x14ac:dyDescent="0.25">
      <c r="B9" s="94">
        <f t="shared" si="2"/>
        <v>2028</v>
      </c>
      <c r="C9" s="462">
        <f t="shared" si="1"/>
        <v>5841475.1158647984</v>
      </c>
      <c r="D9" s="463">
        <f>C9*(1+0.07)^-($B9-Assumptions!$C$6)</f>
        <v>3399791.7015234255</v>
      </c>
      <c r="E9" s="225"/>
      <c r="G9" s="79"/>
      <c r="H9" s="129"/>
      <c r="I9" s="129"/>
      <c r="J9" s="200"/>
      <c r="K9" s="87"/>
      <c r="L9" s="87"/>
      <c r="M9" s="87"/>
      <c r="N9" s="87"/>
      <c r="O9" s="87"/>
      <c r="P9" s="19"/>
      <c r="Q9" s="87"/>
      <c r="R9" s="87"/>
      <c r="S9" s="87"/>
      <c r="T9" s="87"/>
    </row>
    <row r="10" spans="2:20" s="87" customFormat="1" ht="15" customHeight="1" x14ac:dyDescent="0.25">
      <c r="B10" s="94">
        <f t="shared" si="2"/>
        <v>2029</v>
      </c>
      <c r="C10" s="462">
        <f t="shared" si="1"/>
        <v>5868918.211650461</v>
      </c>
      <c r="D10" s="463">
        <f>C10*(1+0.07)^-($B10-Assumptions!$C$6)</f>
        <v>3192302.6477833004</v>
      </c>
      <c r="E10" s="225"/>
      <c r="F10" s="135"/>
      <c r="G10" s="21" t="s">
        <v>149</v>
      </c>
      <c r="J10" s="38"/>
      <c r="K10" s="618"/>
      <c r="L10" s="618"/>
      <c r="P10" s="96"/>
      <c r="Q10"/>
    </row>
    <row r="11" spans="2:20" s="87" customFormat="1" x14ac:dyDescent="0.25">
      <c r="B11" s="94">
        <f t="shared" si="2"/>
        <v>2030</v>
      </c>
      <c r="C11" s="462">
        <f t="shared" si="1"/>
        <v>5896361.3074361235</v>
      </c>
      <c r="D11" s="463">
        <f>C11*(1+0.07)^-($B11-Assumptions!$C$6)</f>
        <v>2997411.0968056927</v>
      </c>
      <c r="E11" s="225"/>
      <c r="G11" s="103" t="s">
        <v>78</v>
      </c>
      <c r="H11" s="115" t="s">
        <v>84</v>
      </c>
      <c r="I11" s="115" t="s">
        <v>85</v>
      </c>
      <c r="J11" s="341"/>
      <c r="K11" s="38"/>
      <c r="L11" s="38"/>
      <c r="P11" s="19"/>
      <c r="Q11"/>
    </row>
    <row r="12" spans="2:20" s="87" customFormat="1" x14ac:dyDescent="0.25">
      <c r="B12" s="94">
        <f t="shared" si="2"/>
        <v>2031</v>
      </c>
      <c r="C12" s="462">
        <f t="shared" si="1"/>
        <v>5923804.403221786</v>
      </c>
      <c r="D12" s="463">
        <f>C12*(1+0.07)^-($B12-Assumptions!$C$6)</f>
        <v>2814356.7991797375</v>
      </c>
      <c r="E12" s="225"/>
      <c r="G12" s="37">
        <v>2014</v>
      </c>
      <c r="H12" s="374">
        <f>'Annualized Operations'!C5</f>
        <v>10717652.65</v>
      </c>
      <c r="I12" s="374">
        <f>'Annualized Operations'!D5</f>
        <v>10725515.289999999</v>
      </c>
      <c r="J12" s="342"/>
      <c r="K12" s="343"/>
      <c r="L12" s="343"/>
      <c r="M12" s="135"/>
      <c r="N12"/>
      <c r="O12"/>
      <c r="P12" s="19"/>
      <c r="Q12"/>
    </row>
    <row r="13" spans="2:20" s="87" customFormat="1" x14ac:dyDescent="0.25">
      <c r="B13" s="94">
        <f t="shared" si="2"/>
        <v>2032</v>
      </c>
      <c r="C13" s="462">
        <f t="shared" si="1"/>
        <v>5951247.499007456</v>
      </c>
      <c r="D13" s="463">
        <f>C13*(1+0.07)^-($B13-Assumptions!$C$6)</f>
        <v>2642425.0619608262</v>
      </c>
      <c r="E13" s="225"/>
      <c r="G13" s="37">
        <v>2040</v>
      </c>
      <c r="H13" s="374">
        <f>'Annualized Operations'!C6</f>
        <v>12911061.779999999</v>
      </c>
      <c r="I13" s="374">
        <f>'Annualized Operations'!D6</f>
        <v>12914556.449999997</v>
      </c>
      <c r="J13" s="342"/>
      <c r="K13" s="344"/>
      <c r="L13" s="344"/>
      <c r="M13"/>
      <c r="N13"/>
      <c r="O13"/>
      <c r="P13" s="19"/>
      <c r="Q13"/>
    </row>
    <row r="14" spans="2:20" s="87" customFormat="1" x14ac:dyDescent="0.25">
      <c r="B14" s="94">
        <f t="shared" si="2"/>
        <v>2033</v>
      </c>
      <c r="C14" s="462">
        <f t="shared" si="1"/>
        <v>5978690.5947931185</v>
      </c>
      <c r="D14" s="463">
        <f>C14*(1+0.07)^-($B14-Assumptions!$C$6)</f>
        <v>2480944.0417647189</v>
      </c>
      <c r="E14" s="225"/>
      <c r="G14"/>
      <c r="H14"/>
      <c r="I14"/>
      <c r="J14"/>
      <c r="K14"/>
      <c r="L14"/>
      <c r="M14"/>
      <c r="N14"/>
      <c r="O14"/>
      <c r="P14" s="19"/>
      <c r="Q14"/>
    </row>
    <row r="15" spans="2:20" s="87" customFormat="1" ht="17.25" x14ac:dyDescent="0.25">
      <c r="B15" s="94">
        <f t="shared" si="2"/>
        <v>2034</v>
      </c>
      <c r="C15" s="462">
        <f t="shared" si="1"/>
        <v>6006133.6905787811</v>
      </c>
      <c r="D15" s="463">
        <f>C15*(1+0.07)^-($B15-Assumptions!$C$6)</f>
        <v>2329282.1970614661</v>
      </c>
      <c r="E15" s="225"/>
      <c r="G15" s="21" t="s">
        <v>150</v>
      </c>
      <c r="H15" s="19"/>
      <c r="I15" s="19"/>
      <c r="J15" s="19"/>
      <c r="K15"/>
      <c r="L15"/>
      <c r="M15"/>
      <c r="N15"/>
      <c r="O15"/>
      <c r="P15" s="19"/>
    </row>
    <row r="16" spans="2:20" s="87" customFormat="1" x14ac:dyDescent="0.25">
      <c r="B16" s="94">
        <f t="shared" si="2"/>
        <v>2035</v>
      </c>
      <c r="C16" s="462">
        <f t="shared" si="1"/>
        <v>6033576.7863644436</v>
      </c>
      <c r="D16" s="463">
        <f>C16*(1+0.07)^-($B16-Assumptions!$C$6)</f>
        <v>2186845.8904243326</v>
      </c>
      <c r="E16" s="225"/>
      <c r="G16" s="147"/>
      <c r="H16" s="619" t="s">
        <v>96</v>
      </c>
      <c r="I16" s="620"/>
      <c r="K16"/>
      <c r="L16"/>
      <c r="M16"/>
      <c r="N16"/>
      <c r="O16"/>
      <c r="P16" s="19"/>
    </row>
    <row r="17" spans="1:19" s="87" customFormat="1" x14ac:dyDescent="0.25">
      <c r="B17" s="94">
        <f t="shared" si="2"/>
        <v>2036</v>
      </c>
      <c r="C17" s="462">
        <f t="shared" si="1"/>
        <v>6061019.8821501061</v>
      </c>
      <c r="D17" s="463">
        <f>C17*(1+0.07)^-($B17-Assumptions!$C$6)</f>
        <v>2053077.1320172993</v>
      </c>
      <c r="E17" s="225"/>
      <c r="G17" s="147" t="s">
        <v>90</v>
      </c>
      <c r="H17" s="152" t="s">
        <v>42</v>
      </c>
      <c r="I17" s="152" t="s">
        <v>43</v>
      </c>
      <c r="J17" s="115" t="s">
        <v>106</v>
      </c>
      <c r="K17"/>
      <c r="L17"/>
      <c r="M17"/>
      <c r="N17" s="69"/>
      <c r="O17" s="69"/>
      <c r="P17"/>
    </row>
    <row r="18" spans="1:19" s="87" customFormat="1" x14ac:dyDescent="0.25">
      <c r="B18" s="94">
        <f t="shared" si="2"/>
        <v>2037</v>
      </c>
      <c r="C18" s="462">
        <f t="shared" si="1"/>
        <v>6088462.9779357687</v>
      </c>
      <c r="D18" s="463">
        <f>C18*(1+0.07)^-($B18-Assumptions!$C$6)</f>
        <v>1927451.456103317</v>
      </c>
      <c r="E18" s="225"/>
      <c r="G18" s="441" t="s">
        <v>97</v>
      </c>
      <c r="H18" s="431">
        <f>'[5]Weighted District'!P7</f>
        <v>6.3905327675915268E-3</v>
      </c>
      <c r="I18" s="431">
        <f>'[5]Weighted District'!Q7</f>
        <v>6.3326247147099174E-3</v>
      </c>
      <c r="J18" s="375">
        <f>H7</f>
        <v>11600000</v>
      </c>
      <c r="K18"/>
      <c r="L18"/>
      <c r="M18"/>
      <c r="N18" s="284"/>
      <c r="O18" s="284"/>
      <c r="P18" s="283"/>
      <c r="Q18"/>
    </row>
    <row r="19" spans="1:19" s="87" customFormat="1" x14ac:dyDescent="0.25">
      <c r="B19" s="94">
        <f t="shared" si="2"/>
        <v>2038</v>
      </c>
      <c r="C19" s="462">
        <f t="shared" si="1"/>
        <v>6115906.0737214312</v>
      </c>
      <c r="D19" s="463">
        <f>C19*(1+0.07)^-($B19-Assumptions!$C$6)</f>
        <v>1809475.922826272</v>
      </c>
      <c r="E19" s="225"/>
      <c r="G19" s="441" t="s">
        <v>51</v>
      </c>
      <c r="H19" s="431">
        <f>'[5]Weighted District'!P8</f>
        <v>2.8407782267138706E-2</v>
      </c>
      <c r="I19" s="431">
        <f>'[5]Weighted District'!Q8</f>
        <v>2.8063015961979167E-2</v>
      </c>
      <c r="J19" s="375">
        <f>I7</f>
        <v>554800</v>
      </c>
      <c r="K19"/>
      <c r="L19"/>
      <c r="M19"/>
      <c r="N19" s="284"/>
      <c r="O19" s="284"/>
      <c r="P19" s="283"/>
      <c r="Q19"/>
    </row>
    <row r="20" spans="1:19" s="87" customFormat="1" x14ac:dyDescent="0.25">
      <c r="B20" s="94">
        <f t="shared" si="2"/>
        <v>2039</v>
      </c>
      <c r="C20" s="462">
        <f t="shared" si="1"/>
        <v>6143349.1695071012</v>
      </c>
      <c r="D20" s="463">
        <f>C20*(1+0.07)^-($B20-Assumptions!$C$6)</f>
        <v>1698687.2379639337</v>
      </c>
      <c r="E20" s="225"/>
      <c r="G20" s="441" t="s">
        <v>52</v>
      </c>
      <c r="H20" s="431">
        <f>'[5]Weighted District'!P9</f>
        <v>0.1666113597172196</v>
      </c>
      <c r="I20" s="431">
        <f>'[5]Weighted District'!Q9</f>
        <v>0.16517470965282047</v>
      </c>
      <c r="J20" s="375">
        <f>J7</f>
        <v>151100</v>
      </c>
      <c r="K20"/>
      <c r="L20"/>
      <c r="M20"/>
      <c r="N20" s="284"/>
      <c r="O20" s="284"/>
      <c r="P20" s="283"/>
      <c r="Q20"/>
    </row>
    <row r="21" spans="1:19" s="87" customFormat="1" x14ac:dyDescent="0.25">
      <c r="B21" s="94">
        <f t="shared" si="2"/>
        <v>2040</v>
      </c>
      <c r="C21" s="462">
        <f t="shared" si="1"/>
        <v>6170792.2652927637</v>
      </c>
      <c r="D21" s="463">
        <f>C21*(1+0.07)^-($B21-Assumptions!$C$6)</f>
        <v>1594649.9837684899</v>
      </c>
      <c r="E21" s="225"/>
      <c r="G21" s="441" t="s">
        <v>53</v>
      </c>
      <c r="H21" s="431">
        <f>'[5]Weighted District'!P10</f>
        <v>0.50233017793276202</v>
      </c>
      <c r="I21" s="431">
        <f>'[5]Weighted District'!Q10</f>
        <v>0.49800032384148846</v>
      </c>
      <c r="J21" s="375">
        <f>K7</f>
        <v>77800</v>
      </c>
      <c r="K21"/>
      <c r="L21"/>
      <c r="M21"/>
      <c r="N21" s="284"/>
      <c r="O21" s="284"/>
      <c r="P21" s="283"/>
      <c r="Q21"/>
    </row>
    <row r="22" spans="1:19" s="87" customFormat="1" ht="14.25" customHeight="1" x14ac:dyDescent="0.25">
      <c r="B22" s="94">
        <f t="shared" si="2"/>
        <v>2041</v>
      </c>
      <c r="C22" s="462">
        <f t="shared" si="1"/>
        <v>6198235.3610784262</v>
      </c>
      <c r="D22" s="463">
        <f>C22*(1+0.07)^-($B22-Assumptions!$C$6)</f>
        <v>1496954.9544070526</v>
      </c>
      <c r="E22" s="225"/>
      <c r="G22" s="441" t="s">
        <v>82</v>
      </c>
      <c r="H22" s="431">
        <f>'[5]Weighted District'!P11</f>
        <v>2.0466657738527796</v>
      </c>
      <c r="I22" s="431">
        <f>'[5]Weighted District'!Q11</f>
        <v>2.0255877300920249</v>
      </c>
      <c r="J22" s="375">
        <f>L7</f>
        <v>4600</v>
      </c>
      <c r="K22" s="151"/>
      <c r="L22" s="151"/>
      <c r="M22" s="151"/>
      <c r="N22" s="284"/>
      <c r="O22" s="284"/>
      <c r="P22" s="283"/>
      <c r="Q22"/>
    </row>
    <row r="23" spans="1:19" s="87" customFormat="1" x14ac:dyDescent="0.25">
      <c r="B23" s="94">
        <f t="shared" si="2"/>
        <v>2042</v>
      </c>
      <c r="C23" s="462">
        <f t="shared" si="1"/>
        <v>6225678.4568640888</v>
      </c>
      <c r="D23" s="463">
        <f>C23*(1+0.07)^-($B23-Assumptions!$C$6)</f>
        <v>1405217.5898878528</v>
      </c>
      <c r="E23" s="225"/>
      <c r="G23" s="466"/>
      <c r="H23" s="621" t="s">
        <v>98</v>
      </c>
      <c r="I23" s="622"/>
      <c r="J23" s="376"/>
      <c r="M23" s="5"/>
      <c r="N23" s="151"/>
      <c r="O23" s="69"/>
      <c r="P23"/>
      <c r="Q23"/>
    </row>
    <row r="24" spans="1:19" s="87" customFormat="1" x14ac:dyDescent="0.25">
      <c r="B24" s="94">
        <f t="shared" si="2"/>
        <v>2043</v>
      </c>
      <c r="C24" s="462">
        <f t="shared" si="1"/>
        <v>6253121.5526497513</v>
      </c>
      <c r="D24" s="463">
        <f>C24*(1+0.07)^-($B24-Assumptions!$C$6)</f>
        <v>1319076.5027102388</v>
      </c>
      <c r="E24" s="225"/>
      <c r="G24" s="466" t="s">
        <v>90</v>
      </c>
      <c r="H24" s="377" t="s">
        <v>42</v>
      </c>
      <c r="I24" s="377" t="s">
        <v>43</v>
      </c>
      <c r="J24" s="376"/>
      <c r="M24" s="5"/>
      <c r="N24" s="69"/>
      <c r="O24" s="69"/>
      <c r="P24"/>
      <c r="Q24"/>
    </row>
    <row r="25" spans="1:19" s="87" customFormat="1" ht="15.75" thickBot="1" x14ac:dyDescent="0.3">
      <c r="B25" s="196">
        <f t="shared" si="2"/>
        <v>2044</v>
      </c>
      <c r="C25" s="464">
        <f t="shared" si="1"/>
        <v>6280564.6484354138</v>
      </c>
      <c r="D25" s="465">
        <f>C25*(1+0.07)^-($B25-Assumptions!$C$6)</f>
        <v>1238192.0918089424</v>
      </c>
      <c r="E25" s="225"/>
      <c r="G25" s="441" t="s">
        <v>97</v>
      </c>
      <c r="H25" s="431">
        <f>'[5]Weighted District'!P14</f>
        <v>6.5170445977499264E-3</v>
      </c>
      <c r="I25" s="431">
        <f>'[5]Weighted District'!Q14</f>
        <v>6.4631599771931871E-3</v>
      </c>
      <c r="J25" s="376"/>
      <c r="M25" s="5"/>
      <c r="N25" s="69"/>
      <c r="O25" s="69"/>
      <c r="P25"/>
      <c r="Q25"/>
    </row>
    <row r="26" spans="1:19" s="87" customFormat="1" ht="15.75" thickBot="1" x14ac:dyDescent="0.3">
      <c r="B26" s="25"/>
      <c r="C26" s="110" t="s">
        <v>2</v>
      </c>
      <c r="D26" s="137">
        <f>SUM(D6:D25)</f>
        <v>48168869.161292732</v>
      </c>
      <c r="E26" s="25"/>
      <c r="G26" s="441" t="s">
        <v>51</v>
      </c>
      <c r="H26" s="431">
        <f>'[5]Weighted District'!P15</f>
        <v>2.8995808662779322E-2</v>
      </c>
      <c r="I26" s="431">
        <f>'[5]Weighted District'!Q15</f>
        <v>2.8692297906016156E-2</v>
      </c>
      <c r="J26" s="376"/>
      <c r="K26" s="5"/>
      <c r="L26" s="5"/>
      <c r="M26" s="5"/>
      <c r="N26" s="69"/>
      <c r="O26" s="69"/>
      <c r="P26"/>
      <c r="Q26"/>
      <c r="R26"/>
      <c r="S26"/>
    </row>
    <row r="27" spans="1:19" x14ac:dyDescent="0.25">
      <c r="G27" s="441" t="s">
        <v>52</v>
      </c>
      <c r="H27" s="431">
        <f>'[5]Weighted District'!P16</f>
        <v>0.16916066141589306</v>
      </c>
      <c r="I27" s="431">
        <f>'[5]Weighted District'!Q16</f>
        <v>0.16791850877427134</v>
      </c>
      <c r="J27" s="376"/>
      <c r="N27" s="69"/>
      <c r="O27" s="69"/>
    </row>
    <row r="28" spans="1:19" x14ac:dyDescent="0.25">
      <c r="B28" s="21" t="s">
        <v>3</v>
      </c>
      <c r="G28" s="441" t="s">
        <v>53</v>
      </c>
      <c r="H28" s="431">
        <f>'[5]Weighted District'!P17</f>
        <v>0.51008600125064774</v>
      </c>
      <c r="I28" s="431">
        <f>'[5]Weighted District'!Q17</f>
        <v>0.50635763569068959</v>
      </c>
      <c r="J28" s="376"/>
      <c r="N28" s="69"/>
      <c r="O28" s="69"/>
    </row>
    <row r="29" spans="1:19" ht="15" customHeight="1" x14ac:dyDescent="0.25">
      <c r="A29" s="6" t="s">
        <v>32</v>
      </c>
      <c r="B29" s="623" t="s">
        <v>192</v>
      </c>
      <c r="C29" s="623"/>
      <c r="D29" s="623"/>
      <c r="E29" s="623"/>
      <c r="G29" s="441" t="s">
        <v>82</v>
      </c>
      <c r="H29" s="431">
        <f>'[5]Weighted District'!P18</f>
        <v>2.0818427153270829</v>
      </c>
      <c r="I29" s="431">
        <f>'[5]Weighted District'!Q18</f>
        <v>2.063812695499684</v>
      </c>
      <c r="J29" s="376"/>
      <c r="K29" s="67"/>
      <c r="L29" s="151"/>
      <c r="M29" s="151"/>
      <c r="N29" s="69"/>
      <c r="O29" s="69"/>
    </row>
    <row r="30" spans="1:19" x14ac:dyDescent="0.25">
      <c r="A30" s="10"/>
      <c r="B30" s="623"/>
      <c r="C30" s="623"/>
      <c r="D30" s="623"/>
      <c r="E30" s="623"/>
      <c r="G30" s="5"/>
      <c r="H30" s="378"/>
      <c r="I30" s="378"/>
      <c r="J30" s="376"/>
      <c r="K30" s="116"/>
      <c r="L30" s="116"/>
      <c r="M30" s="5"/>
      <c r="N30" s="151"/>
      <c r="O30" s="69"/>
    </row>
    <row r="31" spans="1:19" ht="17.25" x14ac:dyDescent="0.25">
      <c r="A31" s="10"/>
      <c r="B31" s="623"/>
      <c r="C31" s="623"/>
      <c r="D31" s="623"/>
      <c r="E31" s="623"/>
      <c r="G31" s="5" t="s">
        <v>151</v>
      </c>
      <c r="H31" s="376"/>
      <c r="I31" s="376"/>
      <c r="J31" s="376"/>
      <c r="K31" s="116"/>
      <c r="L31" s="116"/>
      <c r="M31" s="5"/>
      <c r="N31" s="87"/>
      <c r="R31" s="87"/>
    </row>
    <row r="32" spans="1:19" x14ac:dyDescent="0.25">
      <c r="A32" s="10"/>
      <c r="B32" s="623"/>
      <c r="C32" s="623"/>
      <c r="D32" s="623"/>
      <c r="E32" s="623"/>
      <c r="G32" s="152" t="s">
        <v>92</v>
      </c>
      <c r="H32" s="377" t="s">
        <v>42</v>
      </c>
      <c r="I32" s="377" t="s">
        <v>43</v>
      </c>
      <c r="J32" s="377" t="s">
        <v>109</v>
      </c>
      <c r="K32" s="116"/>
      <c r="L32" s="116"/>
      <c r="M32" s="5"/>
      <c r="N32" s="87"/>
      <c r="R32" s="87"/>
    </row>
    <row r="33" spans="1:18" x14ac:dyDescent="0.25">
      <c r="B33" s="623"/>
      <c r="C33" s="623"/>
      <c r="D33" s="623"/>
      <c r="E33" s="623"/>
      <c r="G33" s="152">
        <v>2014</v>
      </c>
      <c r="H33" s="375">
        <f>SUMPRODUCT($J$18:$J$22,$H$18:$H$22)*H12/10^6*365</f>
        <v>639844257.24102533</v>
      </c>
      <c r="I33" s="375">
        <f>SUMPRODUCT($J$18:$J$22,$I$18:$I$22)*I12/10^6*365</f>
        <v>634386985.46615982</v>
      </c>
      <c r="J33" s="375">
        <f>H33-I33</f>
        <v>5457271.7748655081</v>
      </c>
      <c r="K33" s="5"/>
      <c r="L33" s="5"/>
      <c r="M33" s="5"/>
      <c r="N33" s="87"/>
      <c r="R33" s="87"/>
    </row>
    <row r="34" spans="1:18" x14ac:dyDescent="0.25">
      <c r="B34" s="623"/>
      <c r="C34" s="623"/>
      <c r="D34" s="623"/>
      <c r="E34" s="623"/>
      <c r="G34" s="152">
        <v>2040</v>
      </c>
      <c r="H34" s="159">
        <f>SUMPRODUCT($J$18:$J$22,$H$25:$H$29)*H13/10^6*365</f>
        <v>784665472.38571692</v>
      </c>
      <c r="I34" s="159">
        <f>SUMPRODUCT($J$18:$J$22,$I$25:$I$29)*I13/10^6*365</f>
        <v>778494680.12042415</v>
      </c>
      <c r="J34" s="159">
        <f>H34-I34</f>
        <v>6170792.2652927637</v>
      </c>
      <c r="N34" s="87"/>
      <c r="P34" s="87"/>
    </row>
    <row r="35" spans="1:18" x14ac:dyDescent="0.25">
      <c r="A35" s="10"/>
      <c r="B35" s="623"/>
      <c r="C35" s="623"/>
      <c r="D35" s="623"/>
      <c r="E35" s="623"/>
      <c r="P35" s="87"/>
      <c r="Q35" s="87"/>
    </row>
    <row r="36" spans="1:18" x14ac:dyDescent="0.25">
      <c r="A36" s="10"/>
      <c r="B36" s="623"/>
      <c r="C36" s="623"/>
      <c r="D36" s="623"/>
      <c r="E36" s="623"/>
      <c r="P36" s="87"/>
    </row>
    <row r="37" spans="1:18" x14ac:dyDescent="0.25">
      <c r="B37" s="19"/>
      <c r="C37" s="19"/>
      <c r="D37" s="19"/>
      <c r="E37" s="19"/>
      <c r="K37" s="87"/>
    </row>
    <row r="38" spans="1:18" ht="15" customHeight="1" x14ac:dyDescent="0.25">
      <c r="A38" s="6" t="s">
        <v>31</v>
      </c>
      <c r="B38" s="540" t="s">
        <v>269</v>
      </c>
      <c r="C38" s="540"/>
      <c r="D38" s="540"/>
      <c r="E38" s="540"/>
      <c r="K38" s="87"/>
    </row>
    <row r="39" spans="1:18" x14ac:dyDescent="0.25">
      <c r="B39" s="540"/>
      <c r="C39" s="540"/>
      <c r="D39" s="540"/>
      <c r="E39" s="540"/>
    </row>
    <row r="40" spans="1:18" x14ac:dyDescent="0.25">
      <c r="B40" s="540"/>
      <c r="C40" s="540"/>
      <c r="D40" s="540"/>
      <c r="E40" s="540"/>
    </row>
    <row r="41" spans="1:18" x14ac:dyDescent="0.25">
      <c r="B41" s="540"/>
      <c r="C41" s="540"/>
      <c r="D41" s="540"/>
      <c r="E41" s="540"/>
      <c r="G41" s="87"/>
      <c r="H41" s="69"/>
      <c r="I41" s="69"/>
    </row>
    <row r="42" spans="1:18" x14ac:dyDescent="0.25">
      <c r="B42" s="540"/>
      <c r="C42" s="540"/>
      <c r="D42" s="540"/>
      <c r="E42" s="540"/>
      <c r="G42" s="87"/>
      <c r="H42" s="87"/>
      <c r="I42" s="87"/>
      <c r="K42" s="87"/>
      <c r="P42" s="87"/>
    </row>
    <row r="43" spans="1:18" x14ac:dyDescent="0.25">
      <c r="B43" s="540"/>
      <c r="C43" s="540"/>
      <c r="D43" s="540"/>
      <c r="E43" s="540"/>
      <c r="G43" s="87"/>
      <c r="H43" s="87"/>
      <c r="I43" s="87"/>
      <c r="K43" s="87"/>
    </row>
    <row r="44" spans="1:18" x14ac:dyDescent="0.25">
      <c r="B44" s="540"/>
      <c r="C44" s="540"/>
      <c r="D44" s="540"/>
      <c r="E44" s="540"/>
    </row>
    <row r="45" spans="1:18" x14ac:dyDescent="0.25">
      <c r="B45" s="540"/>
      <c r="C45" s="540"/>
      <c r="D45" s="540"/>
      <c r="E45" s="540"/>
      <c r="Q45" s="87"/>
    </row>
    <row r="47" spans="1:18" x14ac:dyDescent="0.25">
      <c r="Q47" s="87"/>
    </row>
    <row r="49" spans="16:18" x14ac:dyDescent="0.25">
      <c r="R49" s="87"/>
    </row>
    <row r="50" spans="16:18" x14ac:dyDescent="0.25">
      <c r="R50" s="87"/>
    </row>
    <row r="51" spans="16:18" x14ac:dyDescent="0.25">
      <c r="R51" s="87"/>
    </row>
    <row r="52" spans="16:18" x14ac:dyDescent="0.25">
      <c r="R52" s="87"/>
    </row>
    <row r="53" spans="16:18" x14ac:dyDescent="0.25">
      <c r="R53" s="87"/>
    </row>
    <row r="54" spans="16:18" x14ac:dyDescent="0.25">
      <c r="R54" s="87"/>
    </row>
    <row r="55" spans="16:18" x14ac:dyDescent="0.25">
      <c r="R55" s="87"/>
    </row>
    <row r="56" spans="16:18" x14ac:dyDescent="0.25">
      <c r="P56" s="87"/>
      <c r="R56" s="87"/>
    </row>
    <row r="80" ht="15.75" customHeight="1" x14ac:dyDescent="0.25"/>
    <row r="82" spans="19:20" ht="15.75" customHeight="1" x14ac:dyDescent="0.25"/>
    <row r="93" spans="19:20" x14ac:dyDescent="0.25">
      <c r="S93" s="151"/>
    </row>
    <row r="94" spans="19:20" x14ac:dyDescent="0.25">
      <c r="S94" s="87"/>
    </row>
    <row r="95" spans="19:20" x14ac:dyDescent="0.25">
      <c r="S95" s="87"/>
      <c r="T95" s="156"/>
    </row>
    <row r="96" spans="19:20" x14ac:dyDescent="0.25">
      <c r="S96" s="87"/>
      <c r="T96" s="156"/>
    </row>
    <row r="97" spans="19:21" x14ac:dyDescent="0.25">
      <c r="S97" s="87"/>
      <c r="T97" s="156"/>
    </row>
    <row r="110" spans="19:21" x14ac:dyDescent="0.25">
      <c r="U110" s="156"/>
    </row>
    <row r="111" spans="19:21" x14ac:dyDescent="0.25">
      <c r="U111" s="156"/>
    </row>
    <row r="112" spans="19:21" x14ac:dyDescent="0.25">
      <c r="U112" s="156"/>
    </row>
  </sheetData>
  <mergeCells count="9">
    <mergeCell ref="K10:L10"/>
    <mergeCell ref="H16:I16"/>
    <mergeCell ref="H23:I23"/>
    <mergeCell ref="B29:E36"/>
    <mergeCell ref="B4:B5"/>
    <mergeCell ref="D4:D5"/>
    <mergeCell ref="E4:E5"/>
    <mergeCell ref="C4:C5"/>
    <mergeCell ref="B38:E45"/>
  </mergeCells>
  <pageMargins left="0.7" right="0.7" top="0.75" bottom="0.75" header="0.3" footer="0.3"/>
  <pageSetup scale="57" orientation="landscape" horizontalDpi="1200" verticalDpi="1200" r:id="rId1"/>
  <colBreaks count="2" manualBreakCount="2">
    <brk id="4" max="1048575" man="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140C4-F1DE-483A-B13B-09DA26BF6991}">
  <sheetPr>
    <tabColor rgb="FF00B050"/>
  </sheetPr>
  <dimension ref="A1:V53"/>
  <sheetViews>
    <sheetView view="pageBreakPreview" topLeftCell="A13" zoomScale="90" zoomScaleNormal="100" zoomScaleSheetLayoutView="90" workbookViewId="0">
      <selection activeCell="R40" sqref="R40"/>
    </sheetView>
  </sheetViews>
  <sheetFormatPr defaultColWidth="8.85546875" defaultRowHeight="15" x14ac:dyDescent="0.25"/>
  <cols>
    <col min="4" max="4" width="14" customWidth="1"/>
    <col min="5" max="5" width="14.42578125" customWidth="1"/>
    <col min="12" max="12" width="11.42578125" customWidth="1"/>
    <col min="13" max="13" width="11.7109375" customWidth="1"/>
    <col min="14" max="14" width="11.42578125" customWidth="1"/>
    <col min="15" max="15" width="20.42578125" customWidth="1"/>
    <col min="17" max="17" width="14.85546875" customWidth="1"/>
    <col min="18" max="18" width="17" customWidth="1"/>
    <col min="19" max="19" width="19.28515625" customWidth="1"/>
    <col min="20" max="20" width="15.28515625" customWidth="1"/>
    <col min="21" max="21" width="14.42578125" customWidth="1"/>
    <col min="22" max="22" width="20.140625" style="32" customWidth="1"/>
  </cols>
  <sheetData>
    <row r="1" spans="1:22" s="87" customFormat="1" x14ac:dyDescent="0.25">
      <c r="E1" s="87">
        <v>4</v>
      </c>
      <c r="F1" s="87">
        <v>5</v>
      </c>
      <c r="G1" s="87">
        <v>6</v>
      </c>
      <c r="H1" s="87">
        <v>7</v>
      </c>
      <c r="I1" s="87">
        <v>8</v>
      </c>
      <c r="J1" s="87">
        <v>9</v>
      </c>
      <c r="K1" s="87">
        <v>10</v>
      </c>
      <c r="L1" s="87">
        <v>11</v>
      </c>
      <c r="M1" s="87">
        <v>12</v>
      </c>
      <c r="N1" s="87">
        <v>13</v>
      </c>
      <c r="O1" s="87">
        <v>14</v>
      </c>
      <c r="V1" s="32"/>
    </row>
    <row r="2" spans="1:22" x14ac:dyDescent="0.25">
      <c r="A2" s="87"/>
      <c r="B2" s="5" t="s">
        <v>25</v>
      </c>
      <c r="C2" s="87"/>
      <c r="D2" s="87"/>
      <c r="E2" s="87"/>
      <c r="F2" s="87"/>
      <c r="G2" s="87"/>
      <c r="H2" s="87"/>
      <c r="I2" s="87"/>
      <c r="J2" s="87"/>
      <c r="K2" s="87"/>
      <c r="L2" s="87"/>
      <c r="M2" s="87"/>
      <c r="N2" s="87"/>
      <c r="O2" s="87"/>
      <c r="P2" s="87"/>
      <c r="Q2" s="87"/>
      <c r="R2" s="87"/>
      <c r="S2" s="87"/>
      <c r="T2" s="87"/>
      <c r="U2" s="87"/>
    </row>
    <row r="3" spans="1:22" ht="15.75" thickBot="1" x14ac:dyDescent="0.3">
      <c r="A3" s="87"/>
      <c r="B3" s="5"/>
      <c r="C3" s="5"/>
      <c r="D3" s="5"/>
      <c r="E3" s="5"/>
      <c r="F3" s="87"/>
      <c r="G3" s="87"/>
      <c r="H3" s="87"/>
      <c r="I3" s="87"/>
      <c r="J3" s="87"/>
      <c r="K3" s="87"/>
      <c r="L3" s="87"/>
      <c r="M3" s="87"/>
      <c r="N3" s="87"/>
      <c r="O3" s="87"/>
      <c r="P3" s="87"/>
      <c r="Q3" s="87"/>
      <c r="R3" s="87"/>
      <c r="S3" s="87"/>
      <c r="T3" s="87"/>
      <c r="U3" s="87"/>
    </row>
    <row r="4" spans="1:22" ht="15.75" thickBot="1" x14ac:dyDescent="0.3">
      <c r="A4" s="87"/>
      <c r="B4" s="87"/>
      <c r="C4" s="624" t="s">
        <v>154</v>
      </c>
      <c r="D4" s="625"/>
      <c r="E4" s="626"/>
      <c r="F4" s="627" t="s">
        <v>271</v>
      </c>
      <c r="G4" s="627"/>
      <c r="H4" s="627"/>
      <c r="I4" s="627"/>
      <c r="J4" s="627"/>
      <c r="K4" s="627"/>
      <c r="L4" s="627"/>
      <c r="M4" s="627"/>
      <c r="N4" s="628" t="s">
        <v>155</v>
      </c>
      <c r="O4" s="629"/>
      <c r="P4" s="87"/>
      <c r="Q4" s="87"/>
      <c r="R4" s="87"/>
      <c r="S4" s="87"/>
      <c r="T4" s="87"/>
      <c r="U4" s="87"/>
    </row>
    <row r="5" spans="1:22" x14ac:dyDescent="0.25">
      <c r="A5" s="87"/>
      <c r="B5" s="630" t="s">
        <v>0</v>
      </c>
      <c r="C5" s="586" t="s">
        <v>156</v>
      </c>
      <c r="D5" s="590" t="s">
        <v>157</v>
      </c>
      <c r="E5" s="632" t="s">
        <v>158</v>
      </c>
      <c r="F5" s="590" t="s">
        <v>159</v>
      </c>
      <c r="G5" s="600" t="s">
        <v>160</v>
      </c>
      <c r="H5" s="636" t="s">
        <v>161</v>
      </c>
      <c r="I5" s="616" t="s">
        <v>180</v>
      </c>
      <c r="J5" s="600" t="s">
        <v>162</v>
      </c>
      <c r="K5" s="636" t="s">
        <v>163</v>
      </c>
      <c r="L5" s="606" t="s">
        <v>164</v>
      </c>
      <c r="M5" s="642" t="s">
        <v>1</v>
      </c>
      <c r="N5" s="644" t="s">
        <v>165</v>
      </c>
      <c r="O5" s="638" t="s">
        <v>166</v>
      </c>
      <c r="P5" s="87"/>
      <c r="Q5" s="96"/>
      <c r="R5" s="87"/>
      <c r="S5" s="87"/>
      <c r="T5" s="87"/>
      <c r="U5" s="87"/>
    </row>
    <row r="6" spans="1:22" ht="63" customHeight="1" thickBot="1" x14ac:dyDescent="0.3">
      <c r="A6" s="87"/>
      <c r="B6" s="631"/>
      <c r="C6" s="587"/>
      <c r="D6" s="591"/>
      <c r="E6" s="633"/>
      <c r="F6" s="634"/>
      <c r="G6" s="635"/>
      <c r="H6" s="637"/>
      <c r="I6" s="617"/>
      <c r="J6" s="601"/>
      <c r="K6" s="640"/>
      <c r="L6" s="641"/>
      <c r="M6" s="643"/>
      <c r="N6" s="645"/>
      <c r="O6" s="639"/>
      <c r="P6" s="87"/>
      <c r="Q6" s="87"/>
      <c r="R6" s="87"/>
      <c r="S6" s="87"/>
      <c r="T6" s="87"/>
      <c r="U6" s="87"/>
    </row>
    <row r="7" spans="1:22" ht="17.25" x14ac:dyDescent="0.25">
      <c r="A7" s="87"/>
      <c r="B7" s="1">
        <f>Assumptions!C10</f>
        <v>2025</v>
      </c>
      <c r="C7" s="470" cm="1">
        <f t="array" ref="C7">IF(B7&gt;Assumptions!$C$11,0,TREND($T$12:$U$12,$T$14:$U$14,$B7)-TREND($R$12:$S$12,$R$14:$S$14,$B7))</f>
        <v>10.839750000159256</v>
      </c>
      <c r="D7" s="302">
        <f>C7*-_xlfn.XLOOKUP($B7,$Q$17:$Q$53,$U$17:$U$53)</f>
        <v>-607.02600000891834</v>
      </c>
      <c r="E7" s="219">
        <f>D7*(1+0.03)^-($B7-Assumptions!$C$6)</f>
        <v>-523.62595995727463</v>
      </c>
      <c r="F7" s="299" cm="1">
        <f t="array" ref="F7">IF($B7&gt;Assumptions!$C$11,0,TREND($T$10:$U$10,$T$14:$U$14,$B7)-TREND($R$10:$S$10,$R$14:$S$14,$B7))</f>
        <v>-1.4070250000258966E-2</v>
      </c>
      <c r="G7" s="300" cm="1">
        <f t="array" ref="G7">IF($B7&gt;Assumptions!$C$11,0,TREND($T$11:$U$11,$T$14:$U$14,$B7)-TREND($R$11:$S$11,$R$14:$S$14,$B7))</f>
        <v>6.694500000126169E-5</v>
      </c>
      <c r="H7" s="474" cm="1">
        <f t="array" ref="H7">IF($B7&gt;Assumptions!$C$11,0,TREND($T$13:$U$13,$T$14:$U$14,$B7)-TREND($R$13:$S$13,$R$14:$S$14,$B7))</f>
        <v>-7.6713999996513849E-4</v>
      </c>
      <c r="I7" s="218">
        <f>G7*-_xlfn.XLOOKUP($B7,$Q$17:$Q$51,$S$17:$S$51)</f>
        <v>-3.0058305000566499</v>
      </c>
      <c r="J7" s="302">
        <f>F7*-_xlfn.XLOOKUP($B7,$Q$17:$Q$51,$R$17:$R$51)</f>
        <v>232.15912500427294</v>
      </c>
      <c r="K7" s="219">
        <f>H7*-_xlfn.XLOOKUP($B7,$Q$17:$Q$51,$T$17:$T$51)</f>
        <v>615.01613797205152</v>
      </c>
      <c r="L7" s="301">
        <f>SUM(I7:K7)</f>
        <v>844.16943247626784</v>
      </c>
      <c r="M7" s="219">
        <f>L7*(1+0.07)^-(B7-Assumptions!$C$6)</f>
        <v>601.88113849815079</v>
      </c>
      <c r="N7" s="301">
        <f>L7+D7</f>
        <v>237.1434324673495</v>
      </c>
      <c r="O7" s="219">
        <f>M7+E7</f>
        <v>78.255178540876159</v>
      </c>
      <c r="P7" s="87"/>
      <c r="Q7" s="298" t="s">
        <v>270</v>
      </c>
      <c r="R7" s="298"/>
      <c r="S7" s="298"/>
      <c r="T7" s="298"/>
      <c r="U7" s="298"/>
    </row>
    <row r="8" spans="1:22" x14ac:dyDescent="0.25">
      <c r="A8" s="87"/>
      <c r="B8" s="2">
        <f t="shared" ref="B8:B36" si="0">+B7+1</f>
        <v>2026</v>
      </c>
      <c r="C8" s="471" cm="1">
        <f t="array" ref="C8">IF(B8&gt;Assumptions!$C$11,0,TREND($T$12:$U$12,$T$14:$U$14,$B8)-TREND($R$12:$S$12,$R$14:$S$14,$B8))</f>
        <v>9.6169000000227243</v>
      </c>
      <c r="D8" s="306">
        <f>C8*-_xlfn.XLOOKUP($B8,$Q$17:$Q$53,$U$17:$U$53)</f>
        <v>-548.16330000129528</v>
      </c>
      <c r="E8" s="179">
        <f>D8*(1+0.03)^-($B8-Assumptions!$C$6)</f>
        <v>-459.07813384284384</v>
      </c>
      <c r="F8" s="303" cm="1">
        <f t="array" ref="F8">IF($B8&gt;Assumptions!$C$11,0,TREND($T$10:$U$10,$T$14:$U$14,$B8)-TREND($R$10:$S$10,$R$14:$S$14,$B8))</f>
        <v>-1.3935700000729412E-2</v>
      </c>
      <c r="G8" s="304" cm="1">
        <f t="array" ref="G8">IF($B8&gt;Assumptions!$C$11,0,TREND($T$11:$U$11,$T$14:$U$14,$B8)-TREND($R$11:$S$11,$R$14:$S$14,$B8))</f>
        <v>5.9656000000352094E-5</v>
      </c>
      <c r="H8" s="475" cm="1">
        <f t="array" ref="H8">IF($B8&gt;Assumptions!$C$11,0,TREND($T$13:$U$13,$T$14:$U$14,$B8)-TREND($R$13:$S$13,$R$14:$S$14,$B8))</f>
        <v>-7.2218399998291716E-4</v>
      </c>
      <c r="I8" s="178">
        <f t="shared" ref="I8:I36" si="1">G8*-_xlfn.XLOOKUP($B8,$Q$17:$Q$51,$S$17:$S$51)</f>
        <v>-2.7262792000160907</v>
      </c>
      <c r="J8" s="306">
        <f t="shared" ref="J8:J36" si="2">F8*-_xlfn.XLOOKUP($B8,$Q$17:$Q$51,$R$17:$R$51)</f>
        <v>234.11976001225412</v>
      </c>
      <c r="K8" s="179">
        <f t="shared" ref="K8:K36" si="3">H8*-_xlfn.XLOOKUP($B8,$Q$17:$Q$51,$T$17:$T$51)</f>
        <v>588.21886798608602</v>
      </c>
      <c r="L8" s="305">
        <f>SUM(I8:K8)</f>
        <v>819.61234879832409</v>
      </c>
      <c r="M8" s="179">
        <f>L8*(1+0.07)^-(B8-Assumptions!$C$6)</f>
        <v>546.14231516575046</v>
      </c>
      <c r="N8" s="305">
        <f t="shared" ref="N8:O36" si="4">L8+D8</f>
        <v>271.44904879702881</v>
      </c>
      <c r="O8" s="179">
        <f t="shared" si="4"/>
        <v>87.06418132290662</v>
      </c>
      <c r="P8" s="87"/>
      <c r="Q8" s="619" t="s">
        <v>167</v>
      </c>
      <c r="R8" s="646"/>
      <c r="S8" s="646"/>
      <c r="T8" s="646"/>
      <c r="U8" s="620"/>
      <c r="V8" s="318"/>
    </row>
    <row r="9" spans="1:22" x14ac:dyDescent="0.25">
      <c r="A9" s="87"/>
      <c r="B9" s="2">
        <f t="shared" si="0"/>
        <v>2027</v>
      </c>
      <c r="C9" s="471" cm="1">
        <f t="array" ref="C9">IF(B9&gt;Assumptions!$C$11,0,TREND($T$12:$U$12,$T$14:$U$14,$B9)-TREND($R$12:$S$12,$R$14:$S$14,$B9))</f>
        <v>8.3940500000026077</v>
      </c>
      <c r="D9" s="306">
        <f t="shared" ref="D9:D36" si="5">C9*-_xlfn.XLOOKUP($B9,$Q$17:$Q$53,$U$17:$U$53)</f>
        <v>-486.85490000015125</v>
      </c>
      <c r="E9" s="179">
        <f>D9*(1+0.03)^-($B9-Assumptions!$C$6)</f>
        <v>-395.85758644604033</v>
      </c>
      <c r="F9" s="303" cm="1">
        <f t="array" ref="F9">IF($B9&gt;Assumptions!$C$11,0,TREND($T$10:$U$10,$T$14:$U$14,$B9)-TREND($R$10:$S$10,$R$14:$S$14,$B9))</f>
        <v>-1.3801150000290363E-2</v>
      </c>
      <c r="G9" s="304" cm="1">
        <f t="array" ref="G9">IF($B9&gt;Assumptions!$C$11,0,TREND($T$11:$U$11,$T$14:$U$14,$B9)-TREND($R$11:$S$11,$R$14:$S$14,$B9))</f>
        <v>5.2367000000330677E-5</v>
      </c>
      <c r="H9" s="475" cm="1">
        <f t="array" ref="H9">IF($B9&gt;Assumptions!$C$11,0,TREND($T$13:$U$13,$T$14:$U$14,$B9)-TREND($R$13:$S$13,$R$14:$S$14,$B9))</f>
        <v>-6.7722799997227412E-4</v>
      </c>
      <c r="I9" s="178">
        <f t="shared" si="1"/>
        <v>-2.4350655000153765</v>
      </c>
      <c r="J9" s="306">
        <f t="shared" si="2"/>
        <v>235.99966500496521</v>
      </c>
      <c r="K9" s="179">
        <f t="shared" si="3"/>
        <v>560.33844717705961</v>
      </c>
      <c r="L9" s="305">
        <f>SUM(I9:K9)</f>
        <v>793.9030466820094</v>
      </c>
      <c r="M9" s="179">
        <f>L9*(1+0.07)^-(B9-Assumptions!$C$6)</f>
        <v>494.40291740261182</v>
      </c>
      <c r="N9" s="305">
        <f t="shared" si="4"/>
        <v>307.04814668185816</v>
      </c>
      <c r="O9" s="179">
        <f t="shared" si="4"/>
        <v>98.54533095657149</v>
      </c>
      <c r="P9" s="87"/>
      <c r="Q9" s="315" t="s">
        <v>168</v>
      </c>
      <c r="R9" s="104" t="s">
        <v>178</v>
      </c>
      <c r="S9" s="104" t="s">
        <v>169</v>
      </c>
      <c r="T9" s="104" t="s">
        <v>179</v>
      </c>
      <c r="U9" s="104" t="s">
        <v>170</v>
      </c>
      <c r="V9" s="320"/>
    </row>
    <row r="10" spans="1:22" x14ac:dyDescent="0.25">
      <c r="A10" s="87"/>
      <c r="B10" s="2">
        <f t="shared" si="0"/>
        <v>2028</v>
      </c>
      <c r="C10" s="471" cm="1">
        <f t="array" ref="C10">IF(B10&gt;Assumptions!$C$11,0,TREND($T$12:$U$12,$T$14:$U$14,$B10)-TREND($R$12:$S$12,$R$14:$S$14,$B10))</f>
        <v>7.1712000000989065</v>
      </c>
      <c r="D10" s="306">
        <f t="shared" si="5"/>
        <v>-430.27200000593439</v>
      </c>
      <c r="E10" s="179">
        <f>D10*(1+0.03)^-($B10-Assumptions!$C$6)</f>
        <v>-339.66069007141039</v>
      </c>
      <c r="F10" s="303" cm="1">
        <f t="array" ref="F10">IF($B10&gt;Assumptions!$C$11,0,TREND($T$10:$U$10,$T$14:$U$14,$B10)-TREND($R$10:$S$10,$R$14:$S$14,$B10))</f>
        <v>-1.3666599999851314E-2</v>
      </c>
      <c r="G10" s="304" cm="1">
        <f t="array" ref="G10">IF($B10&gt;Assumptions!$C$11,0,TREND($T$11:$U$11,$T$14:$U$14,$B10)-TREND($R$11:$S$11,$R$14:$S$14,$B10))</f>
        <v>4.5078000001197438E-5</v>
      </c>
      <c r="H10" s="475" cm="1">
        <f t="array" ref="H10">IF($B10&gt;Assumptions!$C$11,0,TREND($T$13:$U$13,$T$14:$U$14,$B10)-TREND($R$13:$S$13,$R$14:$S$14,$B10))</f>
        <v>-6.3227199999005279E-4</v>
      </c>
      <c r="I10" s="178">
        <f t="shared" si="1"/>
        <v>-2.1321894000566388</v>
      </c>
      <c r="J10" s="306">
        <f t="shared" si="2"/>
        <v>237.79883999741287</v>
      </c>
      <c r="K10" s="179">
        <f t="shared" si="3"/>
        <v>531.48784319163838</v>
      </c>
      <c r="L10" s="305">
        <f t="shared" ref="L10:L36" si="6">SUM(I10:K10)</f>
        <v>767.15449378899461</v>
      </c>
      <c r="M10" s="179">
        <f>L10*(1+0.07)^-(B10-Assumptions!$C$6)</f>
        <v>446.49089999317806</v>
      </c>
      <c r="N10" s="305">
        <f t="shared" si="4"/>
        <v>336.88249378306023</v>
      </c>
      <c r="O10" s="179">
        <f t="shared" si="4"/>
        <v>106.83020992176768</v>
      </c>
      <c r="P10" s="87"/>
      <c r="Q10" s="315" t="s">
        <v>171</v>
      </c>
      <c r="R10" s="367">
        <f>[6]Summary!$E$13</f>
        <v>108.353307</v>
      </c>
      <c r="S10" s="367">
        <f>[6]Summary!$G$13</f>
        <v>48.751570400000006</v>
      </c>
      <c r="T10" s="367">
        <f>[6]Summary!$F$13</f>
        <v>108.33856399999999</v>
      </c>
      <c r="U10" s="367">
        <f>[6]Summary!$H$13</f>
        <v>48.739518400000001</v>
      </c>
      <c r="V10" s="321"/>
    </row>
    <row r="11" spans="1:22" x14ac:dyDescent="0.25">
      <c r="A11" s="87"/>
      <c r="B11" s="2">
        <f t="shared" si="0"/>
        <v>2029</v>
      </c>
      <c r="C11" s="471" cm="1">
        <f t="array" ref="C11">IF(B11&gt;Assumptions!$C$11,0,TREND($T$12:$U$12,$T$14:$U$14,$B11)-TREND($R$12:$S$12,$R$14:$S$14,$B11))</f>
        <v>5.9483500000787899</v>
      </c>
      <c r="D11" s="306">
        <f>C11*-_xlfn.XLOOKUP($B11,$Q$17:$Q$53,$U$17:$U$53)</f>
        <v>-362.84935000480618</v>
      </c>
      <c r="E11" s="179">
        <f>D11*(1+0.03)^-($B11-Assumptions!$C$6)</f>
        <v>-278.09381316369257</v>
      </c>
      <c r="F11" s="303" cm="1">
        <f t="array" ref="F11">IF($B11&gt;Assumptions!$C$11,0,TREND($T$10:$U$10,$T$14:$U$14,$B11)-TREND($R$10:$S$10,$R$14:$S$14,$B11))</f>
        <v>-1.353205000032176E-2</v>
      </c>
      <c r="G11" s="304" cm="1">
        <f t="array" ref="G11">IF($B11&gt;Assumptions!$C$11,0,TREND($T$11:$U$11,$T$14:$U$14,$B11)-TREND($R$11:$S$11,$R$14:$S$14,$B11))</f>
        <v>3.7789000001176021E-5</v>
      </c>
      <c r="H11" s="475" cm="1">
        <f t="array" ref="H11">IF($B11&gt;Assumptions!$C$11,0,TREND($T$13:$U$13,$T$14:$U$14,$B11)-TREND($R$13:$S$13,$R$14:$S$14,$B11))</f>
        <v>-5.8731599997940975E-4</v>
      </c>
      <c r="I11" s="178">
        <f t="shared" si="1"/>
        <v>-1.8214298000566842</v>
      </c>
      <c r="J11" s="306">
        <f t="shared" si="2"/>
        <v>239.51728500569516</v>
      </c>
      <c r="K11" s="179">
        <f t="shared" si="3"/>
        <v>501.56786398241593</v>
      </c>
      <c r="L11" s="305">
        <f t="shared" si="6"/>
        <v>739.26371918805444</v>
      </c>
      <c r="M11" s="179">
        <f>L11*(1+0.07)^-(B11-Assumptions!$C$6)</f>
        <v>402.11048153463514</v>
      </c>
      <c r="N11" s="305">
        <f t="shared" si="4"/>
        <v>376.41436918324825</v>
      </c>
      <c r="O11" s="179">
        <f t="shared" si="4"/>
        <v>124.01666837094257</v>
      </c>
      <c r="P11" s="87"/>
      <c r="Q11" s="315" t="s">
        <v>172</v>
      </c>
      <c r="R11" s="367">
        <f>[6]Summary!$E$14</f>
        <v>0.59257311000000013</v>
      </c>
      <c r="S11" s="367">
        <f>[6]Summary!$G$14</f>
        <v>0.52593109999999987</v>
      </c>
      <c r="T11" s="367">
        <f>[6]Summary!$F$14</f>
        <v>0.59267650000000016</v>
      </c>
      <c r="U11" s="367">
        <f>[6]Summary!$H$14</f>
        <v>0.52588871000000004</v>
      </c>
      <c r="V11" s="321"/>
    </row>
    <row r="12" spans="1:22" x14ac:dyDescent="0.25">
      <c r="A12" s="87"/>
      <c r="B12" s="2">
        <f t="shared" si="0"/>
        <v>2030</v>
      </c>
      <c r="C12" s="471" cm="1">
        <f t="array" ref="C12">IF(B12&gt;Assumptions!$C$11,0,TREND($T$12:$U$12,$T$14:$U$14,$B12)-TREND($R$12:$S$12,$R$14:$S$14,$B12))</f>
        <v>4.7255000000586733</v>
      </c>
      <c r="D12" s="306">
        <f t="shared" si="5"/>
        <v>-292.98100000363775</v>
      </c>
      <c r="E12" s="179">
        <f>D12*(1+0.03)^-($B12-Assumptions!$C$6)</f>
        <v>-218.00537928306426</v>
      </c>
      <c r="F12" s="303" cm="1">
        <f t="array" ref="F12">IF($B12&gt;Assumptions!$C$11,0,TREND($T$10:$U$10,$T$14:$U$14,$B12)-TREND($R$10:$S$10,$R$14:$S$14,$B12))</f>
        <v>-1.3397499999882712E-2</v>
      </c>
      <c r="G12" s="304" cm="1">
        <f t="array" ref="G12">IF($B12&gt;Assumptions!$C$11,0,TREND($T$11:$U$11,$T$14:$U$14,$B12)-TREND($R$11:$S$11,$R$14:$S$14,$B12))</f>
        <v>3.0500000000266425E-5</v>
      </c>
      <c r="H12" s="475" cm="1">
        <f t="array" ref="H12">IF($B12&gt;Assumptions!$C$11,0,TREND($T$13:$U$13,$T$14:$U$14,$B12)-TREND($R$13:$S$13,$R$14:$S$14,$B12))</f>
        <v>-5.4235999999718842E-4</v>
      </c>
      <c r="I12" s="178">
        <f t="shared" si="1"/>
        <v>-1.4975500000130815</v>
      </c>
      <c r="J12" s="306">
        <f t="shared" si="2"/>
        <v>242.49474999787708</v>
      </c>
      <c r="K12" s="179">
        <f t="shared" si="3"/>
        <v>470.55153599756068</v>
      </c>
      <c r="L12" s="305">
        <f t="shared" si="6"/>
        <v>711.54873599542464</v>
      </c>
      <c r="M12" s="179">
        <f>L12*(1+0.07)^-(B12-Assumptions!$C$6)</f>
        <v>361.71529626262731</v>
      </c>
      <c r="N12" s="305">
        <f t="shared" si="4"/>
        <v>418.56773599178689</v>
      </c>
      <c r="O12" s="179">
        <f t="shared" si="4"/>
        <v>143.70991697956305</v>
      </c>
      <c r="P12" s="87"/>
      <c r="Q12" s="315" t="s">
        <v>173</v>
      </c>
      <c r="R12" s="368">
        <f>[6]Summary!$E$16</f>
        <v>101497.37599999999</v>
      </c>
      <c r="S12" s="368">
        <f>[6]Summary!$G$16</f>
        <v>91318.879000000001</v>
      </c>
      <c r="T12" s="368">
        <f>[6]Summary!$F$16</f>
        <v>101514.33</v>
      </c>
      <c r="U12" s="368">
        <f>[6]Summary!$H$16</f>
        <v>91311.375999999989</v>
      </c>
      <c r="V12" s="322"/>
    </row>
    <row r="13" spans="1:22" x14ac:dyDescent="0.25">
      <c r="A13" s="87"/>
      <c r="B13" s="2">
        <f t="shared" si="0"/>
        <v>2031</v>
      </c>
      <c r="C13" s="471" cm="1">
        <f t="array" ref="C13">IF(B13&gt;Assumptions!$C$11,0,TREND($T$12:$U$12,$T$14:$U$14,$B13)-TREND($R$12:$S$12,$R$14:$S$14,$B13))</f>
        <v>3.5026500000385568</v>
      </c>
      <c r="D13" s="306">
        <f t="shared" si="5"/>
        <v>-220.66695000242908</v>
      </c>
      <c r="E13" s="179">
        <f>D13*(1+0.03)^-($B13-Assumptions!$C$6)</f>
        <v>-159.41449972391007</v>
      </c>
      <c r="F13" s="303" cm="1">
        <f t="array" ref="F13">IF($B13&gt;Assumptions!$C$11,0,TREND($T$10:$U$10,$T$14:$U$14,$B13)-TREND($R$10:$S$10,$R$14:$S$14,$B13))</f>
        <v>-1.3262950000353158E-2</v>
      </c>
      <c r="G13" s="304" cm="1">
        <f t="array" ref="G13">IF($B13&gt;Assumptions!$C$11,0,TREND($T$11:$U$11,$T$14:$U$14,$B13)-TREND($R$11:$S$11,$R$14:$S$14,$B13))</f>
        <v>2.3211000000245008E-5</v>
      </c>
      <c r="H13" s="475" cm="1">
        <f t="array" ref="H13">IF($B13&gt;Assumptions!$C$11,0,TREND($T$13:$U$13,$T$14:$U$14,$B13)-TREND($R$13:$S$13,$R$14:$S$14,$B13))</f>
        <v>-4.9740399998654539E-4</v>
      </c>
      <c r="I13" s="178">
        <f t="shared" si="1"/>
        <v>-1.1396601000120299</v>
      </c>
      <c r="J13" s="306">
        <f t="shared" si="2"/>
        <v>240.05939500639215</v>
      </c>
      <c r="K13" s="179">
        <f t="shared" si="3"/>
        <v>431.54771038832678</v>
      </c>
      <c r="L13" s="305">
        <f t="shared" si="6"/>
        <v>670.46744529470686</v>
      </c>
      <c r="M13" s="179">
        <f>L13*(1+0.07)^-(B13-Assumptions!$C$6)</f>
        <v>318.53425347190358</v>
      </c>
      <c r="N13" s="305">
        <f t="shared" si="4"/>
        <v>449.80049529227779</v>
      </c>
      <c r="O13" s="179">
        <f t="shared" si="4"/>
        <v>159.11975374799351</v>
      </c>
      <c r="P13" s="87"/>
      <c r="Q13" s="315" t="s">
        <v>174</v>
      </c>
      <c r="R13" s="367">
        <f>[6]Summary!$E$18</f>
        <v>2.3459780399999999</v>
      </c>
      <c r="S13" s="367">
        <f>[6]Summary!$G$18</f>
        <v>0.65333801000000058</v>
      </c>
      <c r="T13" s="367">
        <f>[6]Summary!$F$18</f>
        <v>2.3449861199999997</v>
      </c>
      <c r="U13" s="367">
        <f>[6]Summary!$H$18</f>
        <v>0.65324521000000035</v>
      </c>
      <c r="V13" s="321"/>
    </row>
    <row r="14" spans="1:22" x14ac:dyDescent="0.25">
      <c r="A14" s="87"/>
      <c r="B14" s="2">
        <f t="shared" si="0"/>
        <v>2032</v>
      </c>
      <c r="C14" s="471" cm="1">
        <f t="array" ref="C14">IF(B14&gt;Assumptions!$C$11,0,TREND($T$12:$U$12,$T$14:$U$14,$B14)-TREND($R$12:$S$12,$R$14:$S$14,$B14))</f>
        <v>2.2798000001348555</v>
      </c>
      <c r="D14" s="306">
        <f t="shared" si="5"/>
        <v>-145.90720000863075</v>
      </c>
      <c r="E14" s="179">
        <f>D14*(1+0.03)^-($B14-Assumptions!$C$6)</f>
        <v>-102.33637446134563</v>
      </c>
      <c r="F14" s="303" cm="1">
        <f t="array" ref="F14">IF($B14&gt;Assumptions!$C$11,0,TREND($T$10:$U$10,$T$14:$U$14,$B14)-TREND($R$10:$S$10,$R$14:$S$14,$B14))</f>
        <v>-1.3128399999914109E-2</v>
      </c>
      <c r="G14" s="304" cm="1">
        <f t="array" ref="G14">IF($B14&gt;Assumptions!$C$11,0,TREND($T$11:$U$11,$T$14:$U$14,$B14)-TREND($R$11:$S$11,$R$14:$S$14,$B14))</f>
        <v>1.5922000001111769E-5</v>
      </c>
      <c r="H14" s="475" cm="1">
        <f t="array" ref="H14">IF($B14&gt;Assumptions!$C$11,0,TREND($T$13:$U$13,$T$14:$U$14,$B14)-TREND($R$13:$S$13,$R$14:$S$14,$B14))</f>
        <v>-4.5244799997590235E-4</v>
      </c>
      <c r="I14" s="178">
        <f t="shared" si="1"/>
        <v>-0.78177020005458786</v>
      </c>
      <c r="J14" s="306">
        <f t="shared" si="2"/>
        <v>237.62403999844537</v>
      </c>
      <c r="K14" s="179">
        <f t="shared" si="3"/>
        <v>392.54388477909288</v>
      </c>
      <c r="L14" s="305">
        <f t="shared" si="6"/>
        <v>629.38615457748369</v>
      </c>
      <c r="M14" s="179">
        <f>L14*(1+0.07)^-(B14-Assumptions!$C$6)</f>
        <v>279.4549796129408</v>
      </c>
      <c r="N14" s="305">
        <f t="shared" si="4"/>
        <v>483.47895456885294</v>
      </c>
      <c r="O14" s="179">
        <f t="shared" si="4"/>
        <v>177.11860515159518</v>
      </c>
      <c r="P14" s="87"/>
      <c r="Q14" s="87"/>
      <c r="R14" s="467">
        <v>2020</v>
      </c>
      <c r="S14" s="467">
        <v>2040</v>
      </c>
      <c r="T14" s="467">
        <v>2020</v>
      </c>
      <c r="U14" s="368">
        <v>2040</v>
      </c>
      <c r="V14" s="319"/>
    </row>
    <row r="15" spans="1:22" ht="17.25" x14ac:dyDescent="0.25">
      <c r="A15" s="87"/>
      <c r="B15" s="2">
        <f t="shared" si="0"/>
        <v>2033</v>
      </c>
      <c r="C15" s="471" cm="1">
        <f t="array" ref="C15">IF(B15&gt;Assumptions!$C$11,0,TREND($T$12:$U$12,$T$14:$U$14,$B15)-TREND($R$12:$S$12,$R$14:$S$14,$B15))</f>
        <v>1.0569500001147389</v>
      </c>
      <c r="D15" s="306">
        <f t="shared" si="5"/>
        <v>-68.701750007458031</v>
      </c>
      <c r="E15" s="179">
        <f>D15*(1+0.03)^-($B15-Assumptions!$C$6)</f>
        <v>-46.782548727454866</v>
      </c>
      <c r="F15" s="303" cm="1">
        <f t="array" ref="F15">IF($B15&gt;Assumptions!$C$11,0,TREND($T$10:$U$10,$T$14:$U$14,$B15)-TREND($R$10:$S$10,$R$14:$S$14,$B15))</f>
        <v>-1.2993850000384555E-2</v>
      </c>
      <c r="G15" s="304" cm="1">
        <f t="array" ref="G15">IF($B15&gt;Assumptions!$C$11,0,TREND($T$11:$U$11,$T$14:$U$14,$B15)-TREND($R$11:$S$11,$R$14:$S$14,$B15))</f>
        <v>8.6330000010903518E-6</v>
      </c>
      <c r="H15" s="475" cm="1">
        <f t="array" ref="H15">IF($B15&gt;Assumptions!$C$11,0,TREND($T$13:$U$13,$T$14:$U$14,$B15)-TREND($R$13:$S$13,$R$14:$S$14,$B15))</f>
        <v>-4.0749199999368102E-4</v>
      </c>
      <c r="I15" s="178">
        <f t="shared" si="1"/>
        <v>-0.42388030005353627</v>
      </c>
      <c r="J15" s="306">
        <f t="shared" si="2"/>
        <v>235.18868500696044</v>
      </c>
      <c r="K15" s="179">
        <f t="shared" si="3"/>
        <v>353.54005919451765</v>
      </c>
      <c r="L15" s="305">
        <f t="shared" si="6"/>
        <v>588.3048639014246</v>
      </c>
      <c r="M15" s="179">
        <f>L15*(1+0.07)^-(B15-Assumptions!$C$6)</f>
        <v>244.12560303899591</v>
      </c>
      <c r="N15" s="305">
        <f t="shared" si="4"/>
        <v>519.60311389396657</v>
      </c>
      <c r="O15" s="179">
        <f t="shared" si="4"/>
        <v>197.34305431154104</v>
      </c>
      <c r="P15" s="87"/>
      <c r="Q15" s="169" t="s">
        <v>272</v>
      </c>
      <c r="R15" s="19"/>
      <c r="S15" s="19"/>
      <c r="T15" s="19"/>
      <c r="U15" s="19"/>
    </row>
    <row r="16" spans="1:22" x14ac:dyDescent="0.25">
      <c r="A16" s="87"/>
      <c r="B16" s="2">
        <f t="shared" si="0"/>
        <v>2034</v>
      </c>
      <c r="C16" s="471" cm="1">
        <f t="array" ref="C16">IF(B16&gt;Assumptions!$C$11,0,TREND($T$12:$U$12,$T$14:$U$14,$B16)-TREND($R$12:$S$12,$R$14:$S$14,$B16))</f>
        <v>-0.16590000002179295</v>
      </c>
      <c r="D16" s="306">
        <f t="shared" si="5"/>
        <v>10.949400001438335</v>
      </c>
      <c r="E16" s="179">
        <f>D16*(1+0.03)^-($B16-Assumptions!$C$6)</f>
        <v>7.238843303981298</v>
      </c>
      <c r="F16" s="303" cm="1">
        <f t="array" ref="F16">IF($B16&gt;Assumptions!$C$11,0,TREND($T$10:$U$10,$T$14:$U$14,$B16)-TREND($R$10:$S$10,$R$14:$S$14,$B16))</f>
        <v>-1.2859300000855001E-2</v>
      </c>
      <c r="G16" s="304" cm="1">
        <f t="array" ref="G16">IF($B16&gt;Assumptions!$C$11,0,TREND($T$11:$U$11,$T$14:$U$14,$B16)-TREND($R$11:$S$11,$R$14:$S$14,$B16))</f>
        <v>1.3440000001807562E-6</v>
      </c>
      <c r="H16" s="475" cm="1">
        <f t="array" ref="H16">IF($B16&gt;Assumptions!$C$11,0,TREND($T$13:$U$13,$T$14:$U$14,$B16)-TREND($R$13:$S$13,$R$14:$S$14,$B16))</f>
        <v>-3.6253599998303798E-4</v>
      </c>
      <c r="I16" s="178">
        <f t="shared" si="1"/>
        <v>-6.5990400008875127E-2</v>
      </c>
      <c r="J16" s="306">
        <f t="shared" si="2"/>
        <v>232.75333001547551</v>
      </c>
      <c r="K16" s="179">
        <f t="shared" si="3"/>
        <v>314.53623358528375</v>
      </c>
      <c r="L16" s="305">
        <f t="shared" si="6"/>
        <v>547.22357320075037</v>
      </c>
      <c r="M16" s="179">
        <f>L16*(1+0.07)^-(B16-Assumptions!$C$6)</f>
        <v>212.22273637835713</v>
      </c>
      <c r="N16" s="305">
        <f t="shared" si="4"/>
        <v>558.1729732021887</v>
      </c>
      <c r="O16" s="179">
        <f t="shared" si="4"/>
        <v>219.46157968233842</v>
      </c>
      <c r="P16" s="87"/>
      <c r="Q16" s="307" t="s">
        <v>92</v>
      </c>
      <c r="R16" s="203" t="s">
        <v>175</v>
      </c>
      <c r="S16" s="203" t="s">
        <v>172</v>
      </c>
      <c r="T16" s="203" t="s">
        <v>176</v>
      </c>
      <c r="U16" s="315" t="s">
        <v>173</v>
      </c>
    </row>
    <row r="17" spans="1:21" x14ac:dyDescent="0.25">
      <c r="A17" s="87"/>
      <c r="B17" s="2">
        <f t="shared" si="0"/>
        <v>2035</v>
      </c>
      <c r="C17" s="471" cm="1">
        <f t="array" ref="C17">IF(B17&gt;Assumptions!$C$11,0,TREND($T$12:$U$12,$T$14:$U$14,$B17)-TREND($R$12:$S$12,$R$14:$S$14,$B17))</f>
        <v>-1.3887499999254942</v>
      </c>
      <c r="D17" s="306">
        <f t="shared" si="5"/>
        <v>93.046249995008111</v>
      </c>
      <c r="E17" s="179">
        <f>D17*(1+0.03)^-($B17-Assumptions!$C$6)</f>
        <v>59.722847219757739</v>
      </c>
      <c r="F17" s="303" cm="1">
        <f t="array" ref="F17">IF($B17&gt;Assumptions!$C$11,0,TREND($T$10:$U$10,$T$14:$U$14,$B17)-TREND($R$10:$S$10,$R$14:$S$14,$B17))</f>
        <v>-1.2724750000415952E-2</v>
      </c>
      <c r="G17" s="304" cm="1">
        <f t="array" ref="G17">IF($B17&gt;Assumptions!$C$11,0,TREND($T$11:$U$11,$T$14:$U$14,$B17)-TREND($R$11:$S$11,$R$14:$S$14,$B17))</f>
        <v>-5.9449999998406611E-6</v>
      </c>
      <c r="H17" s="475" cm="1">
        <f t="array" ref="H17">IF($B17&gt;Assumptions!$C$11,0,TREND($T$13:$U$13,$T$14:$U$14,$B17)-TREND($R$13:$S$13,$R$14:$S$14,$B17))</f>
        <v>-3.1758000000081665E-4</v>
      </c>
      <c r="I17" s="178">
        <f t="shared" si="1"/>
        <v>0.29189949999217646</v>
      </c>
      <c r="J17" s="306">
        <f t="shared" si="2"/>
        <v>230.31797500752873</v>
      </c>
      <c r="K17" s="179">
        <f t="shared" si="3"/>
        <v>275.53240800070853</v>
      </c>
      <c r="L17" s="305">
        <f t="shared" si="6"/>
        <v>506.14228250822941</v>
      </c>
      <c r="M17" s="179">
        <f>L17*(1+0.07)^-(B17-Assumptions!$C$6)</f>
        <v>183.44925566780648</v>
      </c>
      <c r="N17" s="305">
        <f t="shared" si="4"/>
        <v>599.18853250323752</v>
      </c>
      <c r="O17" s="179">
        <f t="shared" si="4"/>
        <v>243.17210288756422</v>
      </c>
      <c r="P17" s="87"/>
      <c r="Q17" s="264">
        <v>2021</v>
      </c>
      <c r="R17" s="369">
        <v>15600</v>
      </c>
      <c r="S17" s="369">
        <v>41500</v>
      </c>
      <c r="T17" s="369">
        <v>748600</v>
      </c>
      <c r="U17" s="369">
        <v>52</v>
      </c>
    </row>
    <row r="18" spans="1:21" x14ac:dyDescent="0.25">
      <c r="A18" s="87"/>
      <c r="B18" s="2">
        <f t="shared" si="0"/>
        <v>2036</v>
      </c>
      <c r="C18" s="471" cm="1">
        <f t="array" ref="C18">IF(B18&gt;Assumptions!$C$11,0,TREND($T$12:$U$12,$T$14:$U$14,$B18)-TREND($R$12:$S$12,$R$14:$S$14,$B18))</f>
        <v>-2.6115999999456108</v>
      </c>
      <c r="D18" s="306">
        <f t="shared" si="5"/>
        <v>180.20039999624714</v>
      </c>
      <c r="E18" s="179">
        <f>D18*(1+0.03)^-($B18-Assumptions!$C$6)</f>
        <v>112.29493171190164</v>
      </c>
      <c r="F18" s="303" cm="1">
        <f t="array" ref="F18">IF($B18&gt;Assumptions!$C$11,0,TREND($T$10:$U$10,$T$14:$U$14,$B18)-TREND($R$10:$S$10,$R$14:$S$14,$B18))</f>
        <v>-1.2590199999976903E-2</v>
      </c>
      <c r="G18" s="304" cm="1">
        <f t="array" ref="G18">IF($B18&gt;Assumptions!$C$11,0,TREND($T$11:$U$11,$T$14:$U$14,$B18)-TREND($R$11:$S$11,$R$14:$S$14,$B18))</f>
        <v>-1.32339999989739E-5</v>
      </c>
      <c r="H18" s="475" cm="1">
        <f t="array" ref="H18">IF($B18&gt;Assumptions!$C$11,0,TREND($T$13:$U$13,$T$14:$U$14,$B18)-TREND($R$13:$S$13,$R$14:$S$14,$B18))</f>
        <v>-2.7262399996175191E-4</v>
      </c>
      <c r="I18" s="178">
        <f t="shared" si="1"/>
        <v>0.64978939994961848</v>
      </c>
      <c r="J18" s="306">
        <f t="shared" si="2"/>
        <v>227.88261999958195</v>
      </c>
      <c r="K18" s="179">
        <f t="shared" si="3"/>
        <v>236.52858236681595</v>
      </c>
      <c r="L18" s="305">
        <f t="shared" si="6"/>
        <v>465.06099176634751</v>
      </c>
      <c r="M18" s="179">
        <f>L18*(1+0.07)^-(B18-Assumptions!$C$6)</f>
        <v>157.53224799686063</v>
      </c>
      <c r="N18" s="305">
        <f t="shared" si="4"/>
        <v>645.26139176259471</v>
      </c>
      <c r="O18" s="179">
        <f t="shared" si="4"/>
        <v>269.82717970876229</v>
      </c>
      <c r="P18" s="87"/>
      <c r="Q18" s="264">
        <v>2022</v>
      </c>
      <c r="R18" s="370">
        <v>15800</v>
      </c>
      <c r="S18" s="370">
        <v>42300</v>
      </c>
      <c r="T18" s="370">
        <v>761600</v>
      </c>
      <c r="U18" s="370">
        <v>53</v>
      </c>
    </row>
    <row r="19" spans="1:21" x14ac:dyDescent="0.25">
      <c r="A19" s="87"/>
      <c r="B19" s="2">
        <f t="shared" si="0"/>
        <v>2037</v>
      </c>
      <c r="C19" s="471" cm="1">
        <f t="array" ref="C19">IF(B19&gt;Assumptions!$C$11,0,TREND($T$12:$U$12,$T$14:$U$14,$B19)-TREND($R$12:$S$12,$R$14:$S$14,$B19))</f>
        <v>-3.834449999849312</v>
      </c>
      <c r="D19" s="306">
        <f t="shared" si="5"/>
        <v>268.41149998945184</v>
      </c>
      <c r="E19" s="179">
        <f>D19*(1+0.03)^-($B19-Assumptions!$C$6)</f>
        <v>162.39337174748201</v>
      </c>
      <c r="F19" s="303" cm="1">
        <f t="array" ref="F19">IF($B19&gt;Assumptions!$C$11,0,TREND($T$10:$U$10,$T$14:$U$14,$B19)-TREND($R$10:$S$10,$R$14:$S$14,$B19))</f>
        <v>-1.2455649999537854E-2</v>
      </c>
      <c r="G19" s="304" cm="1">
        <f t="array" ref="G19">IF($B19&gt;Assumptions!$C$11,0,TREND($T$11:$U$11,$T$14:$U$14,$B19)-TREND($R$11:$S$11,$R$14:$S$14,$B19))</f>
        <v>-2.0522999998995317E-5</v>
      </c>
      <c r="H19" s="475" cm="1">
        <f t="array" ref="H19">IF($B19&gt;Assumptions!$C$11,0,TREND($T$13:$U$13,$T$14:$U$14,$B19)-TREND($R$13:$S$13,$R$14:$S$14,$B19))</f>
        <v>-2.2766799995110887E-4</v>
      </c>
      <c r="I19" s="178">
        <f t="shared" si="1"/>
        <v>1.0076792999506701</v>
      </c>
      <c r="J19" s="306">
        <f t="shared" si="2"/>
        <v>225.44726499163517</v>
      </c>
      <c r="K19" s="179">
        <f t="shared" si="3"/>
        <v>197.52475675758205</v>
      </c>
      <c r="L19" s="305">
        <f t="shared" si="6"/>
        <v>423.97970104916789</v>
      </c>
      <c r="M19" s="179">
        <f>L19*(1+0.07)^-(B19-Assumptions!$C$6)</f>
        <v>134.22111542879597</v>
      </c>
      <c r="N19" s="305">
        <f t="shared" si="4"/>
        <v>692.39120103861978</v>
      </c>
      <c r="O19" s="179">
        <f t="shared" si="4"/>
        <v>296.61448717627798</v>
      </c>
      <c r="P19" s="87"/>
      <c r="Q19" s="264">
        <v>2023</v>
      </c>
      <c r="R19" s="370">
        <v>16000</v>
      </c>
      <c r="S19" s="370">
        <v>43100</v>
      </c>
      <c r="T19" s="370">
        <v>774700</v>
      </c>
      <c r="U19" s="370">
        <v>54</v>
      </c>
    </row>
    <row r="20" spans="1:21" x14ac:dyDescent="0.25">
      <c r="A20" s="87"/>
      <c r="B20" s="2">
        <f t="shared" si="0"/>
        <v>2038</v>
      </c>
      <c r="C20" s="471" cm="1">
        <f t="array" ref="C20">IF(B20&gt;Assumptions!$C$11,0,TREND($T$12:$U$12,$T$14:$U$14,$B20)-TREND($R$12:$S$12,$R$14:$S$14,$B20))</f>
        <v>-5.0572999999858439</v>
      </c>
      <c r="D20" s="306">
        <f t="shared" si="5"/>
        <v>359.06829999899492</v>
      </c>
      <c r="E20" s="179">
        <f>D20*(1+0.03)^-($B20-Assumptions!$C$6)</f>
        <v>210.9147831853553</v>
      </c>
      <c r="F20" s="303" cm="1">
        <f t="array" ref="F20">IF($B20&gt;Assumptions!$C$11,0,TREND($T$10:$U$10,$T$14:$U$14,$B20)-TREND($R$10:$S$10,$R$14:$S$14,$B20))</f>
        <v>-1.23211000000083E-2</v>
      </c>
      <c r="G20" s="304" cm="1">
        <f t="array" ref="G20">IF($B20&gt;Assumptions!$C$11,0,TREND($T$11:$U$11,$T$14:$U$14,$B20)-TREND($R$11:$S$11,$R$14:$S$14,$B20))</f>
        <v>-2.7811999999904913E-5</v>
      </c>
      <c r="H20" s="475" cm="1">
        <f t="array" ref="H20">IF($B20&gt;Assumptions!$C$11,0,TREND($T$13:$U$13,$T$14:$U$14,$B20)-TREND($R$13:$S$13,$R$14:$S$14,$B20))</f>
        <v>-1.8271199996888754E-4</v>
      </c>
      <c r="I20" s="178">
        <f t="shared" si="1"/>
        <v>1.3655691999953312</v>
      </c>
      <c r="J20" s="306">
        <f t="shared" si="2"/>
        <v>223.01191000015024</v>
      </c>
      <c r="K20" s="179">
        <f t="shared" si="3"/>
        <v>158.52093117300683</v>
      </c>
      <c r="L20" s="305">
        <f t="shared" si="6"/>
        <v>382.89841037315239</v>
      </c>
      <c r="M20" s="179">
        <f>L20*(1+0.07)^-(B20-Assumptions!$C$6)</f>
        <v>113.28582324631535</v>
      </c>
      <c r="N20" s="305">
        <f t="shared" si="4"/>
        <v>741.9667103721473</v>
      </c>
      <c r="O20" s="179">
        <f t="shared" si="4"/>
        <v>324.20060643167062</v>
      </c>
      <c r="P20" s="87"/>
      <c r="Q20" s="264">
        <v>2024</v>
      </c>
      <c r="R20" s="370">
        <v>16200</v>
      </c>
      <c r="S20" s="370">
        <v>44000</v>
      </c>
      <c r="T20" s="370">
        <v>788100</v>
      </c>
      <c r="U20" s="370">
        <v>55</v>
      </c>
    </row>
    <row r="21" spans="1:21" x14ac:dyDescent="0.25">
      <c r="A21" s="87"/>
      <c r="B21" s="2">
        <f t="shared" si="0"/>
        <v>2039</v>
      </c>
      <c r="C21" s="471" cm="1">
        <f t="array" ref="C21">IF(B21&gt;Assumptions!$C$11,0,TREND($T$12:$U$12,$T$14:$U$14,$B21)-TREND($R$12:$S$12,$R$14:$S$14,$B21))</f>
        <v>-6.2801500000059605</v>
      </c>
      <c r="D21" s="306">
        <f t="shared" si="5"/>
        <v>452.17080000042915</v>
      </c>
      <c r="E21" s="179">
        <f>D21*(1+0.03)^-($B21-Assumptions!$C$6)</f>
        <v>257.86668897261433</v>
      </c>
      <c r="F21" s="303" cm="1">
        <f t="array" ref="F21">IF($B21&gt;Assumptions!$C$11,0,TREND($T$10:$U$10,$T$14:$U$14,$B21)-TREND($R$10:$S$10,$R$14:$S$14,$B21))</f>
        <v>-1.2186550000478746E-2</v>
      </c>
      <c r="G21" s="304" cm="1">
        <f t="array" ref="G21">IF($B21&gt;Assumptions!$C$11,0,TREND($T$11:$U$11,$T$14:$U$14,$B21)-TREND($R$11:$S$11,$R$14:$S$14,$B21))</f>
        <v>-3.5100999999038152E-5</v>
      </c>
      <c r="H21" s="475" cm="1">
        <f t="array" ref="H21">IF($B21&gt;Assumptions!$C$11,0,TREND($T$13:$U$13,$T$14:$U$14,$B21)-TREND($R$13:$S$13,$R$14:$S$14,$B21))</f>
        <v>-1.377559999582445E-4</v>
      </c>
      <c r="I21" s="178">
        <f t="shared" si="1"/>
        <v>1.7234590999527732</v>
      </c>
      <c r="J21" s="306">
        <f t="shared" si="2"/>
        <v>220.57655500866531</v>
      </c>
      <c r="K21" s="179">
        <f t="shared" si="3"/>
        <v>119.51710556377293</v>
      </c>
      <c r="L21" s="305">
        <f t="shared" si="6"/>
        <v>341.81711967239102</v>
      </c>
      <c r="M21" s="179">
        <f>L21*(1+0.07)^-(B21-Assumptions!$C$6)</f>
        <v>94.515281955179475</v>
      </c>
      <c r="N21" s="305">
        <f t="shared" si="4"/>
        <v>793.98791967282023</v>
      </c>
      <c r="O21" s="179">
        <f t="shared" si="4"/>
        <v>352.38197092779382</v>
      </c>
      <c r="P21" s="87"/>
      <c r="Q21" s="264">
        <v>2025</v>
      </c>
      <c r="R21" s="370">
        <v>16500</v>
      </c>
      <c r="S21" s="370">
        <v>44900</v>
      </c>
      <c r="T21" s="370">
        <v>801700</v>
      </c>
      <c r="U21" s="370">
        <v>56</v>
      </c>
    </row>
    <row r="22" spans="1:21" x14ac:dyDescent="0.25">
      <c r="A22" s="87"/>
      <c r="B22" s="2">
        <f t="shared" si="0"/>
        <v>2040</v>
      </c>
      <c r="C22" s="471" cm="1">
        <f t="array" ref="C22">IF(B22&gt;Assumptions!$C$11,0,TREND($T$12:$U$12,$T$14:$U$14,$B22)-TREND($R$12:$S$12,$R$14:$S$14,$B22))</f>
        <v>-7.5029999999096617</v>
      </c>
      <c r="D22" s="306">
        <f t="shared" si="5"/>
        <v>547.7189999934053</v>
      </c>
      <c r="E22" s="179">
        <f>D22*(1+0.03)^-($B22-Assumptions!$C$6)</f>
        <v>303.25873040353389</v>
      </c>
      <c r="F22" s="303" cm="1">
        <f t="array" ref="F22">IF($B22&gt;Assumptions!$C$11,0,TREND($T$10:$U$10,$T$14:$U$14,$B22)-TREND($R$10:$S$10,$R$14:$S$14,$B22))</f>
        <v>-1.2052000000039698E-2</v>
      </c>
      <c r="G22" s="304" cm="1">
        <f t="array" ref="G22">IF($B22&gt;Assumptions!$C$11,0,TREND($T$11:$U$11,$T$14:$U$14,$B22)-TREND($R$11:$S$11,$R$14:$S$14,$B22))</f>
        <v>-4.2389999999059569E-5</v>
      </c>
      <c r="H22" s="475" cm="1">
        <f t="array" ref="H22">IF($B22&gt;Assumptions!$C$11,0,TREND($T$13:$U$13,$T$14:$U$14,$B22)-TREND($R$13:$S$13,$R$14:$S$14,$B22))</f>
        <v>-9.2799999976023173E-5</v>
      </c>
      <c r="I22" s="178">
        <f t="shared" si="1"/>
        <v>2.0813489999538248</v>
      </c>
      <c r="J22" s="306">
        <f t="shared" si="2"/>
        <v>218.14120000071853</v>
      </c>
      <c r="K22" s="179">
        <f t="shared" si="3"/>
        <v>80.513279979197705</v>
      </c>
      <c r="L22" s="305">
        <f t="shared" si="6"/>
        <v>300.73582897987006</v>
      </c>
      <c r="M22" s="179">
        <f>L22*(1+0.07)^-(B22-Assumptions!$C$6)</f>
        <v>77.715853035380178</v>
      </c>
      <c r="N22" s="305">
        <f t="shared" si="4"/>
        <v>848.45482897327543</v>
      </c>
      <c r="O22" s="179">
        <f t="shared" si="4"/>
        <v>380.97458343891407</v>
      </c>
      <c r="P22" s="87"/>
      <c r="Q22" s="264">
        <v>2026</v>
      </c>
      <c r="R22" s="370">
        <v>16800</v>
      </c>
      <c r="S22" s="370">
        <v>45700</v>
      </c>
      <c r="T22" s="370">
        <v>814500</v>
      </c>
      <c r="U22" s="370">
        <v>57</v>
      </c>
    </row>
    <row r="23" spans="1:21" x14ac:dyDescent="0.25">
      <c r="A23" s="87"/>
      <c r="B23" s="2">
        <f t="shared" si="0"/>
        <v>2041</v>
      </c>
      <c r="C23" s="471" cm="1">
        <f t="array" ref="C23">IF(B23&gt;Assumptions!$C$11,0,TREND($T$12:$U$12,$T$14:$U$14,$B23)-TREND($R$12:$S$12,$R$14:$S$14,$B23))</f>
        <v>-8.7258499999297783</v>
      </c>
      <c r="D23" s="306">
        <f t="shared" si="5"/>
        <v>645.71289999480359</v>
      </c>
      <c r="E23" s="179">
        <f>D23*(1+0.03)^-($B23-Assumptions!$C$6)</f>
        <v>347.10250183734792</v>
      </c>
      <c r="F23" s="303" cm="1">
        <f t="array" ref="F23">IF($B23&gt;Assumptions!$C$11,0,TREND($T$10:$U$10,$T$14:$U$14,$B23)-TREND($R$10:$S$10,$R$14:$S$14,$B23))</f>
        <v>-1.1917450000510144E-2</v>
      </c>
      <c r="G23" s="304" cm="1">
        <f t="array" ref="G23">IF($B23&gt;Assumptions!$C$11,0,TREND($T$11:$U$11,$T$14:$U$14,$B23)-TREND($R$11:$S$11,$R$14:$S$14,$B23))</f>
        <v>-4.9678999999080986E-5</v>
      </c>
      <c r="H23" s="475" cm="1">
        <f t="array" ref="H23">IF($B23&gt;Assumptions!$C$11,0,TREND($T$13:$U$13,$T$14:$U$14,$B23)-TREND($R$13:$S$13,$R$14:$S$14,$B23))</f>
        <v>-4.7843999965380135E-5</v>
      </c>
      <c r="I23" s="178">
        <f t="shared" si="1"/>
        <v>2.4392388999548764</v>
      </c>
      <c r="J23" s="306">
        <f t="shared" si="2"/>
        <v>215.7058450092336</v>
      </c>
      <c r="K23" s="179">
        <f t="shared" si="3"/>
        <v>41.509454369963805</v>
      </c>
      <c r="L23" s="305">
        <f t="shared" si="6"/>
        <v>259.65453827915229</v>
      </c>
      <c r="M23" s="179">
        <f>L23*(1+0.07)^-(B23-Assumptions!$C$6)</f>
        <v>62.709969026349562</v>
      </c>
      <c r="N23" s="305">
        <f t="shared" si="4"/>
        <v>905.36743827395594</v>
      </c>
      <c r="O23" s="179">
        <f t="shared" si="4"/>
        <v>409.81247086369746</v>
      </c>
      <c r="P23" s="87"/>
      <c r="Q23" s="264">
        <v>2027</v>
      </c>
      <c r="R23" s="370">
        <v>17100</v>
      </c>
      <c r="S23" s="370">
        <v>46500</v>
      </c>
      <c r="T23" s="370">
        <v>827400</v>
      </c>
      <c r="U23" s="370">
        <v>58</v>
      </c>
    </row>
    <row r="24" spans="1:21" x14ac:dyDescent="0.25">
      <c r="A24" s="87"/>
      <c r="B24" s="2">
        <f t="shared" si="0"/>
        <v>2042</v>
      </c>
      <c r="C24" s="471" cm="1">
        <f t="array" ref="C24">IF(B24&gt;Assumptions!$C$11,0,TREND($T$12:$U$12,$T$14:$U$14,$B24)-TREND($R$12:$S$12,$R$14:$S$14,$B24))</f>
        <v>-9.9486999999498948</v>
      </c>
      <c r="D24" s="306">
        <f t="shared" si="5"/>
        <v>746.15249999624211</v>
      </c>
      <c r="E24" s="179">
        <f>D24*(1+0.03)^-($B24-Assumptions!$C$6)</f>
        <v>389.41139426283218</v>
      </c>
      <c r="F24" s="303" cm="1">
        <f t="array" ref="F24">IF($B24&gt;Assumptions!$C$11,0,TREND($T$10:$U$10,$T$14:$U$14,$B24)-TREND($R$10:$S$10,$R$14:$S$14,$B24))</f>
        <v>-1.1782900000071095E-2</v>
      </c>
      <c r="G24" s="304" cm="1">
        <f t="array" ref="G24">IF($B24&gt;Assumptions!$C$11,0,TREND($T$11:$U$11,$T$14:$U$14,$B24)-TREND($R$11:$S$11,$R$14:$S$14,$B24))</f>
        <v>-5.6967999999990582E-5</v>
      </c>
      <c r="H24" s="475" cm="1">
        <f t="array" ref="H24">IF($B24&gt;Assumptions!$C$11,0,TREND($T$13:$U$13,$T$14:$U$14,$B24)-TREND($R$13:$S$13,$R$14:$S$14,$B24))</f>
        <v>-2.8879999831588066E-6</v>
      </c>
      <c r="I24" s="178">
        <f t="shared" si="1"/>
        <v>2.7971287999995376</v>
      </c>
      <c r="J24" s="306">
        <f t="shared" si="2"/>
        <v>213.27049000128682</v>
      </c>
      <c r="K24" s="179">
        <f t="shared" si="3"/>
        <v>2.5056287853885806</v>
      </c>
      <c r="L24" s="305">
        <f t="shared" si="6"/>
        <v>218.57324758667494</v>
      </c>
      <c r="M24" s="179">
        <f>L24*(1+0.07)^-(B24-Assumptions!$C$6)</f>
        <v>49.334859536324018</v>
      </c>
      <c r="N24" s="305">
        <f t="shared" si="4"/>
        <v>964.72574758291705</v>
      </c>
      <c r="O24" s="179">
        <f t="shared" si="4"/>
        <v>438.74625379915619</v>
      </c>
      <c r="P24" s="87"/>
      <c r="Q24" s="264">
        <v>2028</v>
      </c>
      <c r="R24" s="370">
        <v>17400</v>
      </c>
      <c r="S24" s="370">
        <v>47300</v>
      </c>
      <c r="T24" s="370">
        <v>840600</v>
      </c>
      <c r="U24" s="370">
        <v>60</v>
      </c>
    </row>
    <row r="25" spans="1:21" x14ac:dyDescent="0.25">
      <c r="A25" s="87"/>
      <c r="B25" s="2">
        <f t="shared" si="0"/>
        <v>2043</v>
      </c>
      <c r="C25" s="471" cm="1">
        <f t="array" ref="C25">IF(B25&gt;Assumptions!$C$11,0,TREND($T$12:$U$12,$T$14:$U$14,$B25)-TREND($R$12:$S$12,$R$14:$S$14,$B25))</f>
        <v>-11.171549999970011</v>
      </c>
      <c r="D25" s="306">
        <f t="shared" si="5"/>
        <v>860.20934999769088</v>
      </c>
      <c r="E25" s="179">
        <f>D25*(1+0.03)^-($B25-Assumptions!$C$6)</f>
        <v>435.86097956590118</v>
      </c>
      <c r="F25" s="303" cm="1">
        <f t="array" ref="F25">IF($B25&gt;Assumptions!$C$11,0,TREND($T$10:$U$10,$T$14:$U$14,$B25)-TREND($R$10:$S$10,$R$14:$S$14,$B25))</f>
        <v>-1.1648350000541541E-2</v>
      </c>
      <c r="G25" s="304" cm="1">
        <f t="array" ref="G25">IF($B25&gt;Assumptions!$C$11,0,TREND($T$11:$U$11,$T$14:$U$14,$B25)-TREND($R$11:$S$11,$R$14:$S$14,$B25))</f>
        <v>-6.4256999999123821E-5</v>
      </c>
      <c r="H25" s="475" cm="1">
        <f t="array" ref="H25">IF($B25&gt;Assumptions!$C$11,0,TREND($T$13:$U$13,$T$14:$U$14,$B25)-TREND($R$13:$S$13,$R$14:$S$14,$B25))</f>
        <v>4.2068000027484231E-5</v>
      </c>
      <c r="I25" s="178">
        <f t="shared" si="1"/>
        <v>3.1550186999569796</v>
      </c>
      <c r="J25" s="306">
        <f t="shared" si="2"/>
        <v>210.83513500980189</v>
      </c>
      <c r="K25" s="179">
        <f t="shared" si="3"/>
        <v>-36.498196823845319</v>
      </c>
      <c r="L25" s="305">
        <f t="shared" si="6"/>
        <v>177.49195688591354</v>
      </c>
      <c r="M25" s="179">
        <f>L25*(1+0.07)^-(B25-Assumptions!$C$6)</f>
        <v>37.441375123926221</v>
      </c>
      <c r="N25" s="305">
        <f t="shared" si="4"/>
        <v>1037.7013068836045</v>
      </c>
      <c r="O25" s="179">
        <f t="shared" si="4"/>
        <v>473.30235468982738</v>
      </c>
      <c r="P25" s="87"/>
      <c r="Q25" s="264">
        <v>2029</v>
      </c>
      <c r="R25" s="370">
        <v>17700</v>
      </c>
      <c r="S25" s="370">
        <v>48200</v>
      </c>
      <c r="T25" s="370">
        <v>854000</v>
      </c>
      <c r="U25" s="370">
        <v>61</v>
      </c>
    </row>
    <row r="26" spans="1:21" x14ac:dyDescent="0.25">
      <c r="A26" s="87"/>
      <c r="B26" s="2">
        <f t="shared" si="0"/>
        <v>2044</v>
      </c>
      <c r="C26" s="471" cm="1">
        <f t="array" ref="C26">IF(B26&gt;Assumptions!$C$11,0,TREND($T$12:$U$12,$T$14:$U$14,$B26)-TREND($R$12:$S$12,$R$14:$S$14,$B26))</f>
        <v>-12.394399999990128</v>
      </c>
      <c r="D26" s="306">
        <f t="shared" si="5"/>
        <v>966.76319999922998</v>
      </c>
      <c r="E26" s="179">
        <f>D26*(1+0.03)^-($B26-Assumptions!$C$6)</f>
        <v>475.5834331311616</v>
      </c>
      <c r="F26" s="303" cm="1">
        <f t="array" ref="F26">IF($B26&gt;Assumptions!$C$11,0,TREND($T$10:$U$10,$T$14:$U$14,$B26)-TREND($R$10:$S$10,$R$14:$S$14,$B26))</f>
        <v>-1.1513800000102492E-2</v>
      </c>
      <c r="G26" s="304" cm="1">
        <f t="array" ref="G26">IF($B26&gt;Assumptions!$C$11,0,TREND($T$11:$U$11,$T$14:$U$14,$B26)-TREND($R$11:$S$11,$R$14:$S$14,$B26))</f>
        <v>-7.1545999999145238E-5</v>
      </c>
      <c r="H26" s="475" cm="1">
        <f t="array" ref="H26">IF($B26&gt;Assumptions!$C$11,0,TREND($T$13:$U$13,$T$14:$U$14,$B26)-TREND($R$13:$S$13,$R$14:$S$14,$B26))</f>
        <v>8.7024000038127269E-5</v>
      </c>
      <c r="I26" s="178">
        <f t="shared" si="1"/>
        <v>3.5129085999580312</v>
      </c>
      <c r="J26" s="306">
        <f t="shared" si="2"/>
        <v>208.39978000185511</v>
      </c>
      <c r="K26" s="179">
        <f t="shared" si="3"/>
        <v>-75.502022433079219</v>
      </c>
      <c r="L26" s="305">
        <f t="shared" si="6"/>
        <v>136.41066616873391</v>
      </c>
      <c r="M26" s="179">
        <f>L26*(1+0.07)^-(B26-Assumptions!$C$6)</f>
        <v>26.892901760129519</v>
      </c>
      <c r="N26" s="305">
        <f t="shared" si="4"/>
        <v>1103.173866167964</v>
      </c>
      <c r="O26" s="179">
        <f t="shared" si="4"/>
        <v>502.47633489129112</v>
      </c>
      <c r="P26" s="87"/>
      <c r="Q26" s="264">
        <v>2030</v>
      </c>
      <c r="R26" s="370">
        <v>18100</v>
      </c>
      <c r="S26" s="370">
        <v>49100</v>
      </c>
      <c r="T26" s="370">
        <v>867600</v>
      </c>
      <c r="U26" s="370">
        <v>62</v>
      </c>
    </row>
    <row r="27" spans="1:21" x14ac:dyDescent="0.25">
      <c r="A27" s="87"/>
      <c r="B27" s="2">
        <f t="shared" si="0"/>
        <v>2045</v>
      </c>
      <c r="C27" s="471" cm="1">
        <f t="array" ref="C27">IF(B27&gt;Assumptions!$C$11,0,TREND($T$12:$U$12,$T$14:$U$14,$B27)-TREND($R$12:$S$12,$R$14:$S$14,$B27))</f>
        <v>0</v>
      </c>
      <c r="D27" s="306">
        <f t="shared" si="5"/>
        <v>0</v>
      </c>
      <c r="E27" s="179">
        <f>D27*(1+0.03)^-($B27-Assumptions!$C$6)</f>
        <v>0</v>
      </c>
      <c r="F27" s="303" cm="1">
        <f t="array" ref="F27">IF($B27&gt;Assumptions!$C$11,0,TREND($T$10:$U$10,$T$14:$U$14,$B27)-TREND($R$10:$S$10,$R$14:$S$14,$B27))</f>
        <v>0</v>
      </c>
      <c r="G27" s="304" cm="1">
        <f t="array" ref="G27">IF($B27&gt;Assumptions!$C$11,0,TREND($T$11:$U$11,$T$14:$U$14,$B27)-TREND($R$11:$S$11,$R$14:$S$14,$B27))</f>
        <v>0</v>
      </c>
      <c r="H27" s="475" cm="1">
        <f t="array" ref="H27">IF($B27&gt;Assumptions!$C$11,0,TREND($T$13:$U$13,$T$14:$U$14,$B27)-TREND($R$13:$S$13,$R$14:$S$14,$B27))</f>
        <v>0</v>
      </c>
      <c r="I27" s="178">
        <f t="shared" si="1"/>
        <v>0</v>
      </c>
      <c r="J27" s="306">
        <f t="shared" si="2"/>
        <v>0</v>
      </c>
      <c r="K27" s="179">
        <f t="shared" si="3"/>
        <v>0</v>
      </c>
      <c r="L27" s="305">
        <f t="shared" si="6"/>
        <v>0</v>
      </c>
      <c r="M27" s="179">
        <f>L27*(1+0.07)^-(B27-Assumptions!$C$6)</f>
        <v>0</v>
      </c>
      <c r="N27" s="305">
        <f t="shared" si="4"/>
        <v>0</v>
      </c>
      <c r="O27" s="179">
        <f t="shared" si="4"/>
        <v>0</v>
      </c>
      <c r="P27" s="87"/>
      <c r="Q27" s="264">
        <v>2031</v>
      </c>
      <c r="R27" s="370">
        <v>18100</v>
      </c>
      <c r="S27" s="370">
        <v>49100</v>
      </c>
      <c r="T27" s="370">
        <v>867600</v>
      </c>
      <c r="U27" s="370">
        <v>63</v>
      </c>
    </row>
    <row r="28" spans="1:21" x14ac:dyDescent="0.25">
      <c r="A28" s="87"/>
      <c r="B28" s="2">
        <f t="shared" si="0"/>
        <v>2046</v>
      </c>
      <c r="C28" s="471" cm="1">
        <f t="array" ref="C28">IF(B28&gt;Assumptions!$C$11,0,TREND($T$12:$U$12,$T$14:$U$14,$B28)-TREND($R$12:$S$12,$R$14:$S$14,$B28))</f>
        <v>0</v>
      </c>
      <c r="D28" s="306">
        <f t="shared" si="5"/>
        <v>0</v>
      </c>
      <c r="E28" s="179">
        <f>D28*(1+0.03)^-($B28-Assumptions!$C$6)</f>
        <v>0</v>
      </c>
      <c r="F28" s="303" cm="1">
        <f t="array" ref="F28">IF($B28&gt;Assumptions!$C$11,0,TREND($T$10:$U$10,$T$14:$U$14,$B28)-TREND($R$10:$S$10,$R$14:$S$14,$B28))</f>
        <v>0</v>
      </c>
      <c r="G28" s="304" cm="1">
        <f t="array" ref="G28">IF($B28&gt;Assumptions!$C$11,0,TREND($T$11:$U$11,$T$14:$U$14,$B28)-TREND($R$11:$S$11,$R$14:$S$14,$B28))</f>
        <v>0</v>
      </c>
      <c r="H28" s="475" cm="1">
        <f t="array" ref="H28">IF($B28&gt;Assumptions!$C$11,0,TREND($T$13:$U$13,$T$14:$U$14,$B28)-TREND($R$13:$S$13,$R$14:$S$14,$B28))</f>
        <v>0</v>
      </c>
      <c r="I28" s="178">
        <f t="shared" si="1"/>
        <v>0</v>
      </c>
      <c r="J28" s="306">
        <f t="shared" si="2"/>
        <v>0</v>
      </c>
      <c r="K28" s="179">
        <f t="shared" si="3"/>
        <v>0</v>
      </c>
      <c r="L28" s="305">
        <f t="shared" si="6"/>
        <v>0</v>
      </c>
      <c r="M28" s="179">
        <f>L28*(1+0.07)^-(B28-Assumptions!$C$6)</f>
        <v>0</v>
      </c>
      <c r="N28" s="305">
        <f t="shared" si="4"/>
        <v>0</v>
      </c>
      <c r="O28" s="179">
        <f t="shared" si="4"/>
        <v>0</v>
      </c>
      <c r="P28" s="87"/>
      <c r="Q28" s="264">
        <v>2032</v>
      </c>
      <c r="R28" s="370">
        <v>18100</v>
      </c>
      <c r="S28" s="370">
        <v>49100</v>
      </c>
      <c r="T28" s="370">
        <v>867600</v>
      </c>
      <c r="U28" s="370">
        <v>64</v>
      </c>
    </row>
    <row r="29" spans="1:21" x14ac:dyDescent="0.25">
      <c r="A29" s="87"/>
      <c r="B29" s="2">
        <f t="shared" si="0"/>
        <v>2047</v>
      </c>
      <c r="C29" s="471" cm="1">
        <f t="array" ref="C29">IF(B29&gt;Assumptions!$C$11,0,TREND($T$12:$U$12,$T$14:$U$14,$B29)-TREND($R$12:$S$12,$R$14:$S$14,$B29))</f>
        <v>0</v>
      </c>
      <c r="D29" s="306">
        <f t="shared" si="5"/>
        <v>0</v>
      </c>
      <c r="E29" s="179">
        <f>D29*(1+0.03)^-($B29-Assumptions!$C$6)</f>
        <v>0</v>
      </c>
      <c r="F29" s="303" cm="1">
        <f t="array" ref="F29">IF($B29&gt;Assumptions!$C$11,0,TREND($T$10:$U$10,$T$14:$U$14,$B29)-TREND($R$10:$S$10,$R$14:$S$14,$B29))</f>
        <v>0</v>
      </c>
      <c r="G29" s="304" cm="1">
        <f t="array" ref="G29">IF($B29&gt;Assumptions!$C$11,0,TREND($T$11:$U$11,$T$14:$U$14,$B29)-TREND($R$11:$S$11,$R$14:$S$14,$B29))</f>
        <v>0</v>
      </c>
      <c r="H29" s="475" cm="1">
        <f t="array" ref="H29">IF($B29&gt;Assumptions!$C$11,0,TREND($T$13:$U$13,$T$14:$U$14,$B29)-TREND($R$13:$S$13,$R$14:$S$14,$B29))</f>
        <v>0</v>
      </c>
      <c r="I29" s="178">
        <f t="shared" si="1"/>
        <v>0</v>
      </c>
      <c r="J29" s="306">
        <f t="shared" si="2"/>
        <v>0</v>
      </c>
      <c r="K29" s="179">
        <f t="shared" si="3"/>
        <v>0</v>
      </c>
      <c r="L29" s="305">
        <f t="shared" si="6"/>
        <v>0</v>
      </c>
      <c r="M29" s="179">
        <f>L29*(1+0.07)^-(B29-Assumptions!$C$6)</f>
        <v>0</v>
      </c>
      <c r="N29" s="305">
        <f t="shared" si="4"/>
        <v>0</v>
      </c>
      <c r="O29" s="179">
        <f t="shared" si="4"/>
        <v>0</v>
      </c>
      <c r="P29" s="87"/>
      <c r="Q29" s="264">
        <v>2033</v>
      </c>
      <c r="R29" s="370">
        <v>18100</v>
      </c>
      <c r="S29" s="370">
        <v>49100</v>
      </c>
      <c r="T29" s="370">
        <v>867600</v>
      </c>
      <c r="U29" s="370">
        <v>65</v>
      </c>
    </row>
    <row r="30" spans="1:21" x14ac:dyDescent="0.25">
      <c r="A30" s="87"/>
      <c r="B30" s="2">
        <f t="shared" si="0"/>
        <v>2048</v>
      </c>
      <c r="C30" s="471" cm="1">
        <f t="array" ref="C30">IF(B30&gt;Assumptions!$C$11,0,TREND($T$12:$U$12,$T$14:$U$14,$B30)-TREND($R$12:$S$12,$R$14:$S$14,$B30))</f>
        <v>0</v>
      </c>
      <c r="D30" s="306">
        <f t="shared" si="5"/>
        <v>0</v>
      </c>
      <c r="E30" s="179">
        <f>D30*(1+0.03)^-($B30-Assumptions!$C$6)</f>
        <v>0</v>
      </c>
      <c r="F30" s="303" cm="1">
        <f t="array" ref="F30">IF($B30&gt;Assumptions!$C$11,0,TREND($T$10:$U$10,$T$14:$U$14,$B30)-TREND($R$10:$S$10,$R$14:$S$14,$B30))</f>
        <v>0</v>
      </c>
      <c r="G30" s="304" cm="1">
        <f t="array" ref="G30">IF($B30&gt;Assumptions!$C$11,0,TREND($T$11:$U$11,$T$14:$U$14,$B30)-TREND($R$11:$S$11,$R$14:$S$14,$B30))</f>
        <v>0</v>
      </c>
      <c r="H30" s="475" cm="1">
        <f t="array" ref="H30">IF($B30&gt;Assumptions!$C$11,0,TREND($T$13:$U$13,$T$14:$U$14,$B30)-TREND($R$13:$S$13,$R$14:$S$14,$B30))</f>
        <v>0</v>
      </c>
      <c r="I30" s="178">
        <f t="shared" si="1"/>
        <v>0</v>
      </c>
      <c r="J30" s="306">
        <f t="shared" si="2"/>
        <v>0</v>
      </c>
      <c r="K30" s="179">
        <f t="shared" si="3"/>
        <v>0</v>
      </c>
      <c r="L30" s="305">
        <f t="shared" si="6"/>
        <v>0</v>
      </c>
      <c r="M30" s="179">
        <f>L30*(1+0.07)^-(B30-Assumptions!$C$6)</f>
        <v>0</v>
      </c>
      <c r="N30" s="305">
        <f t="shared" si="4"/>
        <v>0</v>
      </c>
      <c r="O30" s="179">
        <f t="shared" si="4"/>
        <v>0</v>
      </c>
      <c r="P30" s="87"/>
      <c r="Q30" s="264">
        <v>2034</v>
      </c>
      <c r="R30" s="370">
        <v>18100</v>
      </c>
      <c r="S30" s="370">
        <v>49100</v>
      </c>
      <c r="T30" s="370">
        <v>867600</v>
      </c>
      <c r="U30" s="370">
        <v>66</v>
      </c>
    </row>
    <row r="31" spans="1:21" x14ac:dyDescent="0.25">
      <c r="A31" s="87"/>
      <c r="B31" s="2">
        <f t="shared" si="0"/>
        <v>2049</v>
      </c>
      <c r="C31" s="471" cm="1">
        <f t="array" ref="C31">IF(B31&gt;Assumptions!$C$11,0,TREND($T$12:$U$12,$T$14:$U$14,$B31)-TREND($R$12:$S$12,$R$14:$S$14,$B31))</f>
        <v>0</v>
      </c>
      <c r="D31" s="306">
        <f t="shared" si="5"/>
        <v>0</v>
      </c>
      <c r="E31" s="179">
        <f>D31*(1+0.03)^-($B31-Assumptions!$C$6)</f>
        <v>0</v>
      </c>
      <c r="F31" s="303" cm="1">
        <f t="array" ref="F31">IF($B31&gt;Assumptions!$C$11,0,TREND($T$10:$U$10,$T$14:$U$14,$B31)-TREND($R$10:$S$10,$R$14:$S$14,$B31))</f>
        <v>0</v>
      </c>
      <c r="G31" s="304" cm="1">
        <f t="array" ref="G31">IF($B31&gt;Assumptions!$C$11,0,TREND($T$11:$U$11,$T$14:$U$14,$B31)-TREND($R$11:$S$11,$R$14:$S$14,$B31))</f>
        <v>0</v>
      </c>
      <c r="H31" s="475" cm="1">
        <f t="array" ref="H31">IF($B31&gt;Assumptions!$C$11,0,TREND($T$13:$U$13,$T$14:$U$14,$B31)-TREND($R$13:$S$13,$R$14:$S$14,$B31))</f>
        <v>0</v>
      </c>
      <c r="I31" s="178">
        <f t="shared" si="1"/>
        <v>0</v>
      </c>
      <c r="J31" s="306">
        <f t="shared" si="2"/>
        <v>0</v>
      </c>
      <c r="K31" s="179">
        <f t="shared" si="3"/>
        <v>0</v>
      </c>
      <c r="L31" s="305">
        <f t="shared" si="6"/>
        <v>0</v>
      </c>
      <c r="M31" s="179">
        <f>L31*(1+0.07)^-(B31-Assumptions!$C$6)</f>
        <v>0</v>
      </c>
      <c r="N31" s="305">
        <f t="shared" si="4"/>
        <v>0</v>
      </c>
      <c r="O31" s="179">
        <f t="shared" si="4"/>
        <v>0</v>
      </c>
      <c r="P31" s="87"/>
      <c r="Q31" s="264">
        <v>2035</v>
      </c>
      <c r="R31" s="370">
        <v>18100</v>
      </c>
      <c r="S31" s="370">
        <v>49100</v>
      </c>
      <c r="T31" s="370">
        <v>867600</v>
      </c>
      <c r="U31" s="370">
        <v>67</v>
      </c>
    </row>
    <row r="32" spans="1:21" x14ac:dyDescent="0.25">
      <c r="A32" s="87"/>
      <c r="B32" s="2">
        <f t="shared" si="0"/>
        <v>2050</v>
      </c>
      <c r="C32" s="471" cm="1">
        <f t="array" ref="C32">IF(B32&gt;Assumptions!$C$11,0,TREND($T$12:$U$12,$T$14:$U$14,$B32)-TREND($R$12:$S$12,$R$14:$S$14,$B32))</f>
        <v>0</v>
      </c>
      <c r="D32" s="306">
        <f t="shared" si="5"/>
        <v>0</v>
      </c>
      <c r="E32" s="179">
        <f>D32*(1+0.03)^-($B32-Assumptions!$C$6)</f>
        <v>0</v>
      </c>
      <c r="F32" s="303" cm="1">
        <f t="array" ref="F32">IF($B32&gt;Assumptions!$C$11,0,TREND($T$10:$U$10,$T$14:$U$14,$B32)-TREND($R$10:$S$10,$R$14:$S$14,$B32))</f>
        <v>0</v>
      </c>
      <c r="G32" s="304" cm="1">
        <f t="array" ref="G32">IF($B32&gt;Assumptions!$C$11,0,TREND($T$11:$U$11,$T$14:$U$14,$B32)-TREND($R$11:$S$11,$R$14:$S$14,$B32))</f>
        <v>0</v>
      </c>
      <c r="H32" s="475" cm="1">
        <f t="array" ref="H32">IF($B32&gt;Assumptions!$C$11,0,TREND($T$13:$U$13,$T$14:$U$14,$B32)-TREND($R$13:$S$13,$R$14:$S$14,$B32))</f>
        <v>0</v>
      </c>
      <c r="I32" s="178">
        <f t="shared" si="1"/>
        <v>0</v>
      </c>
      <c r="J32" s="306">
        <f t="shared" si="2"/>
        <v>0</v>
      </c>
      <c r="K32" s="179">
        <f t="shared" si="3"/>
        <v>0</v>
      </c>
      <c r="L32" s="305">
        <f t="shared" si="6"/>
        <v>0</v>
      </c>
      <c r="M32" s="179">
        <f>L32*(1+0.07)^-(B32-Assumptions!$C$6)</f>
        <v>0</v>
      </c>
      <c r="N32" s="305">
        <f t="shared" si="4"/>
        <v>0</v>
      </c>
      <c r="O32" s="179">
        <f t="shared" si="4"/>
        <v>0</v>
      </c>
      <c r="P32" s="87"/>
      <c r="Q32" s="264">
        <v>2036</v>
      </c>
      <c r="R32" s="370">
        <v>18100</v>
      </c>
      <c r="S32" s="370">
        <v>49100</v>
      </c>
      <c r="T32" s="370">
        <v>867600</v>
      </c>
      <c r="U32" s="370">
        <v>69</v>
      </c>
    </row>
    <row r="33" spans="1:22" x14ac:dyDescent="0.25">
      <c r="A33" s="87"/>
      <c r="B33" s="2">
        <f t="shared" si="0"/>
        <v>2051</v>
      </c>
      <c r="C33" s="471" cm="1">
        <f t="array" ref="C33">IF(B33&gt;Assumptions!$C$11,0,TREND($T$12:$U$12,$T$14:$U$14,$B33)-TREND($R$12:$S$12,$R$14:$S$14,$B33))</f>
        <v>0</v>
      </c>
      <c r="D33" s="306">
        <f t="shared" si="5"/>
        <v>0</v>
      </c>
      <c r="E33" s="179">
        <f>D33*(1+0.03)^-($B33-Assumptions!$C$6)</f>
        <v>0</v>
      </c>
      <c r="F33" s="303" cm="1">
        <f t="array" ref="F33">IF($B33&gt;Assumptions!$C$11,0,TREND($T$10:$U$10,$T$14:$U$14,$B33)-TREND($R$10:$S$10,$R$14:$S$14,$B33))</f>
        <v>0</v>
      </c>
      <c r="G33" s="304" cm="1">
        <f t="array" ref="G33">IF($B33&gt;Assumptions!$C$11,0,TREND($T$11:$U$11,$T$14:$U$14,$B33)-TREND($R$11:$S$11,$R$14:$S$14,$B33))</f>
        <v>0</v>
      </c>
      <c r="H33" s="475" cm="1">
        <f t="array" ref="H33">IF($B33&gt;Assumptions!$C$11,0,TREND($T$13:$U$13,$T$14:$U$14,$B33)-TREND($R$13:$S$13,$R$14:$S$14,$B33))</f>
        <v>0</v>
      </c>
      <c r="I33" s="178">
        <f t="shared" si="1"/>
        <v>0</v>
      </c>
      <c r="J33" s="306">
        <f t="shared" si="2"/>
        <v>0</v>
      </c>
      <c r="K33" s="179">
        <f t="shared" si="3"/>
        <v>0</v>
      </c>
      <c r="L33" s="305">
        <f t="shared" si="6"/>
        <v>0</v>
      </c>
      <c r="M33" s="179">
        <f>L33*(1+0.07)^-(B33-Assumptions!$C$6)</f>
        <v>0</v>
      </c>
      <c r="N33" s="305">
        <f t="shared" si="4"/>
        <v>0</v>
      </c>
      <c r="O33" s="179">
        <f t="shared" si="4"/>
        <v>0</v>
      </c>
      <c r="P33" s="87"/>
      <c r="Q33" s="264">
        <v>2037</v>
      </c>
      <c r="R33" s="370">
        <v>18100</v>
      </c>
      <c r="S33" s="370">
        <v>49100</v>
      </c>
      <c r="T33" s="370">
        <v>867600</v>
      </c>
      <c r="U33" s="370">
        <v>70</v>
      </c>
    </row>
    <row r="34" spans="1:22" x14ac:dyDescent="0.25">
      <c r="A34" s="87"/>
      <c r="B34" s="2">
        <f t="shared" si="0"/>
        <v>2052</v>
      </c>
      <c r="C34" s="471" cm="1">
        <f t="array" ref="C34">IF(B34&gt;Assumptions!$C$11,0,TREND($T$12:$U$12,$T$14:$U$14,$B34)-TREND($R$12:$S$12,$R$14:$S$14,$B34))</f>
        <v>0</v>
      </c>
      <c r="D34" s="306">
        <f t="shared" si="5"/>
        <v>0</v>
      </c>
      <c r="E34" s="179">
        <f>D34*(1+0.03)^-($B34-Assumptions!$C$6)</f>
        <v>0</v>
      </c>
      <c r="F34" s="303" cm="1">
        <f t="array" ref="F34">IF($B34&gt;Assumptions!$C$11,0,TREND($T$10:$U$10,$T$14:$U$14,$B34)-TREND($R$10:$S$10,$R$14:$S$14,$B34))</f>
        <v>0</v>
      </c>
      <c r="G34" s="304" cm="1">
        <f t="array" ref="G34">IF($B34&gt;Assumptions!$C$11,0,TREND($T$11:$U$11,$T$14:$U$14,$B34)-TREND($R$11:$S$11,$R$14:$S$14,$B34))</f>
        <v>0</v>
      </c>
      <c r="H34" s="475" cm="1">
        <f t="array" ref="H34">IF($B34&gt;Assumptions!$C$11,0,TREND($T$13:$U$13,$T$14:$U$14,$B34)-TREND($R$13:$S$13,$R$14:$S$14,$B34))</f>
        <v>0</v>
      </c>
      <c r="I34" s="178">
        <f t="shared" si="1"/>
        <v>0</v>
      </c>
      <c r="J34" s="306">
        <f t="shared" si="2"/>
        <v>0</v>
      </c>
      <c r="K34" s="179">
        <f t="shared" si="3"/>
        <v>0</v>
      </c>
      <c r="L34" s="305">
        <f t="shared" si="6"/>
        <v>0</v>
      </c>
      <c r="M34" s="179">
        <f>L34*(1+0.07)^-(B34-Assumptions!$C$6)</f>
        <v>0</v>
      </c>
      <c r="N34" s="305">
        <f t="shared" si="4"/>
        <v>0</v>
      </c>
      <c r="O34" s="179">
        <f t="shared" si="4"/>
        <v>0</v>
      </c>
      <c r="P34" s="87"/>
      <c r="Q34" s="264">
        <v>2038</v>
      </c>
      <c r="R34" s="370">
        <v>18100</v>
      </c>
      <c r="S34" s="370">
        <v>49100</v>
      </c>
      <c r="T34" s="370">
        <v>867600</v>
      </c>
      <c r="U34" s="370">
        <v>71</v>
      </c>
    </row>
    <row r="35" spans="1:22" x14ac:dyDescent="0.25">
      <c r="A35" s="87"/>
      <c r="B35" s="2">
        <f t="shared" si="0"/>
        <v>2053</v>
      </c>
      <c r="C35" s="471" cm="1">
        <f t="array" ref="C35">IF(B35&gt;Assumptions!$C$11,0,TREND($T$12:$U$12,$T$14:$U$14,$B35)-TREND($R$12:$S$12,$R$14:$S$14,$B35))</f>
        <v>0</v>
      </c>
      <c r="D35" s="306">
        <f t="shared" si="5"/>
        <v>0</v>
      </c>
      <c r="E35" s="179">
        <f>D35*(1+0.03)^-($B35-Assumptions!$C$6)</f>
        <v>0</v>
      </c>
      <c r="F35" s="303" cm="1">
        <f t="array" ref="F35">IF($B35&gt;Assumptions!$C$11,0,TREND($T$10:$U$10,$T$14:$U$14,$B35)-TREND($R$10:$S$10,$R$14:$S$14,$B35))</f>
        <v>0</v>
      </c>
      <c r="G35" s="304" cm="1">
        <f t="array" ref="G35">IF($B35&gt;Assumptions!$C$11,0,TREND($T$11:$U$11,$T$14:$U$14,$B35)-TREND($R$11:$S$11,$R$14:$S$14,$B35))</f>
        <v>0</v>
      </c>
      <c r="H35" s="475" cm="1">
        <f t="array" ref="H35">IF($B35&gt;Assumptions!$C$11,0,TREND($T$13:$U$13,$T$14:$U$14,$B35)-TREND($R$13:$S$13,$R$14:$S$14,$B35))</f>
        <v>0</v>
      </c>
      <c r="I35" s="178">
        <f t="shared" si="1"/>
        <v>0</v>
      </c>
      <c r="J35" s="306">
        <f t="shared" si="2"/>
        <v>0</v>
      </c>
      <c r="K35" s="179">
        <f t="shared" si="3"/>
        <v>0</v>
      </c>
      <c r="L35" s="305">
        <f t="shared" si="6"/>
        <v>0</v>
      </c>
      <c r="M35" s="179">
        <f>L35*(1+0.07)^-(B35-Assumptions!$C$6)</f>
        <v>0</v>
      </c>
      <c r="N35" s="305">
        <f t="shared" si="4"/>
        <v>0</v>
      </c>
      <c r="O35" s="179">
        <f t="shared" si="4"/>
        <v>0</v>
      </c>
      <c r="P35" s="87"/>
      <c r="Q35" s="264">
        <v>2039</v>
      </c>
      <c r="R35" s="370">
        <v>18100</v>
      </c>
      <c r="S35" s="370">
        <v>49100</v>
      </c>
      <c r="T35" s="370">
        <v>867600</v>
      </c>
      <c r="U35" s="370">
        <v>72</v>
      </c>
    </row>
    <row r="36" spans="1:22" ht="15.75" thickBot="1" x14ac:dyDescent="0.3">
      <c r="A36" s="87"/>
      <c r="B36" s="3">
        <f t="shared" si="0"/>
        <v>2054</v>
      </c>
      <c r="C36" s="472" cm="1">
        <f t="array" ref="C36">IF(B36&gt;Assumptions!$C$11,0,TREND($T$12:$U$12,$T$14:$U$14,$B36)-TREND($R$12:$S$12,$R$14:$S$14,$B36))</f>
        <v>0</v>
      </c>
      <c r="D36" s="473">
        <f t="shared" si="5"/>
        <v>0</v>
      </c>
      <c r="E36" s="183">
        <f>D36*(1+0.03)^-($B36-Assumptions!$C$6)</f>
        <v>0</v>
      </c>
      <c r="F36" s="308" cm="1">
        <f t="array" ref="F36">IF($B36&gt;Assumptions!$C$11,0,TREND($T$10:$U$10,$T$14:$U$14,$B36)-TREND($R$10:$S$10,$R$14:$S$14,$B36))</f>
        <v>0</v>
      </c>
      <c r="G36" s="309" cm="1">
        <f t="array" ref="G36">IF($B36&gt;Assumptions!$C$11,0,TREND($T$11:$U$11,$T$14:$U$14,$B36)-TREND($R$11:$S$11,$R$14:$S$14,$B36))</f>
        <v>0</v>
      </c>
      <c r="H36" s="476" cm="1">
        <f t="array" ref="H36">IF($B36&gt;Assumptions!$C$11,0,TREND($T$13:$U$13,$T$14:$U$14,$B36)-TREND($R$13:$S$13,$R$14:$S$14,$B36))</f>
        <v>0</v>
      </c>
      <c r="I36" s="182">
        <f t="shared" si="1"/>
        <v>0</v>
      </c>
      <c r="J36" s="473">
        <f t="shared" si="2"/>
        <v>0</v>
      </c>
      <c r="K36" s="183">
        <f t="shared" si="3"/>
        <v>0</v>
      </c>
      <c r="L36" s="310">
        <f t="shared" si="6"/>
        <v>0</v>
      </c>
      <c r="M36" s="183">
        <f>L36*(1+0.07)^-(B36-Assumptions!$C$6)</f>
        <v>0</v>
      </c>
      <c r="N36" s="310">
        <f t="shared" si="4"/>
        <v>0</v>
      </c>
      <c r="O36" s="183">
        <f t="shared" si="4"/>
        <v>0</v>
      </c>
      <c r="P36" s="87"/>
      <c r="Q36" s="264">
        <v>2040</v>
      </c>
      <c r="R36" s="370">
        <v>18100</v>
      </c>
      <c r="S36" s="370">
        <v>49100</v>
      </c>
      <c r="T36" s="370">
        <v>867600</v>
      </c>
      <c r="U36" s="370">
        <v>73</v>
      </c>
    </row>
    <row r="37" spans="1:22" x14ac:dyDescent="0.25">
      <c r="A37" s="87"/>
      <c r="B37" s="4"/>
      <c r="C37" s="4"/>
      <c r="D37" s="311" t="s">
        <v>2</v>
      </c>
      <c r="E37" s="312">
        <f>SUM(E7:E36)</f>
        <v>238.79351966483233</v>
      </c>
      <c r="F37" s="4"/>
      <c r="G37" s="4"/>
      <c r="H37" s="4"/>
      <c r="I37" s="4"/>
      <c r="J37" s="4"/>
      <c r="K37" s="4"/>
      <c r="L37" s="311" t="s">
        <v>2</v>
      </c>
      <c r="M37" s="312">
        <f>SUM(M7:M36)</f>
        <v>4844.179304136218</v>
      </c>
      <c r="N37" s="312">
        <f>SUM(N7:N36)</f>
        <v>12290.779707092755</v>
      </c>
      <c r="O37" s="312">
        <f>SUM(O7:O36)</f>
        <v>5082.9728238010512</v>
      </c>
      <c r="P37" s="253"/>
      <c r="Q37" s="264">
        <v>2041</v>
      </c>
      <c r="R37" s="370">
        <v>18100</v>
      </c>
      <c r="S37" s="370">
        <v>49100</v>
      </c>
      <c r="T37" s="370">
        <v>867600</v>
      </c>
      <c r="U37" s="370">
        <v>74</v>
      </c>
    </row>
    <row r="38" spans="1:22" x14ac:dyDescent="0.25">
      <c r="A38" s="87"/>
      <c r="B38" s="87"/>
      <c r="C38" s="87"/>
      <c r="D38" s="87"/>
      <c r="E38" s="87"/>
      <c r="F38" s="87"/>
      <c r="G38" s="87"/>
      <c r="H38" s="87"/>
      <c r="I38" s="87"/>
      <c r="J38" s="87"/>
      <c r="K38" s="87"/>
      <c r="L38" s="87"/>
      <c r="M38" s="87"/>
      <c r="N38" s="87"/>
      <c r="O38" s="87"/>
      <c r="P38" s="253"/>
      <c r="Q38" s="264">
        <v>2042</v>
      </c>
      <c r="R38" s="370">
        <v>18100</v>
      </c>
      <c r="S38" s="370">
        <v>49100</v>
      </c>
      <c r="T38" s="370">
        <v>867600</v>
      </c>
      <c r="U38" s="370">
        <v>75</v>
      </c>
    </row>
    <row r="39" spans="1:22" x14ac:dyDescent="0.25">
      <c r="A39" s="87"/>
      <c r="B39" s="5" t="s">
        <v>3</v>
      </c>
      <c r="C39" s="5"/>
      <c r="D39" s="5"/>
      <c r="E39" s="5"/>
      <c r="F39" s="87"/>
      <c r="G39" s="87"/>
      <c r="H39" s="87"/>
      <c r="I39" s="87"/>
      <c r="J39" s="87"/>
      <c r="K39" s="87"/>
      <c r="L39" s="87"/>
      <c r="M39" s="87"/>
      <c r="N39" s="87"/>
      <c r="O39" s="87"/>
      <c r="P39" s="87"/>
      <c r="Q39" s="264">
        <v>2043</v>
      </c>
      <c r="R39" s="370">
        <v>18100</v>
      </c>
      <c r="S39" s="370">
        <v>49100</v>
      </c>
      <c r="T39" s="370">
        <v>867600</v>
      </c>
      <c r="U39" s="370">
        <v>77</v>
      </c>
    </row>
    <row r="40" spans="1:22" ht="15" customHeight="1" x14ac:dyDescent="0.25">
      <c r="A40" s="6" t="s">
        <v>32</v>
      </c>
      <c r="B40" s="612" t="s">
        <v>177</v>
      </c>
      <c r="C40" s="612"/>
      <c r="D40" s="612"/>
      <c r="E40" s="612"/>
      <c r="F40" s="612"/>
      <c r="G40" s="612"/>
      <c r="H40" s="612"/>
      <c r="I40" s="612"/>
      <c r="J40" s="612"/>
      <c r="K40" s="612"/>
      <c r="L40" s="33"/>
      <c r="M40" s="87"/>
      <c r="N40" s="87"/>
      <c r="O40" s="87"/>
      <c r="P40" s="87"/>
      <c r="Q40" s="264">
        <v>2044</v>
      </c>
      <c r="R40" s="370">
        <v>18100</v>
      </c>
      <c r="S40" s="370">
        <v>49100</v>
      </c>
      <c r="T40" s="370">
        <v>867600</v>
      </c>
      <c r="U40" s="370">
        <v>78</v>
      </c>
    </row>
    <row r="41" spans="1:22" x14ac:dyDescent="0.25">
      <c r="A41" s="87"/>
      <c r="B41" s="612"/>
      <c r="C41" s="612"/>
      <c r="D41" s="612"/>
      <c r="E41" s="612"/>
      <c r="F41" s="612"/>
      <c r="G41" s="612"/>
      <c r="H41" s="612"/>
      <c r="I41" s="612"/>
      <c r="J41" s="612"/>
      <c r="K41" s="612"/>
      <c r="L41" s="33"/>
      <c r="M41" s="87"/>
      <c r="N41" s="87"/>
      <c r="O41" s="87"/>
      <c r="P41" s="87"/>
      <c r="Q41" s="264">
        <v>2045</v>
      </c>
      <c r="R41" s="370">
        <v>18100</v>
      </c>
      <c r="S41" s="370">
        <v>49100</v>
      </c>
      <c r="T41" s="370">
        <v>867600</v>
      </c>
      <c r="U41" s="370">
        <v>79</v>
      </c>
    </row>
    <row r="42" spans="1:22" x14ac:dyDescent="0.25">
      <c r="A42" s="87"/>
      <c r="B42" s="612"/>
      <c r="C42" s="612"/>
      <c r="D42" s="612"/>
      <c r="E42" s="612"/>
      <c r="F42" s="612"/>
      <c r="G42" s="612"/>
      <c r="H42" s="612"/>
      <c r="I42" s="612"/>
      <c r="J42" s="612"/>
      <c r="K42" s="612"/>
      <c r="L42" s="33"/>
      <c r="M42" s="87"/>
      <c r="N42" s="87"/>
      <c r="O42" s="87"/>
      <c r="P42" s="87"/>
      <c r="Q42" s="264">
        <v>2046</v>
      </c>
      <c r="R42" s="370">
        <v>18100</v>
      </c>
      <c r="S42" s="370">
        <v>49100</v>
      </c>
      <c r="T42" s="370">
        <v>867600</v>
      </c>
      <c r="U42" s="370">
        <v>80</v>
      </c>
    </row>
    <row r="43" spans="1:22" x14ac:dyDescent="0.25">
      <c r="A43" s="87"/>
      <c r="B43" s="612"/>
      <c r="C43" s="612"/>
      <c r="D43" s="612"/>
      <c r="E43" s="612"/>
      <c r="F43" s="612"/>
      <c r="G43" s="612"/>
      <c r="H43" s="612"/>
      <c r="I43" s="612"/>
      <c r="J43" s="612"/>
      <c r="K43" s="612"/>
      <c r="L43" s="33"/>
      <c r="M43" s="87"/>
      <c r="N43" s="87"/>
      <c r="O43" s="87"/>
      <c r="P43" s="87"/>
      <c r="Q43" s="264">
        <v>2047</v>
      </c>
      <c r="R43" s="370">
        <v>18100</v>
      </c>
      <c r="S43" s="370">
        <v>49100</v>
      </c>
      <c r="T43" s="370">
        <v>867600</v>
      </c>
      <c r="U43" s="370">
        <v>81</v>
      </c>
    </row>
    <row r="44" spans="1:22" x14ac:dyDescent="0.25">
      <c r="A44" s="87"/>
      <c r="B44" s="612"/>
      <c r="C44" s="612"/>
      <c r="D44" s="612"/>
      <c r="E44" s="612"/>
      <c r="F44" s="612"/>
      <c r="G44" s="612"/>
      <c r="H44" s="612"/>
      <c r="I44" s="612"/>
      <c r="J44" s="612"/>
      <c r="K44" s="612"/>
      <c r="L44" s="87"/>
      <c r="M44" s="87"/>
      <c r="N44" s="87"/>
      <c r="O44" s="87"/>
      <c r="P44" s="87"/>
      <c r="Q44" s="264">
        <v>2048</v>
      </c>
      <c r="R44" s="370">
        <v>18100</v>
      </c>
      <c r="S44" s="370">
        <v>49100</v>
      </c>
      <c r="T44" s="370">
        <v>867600</v>
      </c>
      <c r="U44" s="370">
        <v>82</v>
      </c>
    </row>
    <row r="45" spans="1:22" ht="15" customHeight="1" x14ac:dyDescent="0.25">
      <c r="A45" s="6"/>
      <c r="B45" s="612"/>
      <c r="C45" s="612"/>
      <c r="D45" s="612"/>
      <c r="E45" s="612"/>
      <c r="F45" s="612"/>
      <c r="G45" s="612"/>
      <c r="H45" s="612"/>
      <c r="I45" s="612"/>
      <c r="J45" s="612"/>
      <c r="K45" s="612"/>
      <c r="L45" s="33"/>
      <c r="M45" s="87"/>
      <c r="N45" s="87"/>
      <c r="O45" s="87"/>
      <c r="P45" s="87"/>
      <c r="Q45" s="264">
        <v>2049</v>
      </c>
      <c r="R45" s="370">
        <v>18100</v>
      </c>
      <c r="S45" s="370">
        <v>49100</v>
      </c>
      <c r="T45" s="370">
        <v>867600</v>
      </c>
      <c r="U45" s="370">
        <v>83</v>
      </c>
    </row>
    <row r="46" spans="1:22" x14ac:dyDescent="0.25">
      <c r="A46" s="87"/>
      <c r="B46" s="612"/>
      <c r="C46" s="612"/>
      <c r="D46" s="612"/>
      <c r="E46" s="612"/>
      <c r="F46" s="612"/>
      <c r="G46" s="612"/>
      <c r="H46" s="612"/>
      <c r="I46" s="612"/>
      <c r="J46" s="612"/>
      <c r="K46" s="612"/>
      <c r="L46" s="33"/>
      <c r="M46" s="87"/>
      <c r="N46" s="87"/>
      <c r="O46" s="87"/>
      <c r="P46" s="87"/>
      <c r="Q46" s="264">
        <v>2050</v>
      </c>
      <c r="R46" s="370">
        <v>18100</v>
      </c>
      <c r="S46" s="370">
        <v>49100</v>
      </c>
      <c r="T46" s="370">
        <v>867600</v>
      </c>
      <c r="U46" s="370">
        <v>85</v>
      </c>
    </row>
    <row r="47" spans="1:22" x14ac:dyDescent="0.25">
      <c r="A47" s="6"/>
      <c r="B47" s="75"/>
      <c r="C47" s="75"/>
      <c r="D47" s="75"/>
      <c r="E47" s="75"/>
      <c r="F47" s="253"/>
      <c r="G47" s="253"/>
      <c r="H47" s="33"/>
      <c r="I47" s="87"/>
      <c r="J47" s="87"/>
      <c r="K47" s="87"/>
      <c r="L47" s="87"/>
      <c r="M47" s="87"/>
      <c r="N47" s="87"/>
      <c r="O47" s="87"/>
      <c r="P47" s="87"/>
      <c r="Q47" s="468">
        <v>2051</v>
      </c>
      <c r="R47" s="371">
        <v>18100</v>
      </c>
      <c r="S47" s="371">
        <v>49100</v>
      </c>
      <c r="T47" s="371">
        <v>867600</v>
      </c>
      <c r="U47" s="371">
        <v>85</v>
      </c>
      <c r="V47" s="647" t="s">
        <v>190</v>
      </c>
    </row>
    <row r="48" spans="1:22" x14ac:dyDescent="0.25">
      <c r="A48" s="6" t="s">
        <v>31</v>
      </c>
      <c r="B48" s="612" t="s">
        <v>273</v>
      </c>
      <c r="C48" s="612"/>
      <c r="D48" s="612"/>
      <c r="E48" s="612"/>
      <c r="F48" s="612"/>
      <c r="G48" s="612"/>
      <c r="H48" s="612"/>
      <c r="I48" s="612"/>
      <c r="J48" s="612"/>
      <c r="K48" s="612"/>
      <c r="L48" s="612"/>
      <c r="M48" s="87"/>
      <c r="N48" s="87"/>
      <c r="O48" s="87"/>
      <c r="P48" s="87"/>
      <c r="Q48" s="468">
        <v>2052</v>
      </c>
      <c r="R48" s="371">
        <v>18100</v>
      </c>
      <c r="S48" s="371">
        <v>49100</v>
      </c>
      <c r="T48" s="371">
        <v>867600</v>
      </c>
      <c r="U48" s="371">
        <v>85</v>
      </c>
      <c r="V48" s="647"/>
    </row>
    <row r="49" spans="1:22" x14ac:dyDescent="0.25">
      <c r="A49" s="87"/>
      <c r="B49" s="612"/>
      <c r="C49" s="612"/>
      <c r="D49" s="612"/>
      <c r="E49" s="612"/>
      <c r="F49" s="612"/>
      <c r="G49" s="612"/>
      <c r="H49" s="612"/>
      <c r="I49" s="612"/>
      <c r="J49" s="612"/>
      <c r="K49" s="612"/>
      <c r="L49" s="612"/>
      <c r="M49" s="87"/>
      <c r="N49" s="87"/>
      <c r="O49" s="87"/>
      <c r="P49" s="87"/>
      <c r="Q49" s="468">
        <v>2053</v>
      </c>
      <c r="R49" s="371">
        <v>18100</v>
      </c>
      <c r="S49" s="371">
        <v>49100</v>
      </c>
      <c r="T49" s="371">
        <v>867600</v>
      </c>
      <c r="U49" s="371">
        <v>85</v>
      </c>
      <c r="V49" s="647"/>
    </row>
    <row r="50" spans="1:22" x14ac:dyDescent="0.25">
      <c r="A50" s="6"/>
      <c r="B50" s="33"/>
      <c r="C50" s="33"/>
      <c r="D50" s="33"/>
      <c r="E50" s="33"/>
      <c r="F50" s="33"/>
      <c r="G50" s="33"/>
      <c r="H50" s="33"/>
      <c r="I50" s="33"/>
      <c r="J50" s="33"/>
      <c r="K50" s="33"/>
      <c r="L50" s="33"/>
      <c r="M50" s="87"/>
      <c r="N50" s="87"/>
      <c r="O50" s="87"/>
      <c r="P50" s="87"/>
      <c r="Q50" s="468">
        <v>2054</v>
      </c>
      <c r="R50" s="371">
        <v>18100</v>
      </c>
      <c r="S50" s="371">
        <v>49100</v>
      </c>
      <c r="T50" s="371">
        <v>867600</v>
      </c>
      <c r="U50" s="371">
        <v>85</v>
      </c>
      <c r="V50" s="647"/>
    </row>
    <row r="51" spans="1:22" x14ac:dyDescent="0.25">
      <c r="A51" s="6"/>
      <c r="B51" s="297"/>
      <c r="C51" s="297"/>
      <c r="D51" s="297"/>
      <c r="E51" s="297"/>
      <c r="F51" s="297"/>
      <c r="G51" s="297"/>
      <c r="H51" s="297"/>
      <c r="I51" s="87"/>
      <c r="J51" s="87"/>
      <c r="K51" s="87"/>
      <c r="L51" s="87"/>
      <c r="M51" s="87"/>
      <c r="N51" s="87"/>
      <c r="O51" s="87"/>
      <c r="P51" s="87"/>
      <c r="Q51" s="468">
        <v>2055</v>
      </c>
      <c r="R51" s="371">
        <v>18100</v>
      </c>
      <c r="S51" s="371">
        <v>49100</v>
      </c>
      <c r="T51" s="371">
        <v>867600</v>
      </c>
      <c r="U51" s="371">
        <v>85</v>
      </c>
      <c r="V51" s="647"/>
    </row>
    <row r="52" spans="1:22" x14ac:dyDescent="0.25">
      <c r="A52" s="6"/>
      <c r="B52" s="297"/>
      <c r="C52" s="297"/>
      <c r="D52" s="297"/>
      <c r="E52" s="297"/>
      <c r="F52" s="297"/>
      <c r="G52" s="297"/>
      <c r="H52" s="297"/>
      <c r="I52" s="87"/>
      <c r="J52" s="87"/>
      <c r="K52" s="87"/>
      <c r="L52" s="87"/>
      <c r="M52" s="87"/>
      <c r="N52" s="87"/>
      <c r="O52" s="87"/>
      <c r="P52" s="87"/>
      <c r="Q52" s="372"/>
      <c r="R52" s="373"/>
      <c r="S52" s="373"/>
      <c r="T52" s="373"/>
      <c r="U52" s="373"/>
      <c r="V52" s="66"/>
    </row>
    <row r="53" spans="1:22" x14ac:dyDescent="0.25">
      <c r="A53" s="6"/>
      <c r="B53" s="297"/>
      <c r="C53" s="297"/>
      <c r="D53" s="297"/>
      <c r="E53" s="297"/>
      <c r="F53" s="297"/>
      <c r="G53" s="297"/>
      <c r="H53" s="297"/>
      <c r="I53" s="87"/>
      <c r="J53" s="87"/>
      <c r="K53" s="87"/>
      <c r="L53" s="87"/>
      <c r="M53" s="87"/>
      <c r="N53" s="87"/>
      <c r="O53" s="87"/>
      <c r="P53" s="87"/>
      <c r="Q53" s="372"/>
      <c r="R53" s="373"/>
      <c r="S53" s="373"/>
      <c r="T53" s="373"/>
      <c r="U53" s="373"/>
    </row>
  </sheetData>
  <mergeCells count="21">
    <mergeCell ref="N5:N6"/>
    <mergeCell ref="B48:L49"/>
    <mergeCell ref="B40:K46"/>
    <mergeCell ref="Q8:U8"/>
    <mergeCell ref="V47:V51"/>
    <mergeCell ref="C4:E4"/>
    <mergeCell ref="F4:M4"/>
    <mergeCell ref="N4:O4"/>
    <mergeCell ref="B5:B6"/>
    <mergeCell ref="C5:C6"/>
    <mergeCell ref="D5:D6"/>
    <mergeCell ref="E5:E6"/>
    <mergeCell ref="F5:F6"/>
    <mergeCell ref="G5:G6"/>
    <mergeCell ref="H5:H6"/>
    <mergeCell ref="O5:O6"/>
    <mergeCell ref="I5:I6"/>
    <mergeCell ref="J5:J6"/>
    <mergeCell ref="K5:K6"/>
    <mergeCell ref="L5:L6"/>
    <mergeCell ref="M5:M6"/>
  </mergeCells>
  <pageMargins left="0.7" right="0.7" top="0.75" bottom="0.75" header="0.3" footer="0.3"/>
  <pageSetup scale="3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B0A75-9F1A-496E-8C93-0D7360AAB044}">
  <sheetPr>
    <tabColor rgb="FF00B050"/>
  </sheetPr>
  <dimension ref="A1:AD65"/>
  <sheetViews>
    <sheetView view="pageBreakPreview" topLeftCell="H1" zoomScale="90" zoomScaleNormal="100" zoomScaleSheetLayoutView="90" workbookViewId="0">
      <selection activeCell="U29" sqref="U29"/>
    </sheetView>
  </sheetViews>
  <sheetFormatPr defaultColWidth="9.140625" defaultRowHeight="15" x14ac:dyDescent="0.25"/>
  <cols>
    <col min="1" max="1" width="9.140625" style="6"/>
    <col min="2" max="2" width="10.140625" style="438" customWidth="1"/>
    <col min="3" max="5" width="11.42578125" style="438" customWidth="1"/>
    <col min="6" max="6" width="12.42578125" style="438" customWidth="1"/>
    <col min="7" max="7" width="13.7109375" style="69" bestFit="1" customWidth="1"/>
    <col min="8" max="8" width="11.42578125" style="69" customWidth="1"/>
    <col min="9" max="9" width="12.42578125" style="438" customWidth="1"/>
    <col min="10" max="10" width="18.42578125" style="438" customWidth="1"/>
    <col min="11" max="11" width="15.28515625" style="438" customWidth="1"/>
    <col min="12" max="12" width="14" style="438" customWidth="1"/>
    <col min="13" max="13" width="14.5703125" style="438" customWidth="1"/>
    <col min="14" max="14" width="9.140625" style="438"/>
    <col min="15" max="15" width="24" style="438" customWidth="1"/>
    <col min="16" max="16" width="16.7109375" style="438" customWidth="1"/>
    <col min="17" max="17" width="12.140625" style="438" customWidth="1"/>
    <col min="18" max="18" width="12.42578125" style="438" customWidth="1"/>
    <col min="19" max="19" width="16.42578125" style="438" customWidth="1"/>
    <col min="20" max="20" width="33" style="438" customWidth="1"/>
    <col min="21" max="21" width="19.28515625" style="438" customWidth="1"/>
    <col min="22" max="22" width="18.140625" style="438" customWidth="1"/>
    <col min="23" max="23" width="17.7109375" style="438" customWidth="1"/>
    <col min="24" max="24" width="19.140625" style="438" customWidth="1"/>
    <col min="25" max="16384" width="9.140625" style="438"/>
  </cols>
  <sheetData>
    <row r="1" spans="2:25" ht="16.5" customHeight="1" x14ac:dyDescent="0.25">
      <c r="B1" s="135">
        <v>1</v>
      </c>
      <c r="C1" s="438">
        <v>3</v>
      </c>
      <c r="E1" s="438">
        <v>4</v>
      </c>
      <c r="F1" s="438">
        <v>6</v>
      </c>
      <c r="G1" s="69">
        <v>8</v>
      </c>
      <c r="H1" s="69">
        <v>9</v>
      </c>
      <c r="I1" s="438">
        <v>10</v>
      </c>
      <c r="K1" s="438">
        <v>11</v>
      </c>
      <c r="L1" s="438">
        <v>12</v>
      </c>
      <c r="M1" s="438">
        <v>13</v>
      </c>
    </row>
    <row r="2" spans="2:25" ht="16.5" customHeight="1" x14ac:dyDescent="0.35">
      <c r="B2" s="5" t="s">
        <v>193</v>
      </c>
      <c r="H2" s="379"/>
    </row>
    <row r="3" spans="2:25" ht="15.75" thickBot="1" x14ac:dyDescent="0.3">
      <c r="I3" s="135"/>
      <c r="J3" s="135"/>
    </row>
    <row r="4" spans="2:25" ht="15.75" thickBot="1" x14ac:dyDescent="0.3">
      <c r="C4" s="655" t="s">
        <v>274</v>
      </c>
      <c r="D4" s="656"/>
      <c r="E4" s="655" t="s">
        <v>275</v>
      </c>
      <c r="F4" s="656"/>
      <c r="G4" s="628" t="s">
        <v>276</v>
      </c>
      <c r="H4" s="657"/>
      <c r="I4" s="657"/>
      <c r="J4" s="657"/>
      <c r="K4" s="629"/>
      <c r="L4" s="627" t="s">
        <v>2</v>
      </c>
      <c r="M4" s="656"/>
      <c r="O4" s="442" t="s">
        <v>194</v>
      </c>
      <c r="P4" s="443">
        <v>2020</v>
      </c>
      <c r="V4" s="681" t="s">
        <v>299</v>
      </c>
      <c r="W4" s="681"/>
      <c r="X4" s="681"/>
      <c r="Y4" s="681"/>
    </row>
    <row r="5" spans="2:25" ht="18" customHeight="1" x14ac:dyDescent="0.25">
      <c r="B5" s="584" t="s">
        <v>0</v>
      </c>
      <c r="C5" s="649" t="s">
        <v>195</v>
      </c>
      <c r="D5" s="651" t="s">
        <v>196</v>
      </c>
      <c r="E5" s="649" t="s">
        <v>197</v>
      </c>
      <c r="F5" s="651" t="s">
        <v>198</v>
      </c>
      <c r="G5" s="658" t="s">
        <v>199</v>
      </c>
      <c r="H5" s="660" t="s">
        <v>200</v>
      </c>
      <c r="I5" s="660" t="s">
        <v>201</v>
      </c>
      <c r="J5" s="660" t="s">
        <v>202</v>
      </c>
      <c r="K5" s="662" t="s">
        <v>203</v>
      </c>
      <c r="L5" s="664" t="s">
        <v>204</v>
      </c>
      <c r="M5" s="653" t="s">
        <v>1</v>
      </c>
      <c r="O5" s="442" t="s">
        <v>205</v>
      </c>
      <c r="P5" s="477">
        <f>10673/5280</f>
        <v>2.0214015151515152</v>
      </c>
      <c r="Q5" s="135"/>
      <c r="V5" s="534">
        <v>2010</v>
      </c>
      <c r="W5" s="534">
        <v>2020</v>
      </c>
      <c r="X5" s="534">
        <v>2030</v>
      </c>
      <c r="Y5" s="534">
        <v>2040</v>
      </c>
    </row>
    <row r="6" spans="2:25" ht="18.75" customHeight="1" thickBot="1" x14ac:dyDescent="0.3">
      <c r="B6" s="648"/>
      <c r="C6" s="650"/>
      <c r="D6" s="652"/>
      <c r="E6" s="650"/>
      <c r="F6" s="652"/>
      <c r="G6" s="659"/>
      <c r="H6" s="661"/>
      <c r="I6" s="661"/>
      <c r="J6" s="661"/>
      <c r="K6" s="663"/>
      <c r="L6" s="665"/>
      <c r="M6" s="654"/>
      <c r="U6" s="537" t="s">
        <v>300</v>
      </c>
      <c r="V6" s="532">
        <v>61567</v>
      </c>
      <c r="W6" s="532">
        <v>70900</v>
      </c>
      <c r="X6" s="532">
        <v>80500</v>
      </c>
      <c r="Y6" s="532">
        <v>89700</v>
      </c>
    </row>
    <row r="7" spans="2:25" ht="18.75" customHeight="1" x14ac:dyDescent="0.25">
      <c r="B7" s="380">
        <f>Assumptions!C10</f>
        <v>2025</v>
      </c>
      <c r="C7" s="478">
        <f t="shared" ref="C7:C26" si="0">$Q$22*(1+$R$14)^(B7-2019)</f>
        <v>8.1873878918163197</v>
      </c>
      <c r="D7" s="479">
        <f t="shared" ref="D7:D26" si="1">$R$22*(1+$R$14)^(B7-2019)</f>
        <v>20.819357782047206</v>
      </c>
      <c r="E7" s="478">
        <f t="shared" ref="E7:E26" si="2">$Q$29*(1+$R$14)^(B7-2019)</f>
        <v>3.4261219925695143</v>
      </c>
      <c r="F7" s="479">
        <f t="shared" ref="F7:F26" si="3">$R$29*(1+$R$14)^(B7-2019)</f>
        <v>8.7121387811053381</v>
      </c>
      <c r="G7" s="480">
        <f t="shared" ref="G7:G26" si="4">(C7*$R$37)*$R$33*$R$34*$R$35*$R$36*$Q$59</f>
        <v>10079.132988547834</v>
      </c>
      <c r="H7" s="381">
        <f>(E7*$R$41)+(F7*$R$42)*$R$40</f>
        <v>15974.269318055416</v>
      </c>
      <c r="I7" s="381">
        <f t="shared" ref="I7:I26" si="5">F7*$R$45*$R$46*$Q$58</f>
        <v>30187.560876529995</v>
      </c>
      <c r="J7" s="381">
        <f t="shared" ref="J7:J26" si="6">(E7*$R$50)+(F7*$R$51)*$R$49*$R$18</f>
        <v>7733.5207710198229</v>
      </c>
      <c r="K7" s="383">
        <f t="shared" ref="K7:K26" si="7">E7*$R$18*$Q$55*$Q$54*$Q$58</f>
        <v>229.06316778085571</v>
      </c>
      <c r="L7" s="382">
        <f t="shared" ref="L7:L26" si="8">SUM(G7:K7)</f>
        <v>64203.547121933923</v>
      </c>
      <c r="M7" s="383">
        <f t="shared" ref="M7:M26" si="9">$L7*(1+0.07)^-($B7-$P$4)</f>
        <v>45776.241771767338</v>
      </c>
      <c r="O7" s="5" t="s">
        <v>206</v>
      </c>
      <c r="R7" s="135"/>
      <c r="U7" s="537" t="s">
        <v>302</v>
      </c>
      <c r="V7" s="532"/>
      <c r="W7" s="538">
        <f>(W6-V6)/V6</f>
        <v>0.15159094969707798</v>
      </c>
      <c r="X7" s="538">
        <f t="shared" ref="X7:Y7" si="10">(X6-W6)/W6</f>
        <v>0.13540197461212977</v>
      </c>
      <c r="Y7" s="538">
        <f t="shared" si="10"/>
        <v>0.11428571428571428</v>
      </c>
    </row>
    <row r="8" spans="2:25" x14ac:dyDescent="0.25">
      <c r="B8" s="384">
        <f>B7+1</f>
        <v>2026</v>
      </c>
      <c r="C8" s="481">
        <f t="shared" si="0"/>
        <v>8.2969020207122064</v>
      </c>
      <c r="D8" s="482">
        <f t="shared" si="1"/>
        <v>21.097836566953891</v>
      </c>
      <c r="E8" s="481">
        <f t="shared" si="2"/>
        <v>3.4719496448641283</v>
      </c>
      <c r="F8" s="482">
        <f t="shared" si="3"/>
        <v>8.8286719540830703</v>
      </c>
      <c r="G8" s="483">
        <f t="shared" si="4"/>
        <v>10213.951014009888</v>
      </c>
      <c r="H8" s="385">
        <f t="shared" ref="H8:H26" si="11">(E8*$R$41)+(F8*$R$42)*$R$40</f>
        <v>16187.940419538678</v>
      </c>
      <c r="I8" s="385">
        <f t="shared" si="5"/>
        <v>30591.348320897836</v>
      </c>
      <c r="J8" s="385">
        <f t="shared" si="6"/>
        <v>7836.9639939045019</v>
      </c>
      <c r="K8" s="387">
        <f t="shared" si="7"/>
        <v>232.12710631816714</v>
      </c>
      <c r="L8" s="386">
        <f t="shared" si="8"/>
        <v>65062.330854669075</v>
      </c>
      <c r="M8" s="387">
        <f t="shared" si="9"/>
        <v>43353.778228385891</v>
      </c>
      <c r="O8" s="668" t="s">
        <v>207</v>
      </c>
      <c r="P8" s="668"/>
      <c r="Q8" s="388" t="s">
        <v>208</v>
      </c>
      <c r="R8" s="389"/>
      <c r="S8" s="69"/>
      <c r="T8" s="69"/>
      <c r="U8" s="537" t="s">
        <v>303</v>
      </c>
      <c r="V8" s="532"/>
      <c r="W8" s="538">
        <f>W7/10</f>
        <v>1.5159094969707798E-2</v>
      </c>
      <c r="X8" s="538">
        <f t="shared" ref="X8:Y8" si="12">X7/10</f>
        <v>1.3540197461212978E-2</v>
      </c>
      <c r="Y8" s="538">
        <f t="shared" si="12"/>
        <v>1.1428571428571429E-2</v>
      </c>
    </row>
    <row r="9" spans="2:25" x14ac:dyDescent="0.25">
      <c r="B9" s="384">
        <f t="shared" ref="B9:B24" si="13">B8+1</f>
        <v>2027</v>
      </c>
      <c r="C9" s="481">
        <f t="shared" si="0"/>
        <v>8.4078810056264324</v>
      </c>
      <c r="D9" s="482">
        <f t="shared" si="1"/>
        <v>21.380040271450063</v>
      </c>
      <c r="E9" s="481">
        <f t="shared" si="2"/>
        <v>3.5183902857561673</v>
      </c>
      <c r="F9" s="482">
        <f t="shared" si="3"/>
        <v>8.9467638694942551</v>
      </c>
      <c r="G9" s="483">
        <f t="shared" si="4"/>
        <v>10350.572359262454</v>
      </c>
      <c r="H9" s="385">
        <f t="shared" si="11"/>
        <v>16404.469575978947</v>
      </c>
      <c r="I9" s="385">
        <f t="shared" si="5"/>
        <v>31000.536807797595</v>
      </c>
      <c r="J9" s="385">
        <f t="shared" si="6"/>
        <v>7941.7908686442133</v>
      </c>
      <c r="K9" s="387">
        <f t="shared" si="7"/>
        <v>235.23202795831145</v>
      </c>
      <c r="L9" s="386">
        <f t="shared" si="8"/>
        <v>65932.601639641522</v>
      </c>
      <c r="M9" s="387">
        <f t="shared" si="9"/>
        <v>41059.510652866324</v>
      </c>
      <c r="O9" s="669" t="s">
        <v>209</v>
      </c>
      <c r="P9" s="669"/>
      <c r="Q9" s="390">
        <v>1392</v>
      </c>
      <c r="R9" s="484"/>
      <c r="S9" s="391"/>
      <c r="T9" s="391"/>
      <c r="U9" s="536"/>
      <c r="V9" s="532"/>
      <c r="W9" s="532"/>
      <c r="X9" s="535" t="s">
        <v>301</v>
      </c>
      <c r="Y9" s="539">
        <f>SUM(W8:Y8)/3</f>
        <v>1.3375954619830736E-2</v>
      </c>
    </row>
    <row r="10" spans="2:25" x14ac:dyDescent="0.25">
      <c r="B10" s="384">
        <f t="shared" si="13"/>
        <v>2028</v>
      </c>
      <c r="C10" s="481">
        <f t="shared" si="0"/>
        <v>8.5203444404066282</v>
      </c>
      <c r="D10" s="482">
        <f t="shared" si="1"/>
        <v>21.666018719891134</v>
      </c>
      <c r="E10" s="481">
        <f t="shared" si="2"/>
        <v>3.5654521145532949</v>
      </c>
      <c r="F10" s="482">
        <f t="shared" si="3"/>
        <v>9.0664353770069521</v>
      </c>
      <c r="G10" s="483">
        <f t="shared" si="4"/>
        <v>10489.021145429224</v>
      </c>
      <c r="H10" s="385">
        <f t="shared" si="11"/>
        <v>16623.895016589635</v>
      </c>
      <c r="I10" s="385">
        <f t="shared" si="5"/>
        <v>31415.198581329088</v>
      </c>
      <c r="J10" s="385">
        <f t="shared" si="6"/>
        <v>8048.0199029033847</v>
      </c>
      <c r="K10" s="387">
        <f t="shared" si="7"/>
        <v>238.3784808894126</v>
      </c>
      <c r="L10" s="386">
        <f t="shared" si="8"/>
        <v>66814.513127140744</v>
      </c>
      <c r="M10" s="387">
        <f t="shared" si="9"/>
        <v>38886.654957076185</v>
      </c>
      <c r="O10" s="669" t="s">
        <v>210</v>
      </c>
      <c r="P10" s="669"/>
      <c r="Q10" s="390">
        <v>1955</v>
      </c>
      <c r="R10" s="391"/>
      <c r="S10" s="391"/>
      <c r="T10" s="391"/>
      <c r="U10" s="536"/>
      <c r="V10" s="533"/>
      <c r="W10" s="533"/>
      <c r="X10" s="533"/>
      <c r="Y10" s="533"/>
    </row>
    <row r="11" spans="2:25" x14ac:dyDescent="0.25">
      <c r="B11" s="384">
        <f t="shared" si="13"/>
        <v>2029</v>
      </c>
      <c r="C11" s="481">
        <f t="shared" si="0"/>
        <v>8.634312180986834</v>
      </c>
      <c r="D11" s="482">
        <f t="shared" si="1"/>
        <v>21.955822403080802</v>
      </c>
      <c r="E11" s="481">
        <f t="shared" si="2"/>
        <v>3.6131434402367391</v>
      </c>
      <c r="F11" s="482">
        <f t="shared" si="3"/>
        <v>9.1877076051734239</v>
      </c>
      <c r="G11" s="483">
        <f t="shared" si="4"/>
        <v>10629.32181627693</v>
      </c>
      <c r="H11" s="385">
        <f t="shared" si="11"/>
        <v>16846.255481936369</v>
      </c>
      <c r="I11" s="385">
        <f t="shared" si="5"/>
        <v>31835.406851925913</v>
      </c>
      <c r="J11" s="385">
        <f t="shared" si="6"/>
        <v>8155.6698519041138</v>
      </c>
      <c r="K11" s="387">
        <f t="shared" si="7"/>
        <v>241.56702063213356</v>
      </c>
      <c r="L11" s="386">
        <f t="shared" si="8"/>
        <v>67708.221022675454</v>
      </c>
      <c r="M11" s="387">
        <f t="shared" si="9"/>
        <v>36828.786064578555</v>
      </c>
      <c r="O11" s="669" t="s">
        <v>211</v>
      </c>
      <c r="P11" s="669"/>
      <c r="Q11" s="390">
        <v>4599</v>
      </c>
      <c r="R11" s="391"/>
      <c r="S11" s="135"/>
      <c r="T11" s="391"/>
    </row>
    <row r="12" spans="2:25" x14ac:dyDescent="0.25">
      <c r="B12" s="384">
        <f t="shared" si="13"/>
        <v>2030</v>
      </c>
      <c r="C12" s="481">
        <f t="shared" si="0"/>
        <v>8.7498043488931661</v>
      </c>
      <c r="D12" s="482">
        <f t="shared" si="1"/>
        <v>22.249502487185474</v>
      </c>
      <c r="E12" s="481">
        <f t="shared" si="2"/>
        <v>3.6614726829282849</v>
      </c>
      <c r="F12" s="482">
        <f t="shared" si="3"/>
        <v>9.3106019651604974</v>
      </c>
      <c r="G12" s="483">
        <f t="shared" si="4"/>
        <v>10771.499142531027</v>
      </c>
      <c r="H12" s="385">
        <f t="shared" si="11"/>
        <v>17071.590230776823</v>
      </c>
      <c r="I12" s="385">
        <f t="shared" si="5"/>
        <v>32261.235809281126</v>
      </c>
      <c r="J12" s="385">
        <f t="shared" si="6"/>
        <v>8264.759721737506</v>
      </c>
      <c r="K12" s="387">
        <f t="shared" si="7"/>
        <v>244.79821013775668</v>
      </c>
      <c r="L12" s="386">
        <f t="shared" si="8"/>
        <v>68613.883114464232</v>
      </c>
      <c r="M12" s="387">
        <f t="shared" si="9"/>
        <v>34879.818911852155</v>
      </c>
      <c r="S12" s="135"/>
    </row>
    <row r="13" spans="2:25" x14ac:dyDescent="0.25">
      <c r="B13" s="384">
        <f t="shared" si="13"/>
        <v>2031</v>
      </c>
      <c r="C13" s="481">
        <f t="shared" si="0"/>
        <v>8.8668413347963568</v>
      </c>
      <c r="D13" s="482">
        <f t="shared" si="1"/>
        <v>22.547110822767873</v>
      </c>
      <c r="E13" s="481">
        <f t="shared" si="2"/>
        <v>3.7104483753768829</v>
      </c>
      <c r="F13" s="482">
        <f t="shared" si="3"/>
        <v>9.4351401545297904</v>
      </c>
      <c r="G13" s="483">
        <f t="shared" si="4"/>
        <v>10915.578226249067</v>
      </c>
      <c r="H13" s="385">
        <f t="shared" si="11"/>
        <v>17299.939046992036</v>
      </c>
      <c r="I13" s="385">
        <f t="shared" si="5"/>
        <v>32692.760635445724</v>
      </c>
      <c r="J13" s="385">
        <f t="shared" si="6"/>
        <v>8375.3087727192706</v>
      </c>
      <c r="K13" s="387">
        <f t="shared" si="7"/>
        <v>248.07261988757506</v>
      </c>
      <c r="L13" s="386">
        <f t="shared" si="8"/>
        <v>69531.659301293679</v>
      </c>
      <c r="M13" s="387">
        <f t="shared" si="9"/>
        <v>33033.990454920568</v>
      </c>
      <c r="O13" s="5" t="s">
        <v>277</v>
      </c>
    </row>
    <row r="14" spans="2:25" ht="17.25" x14ac:dyDescent="0.25">
      <c r="B14" s="384">
        <f t="shared" si="13"/>
        <v>2032</v>
      </c>
      <c r="C14" s="481">
        <f t="shared" si="0"/>
        <v>8.9854438021118312</v>
      </c>
      <c r="D14" s="482">
        <f t="shared" si="1"/>
        <v>22.848699953941509</v>
      </c>
      <c r="E14" s="481">
        <f t="shared" si="2"/>
        <v>3.7600791644651488</v>
      </c>
      <c r="F14" s="482">
        <f t="shared" si="3"/>
        <v>9.5613441610685221</v>
      </c>
      <c r="G14" s="483">
        <f t="shared" si="4"/>
        <v>11061.584505252586</v>
      </c>
      <c r="H14" s="385">
        <f t="shared" si="11"/>
        <v>17531.342246610438</v>
      </c>
      <c r="I14" s="385">
        <f t="shared" si="5"/>
        <v>33130.057518102425</v>
      </c>
      <c r="J14" s="385">
        <f t="shared" si="6"/>
        <v>8487.3365227902323</v>
      </c>
      <c r="K14" s="387">
        <f t="shared" si="7"/>
        <v>251.39082799361381</v>
      </c>
      <c r="L14" s="386">
        <f t="shared" si="8"/>
        <v>70461.711620749295</v>
      </c>
      <c r="M14" s="387">
        <f t="shared" si="9"/>
        <v>31285.842628184579</v>
      </c>
      <c r="O14" s="670" t="s">
        <v>298</v>
      </c>
      <c r="P14" s="670"/>
      <c r="Q14" s="670"/>
      <c r="R14" s="511">
        <f>Y9</f>
        <v>1.3375954619830736E-2</v>
      </c>
      <c r="S14" s="135"/>
      <c r="V14" s="86"/>
      <c r="W14" s="86"/>
    </row>
    <row r="15" spans="2:25" ht="17.25" x14ac:dyDescent="0.25">
      <c r="B15" s="384">
        <f t="shared" si="13"/>
        <v>2033</v>
      </c>
      <c r="C15" s="481">
        <f t="shared" si="0"/>
        <v>9.1056326906479192</v>
      </c>
      <c r="D15" s="482">
        <f t="shared" si="1"/>
        <v>23.154323127647562</v>
      </c>
      <c r="E15" s="481">
        <f t="shared" si="2"/>
        <v>3.8103738127360054</v>
      </c>
      <c r="F15" s="482">
        <f t="shared" si="3"/>
        <v>9.6892362666715588</v>
      </c>
      <c r="G15" s="483">
        <f t="shared" si="4"/>
        <v>11209.543757618267</v>
      </c>
      <c r="H15" s="385">
        <f t="shared" si="11"/>
        <v>17765.840684925824</v>
      </c>
      <c r="I15" s="385">
        <f t="shared" si="5"/>
        <v>33573.203664016946</v>
      </c>
      <c r="J15" s="385">
        <f t="shared" si="6"/>
        <v>8600.8627509623075</v>
      </c>
      <c r="K15" s="387">
        <f t="shared" si="7"/>
        <v>254.75342030069805</v>
      </c>
      <c r="L15" s="386">
        <f t="shared" si="8"/>
        <v>71404.204277824043</v>
      </c>
      <c r="M15" s="387">
        <f t="shared" si="9"/>
        <v>29630.206205067607</v>
      </c>
      <c r="O15" s="670" t="s">
        <v>212</v>
      </c>
      <c r="P15" s="670"/>
      <c r="Q15" s="670"/>
      <c r="R15" s="714">
        <f>2160/SUM(Q9:Q11)</f>
        <v>0.27183488547696955</v>
      </c>
      <c r="S15" s="135"/>
      <c r="U15" s="392"/>
      <c r="V15" s="392"/>
      <c r="W15" s="392"/>
    </row>
    <row r="16" spans="2:25" ht="17.25" x14ac:dyDescent="0.25">
      <c r="B16" s="384">
        <f t="shared" si="13"/>
        <v>2034</v>
      </c>
      <c r="C16" s="481">
        <f t="shared" si="0"/>
        <v>9.2274292203028718</v>
      </c>
      <c r="D16" s="482">
        <f t="shared" si="1"/>
        <v>23.464034303055868</v>
      </c>
      <c r="E16" s="481">
        <f t="shared" si="2"/>
        <v>3.8613411999397536</v>
      </c>
      <c r="F16" s="482">
        <f t="shared" si="3"/>
        <v>9.8188390512753756</v>
      </c>
      <c r="G16" s="483">
        <f t="shared" si="4"/>
        <v>11359.482106229174</v>
      </c>
      <c r="H16" s="385">
        <f>(E16*$R$41)+(F16*$R$42)*$R$40</f>
        <v>18003.475763710532</v>
      </c>
      <c r="I16" s="385">
        <f t="shared" si="5"/>
        <v>34022.277312669175</v>
      </c>
      <c r="J16" s="385">
        <f t="shared" si="6"/>
        <v>8715.9075008105719</v>
      </c>
      <c r="K16" s="387">
        <f t="shared" si="7"/>
        <v>258.16099048988684</v>
      </c>
      <c r="L16" s="386">
        <f t="shared" si="8"/>
        <v>72359.303673909337</v>
      </c>
      <c r="M16" s="387">
        <f t="shared" si="9"/>
        <v>28062.1855127503</v>
      </c>
      <c r="O16" s="670" t="s">
        <v>213</v>
      </c>
      <c r="P16" s="670"/>
      <c r="Q16" s="670"/>
      <c r="R16" s="393">
        <v>7.0000000000000001E-3</v>
      </c>
      <c r="S16" s="135"/>
      <c r="U16" s="392"/>
      <c r="V16" s="392"/>
      <c r="W16" s="392"/>
    </row>
    <row r="17" spans="2:29" ht="17.25" x14ac:dyDescent="0.25">
      <c r="B17" s="384">
        <f t="shared" si="13"/>
        <v>2035</v>
      </c>
      <c r="C17" s="481">
        <f t="shared" si="0"/>
        <v>9.3508548948113415</v>
      </c>
      <c r="D17" s="482">
        <f t="shared" si="1"/>
        <v>23.777888161091688</v>
      </c>
      <c r="E17" s="481">
        <f t="shared" si="2"/>
        <v>3.9129903246018292</v>
      </c>
      <c r="F17" s="482">
        <f t="shared" si="3"/>
        <v>9.9501753968446529</v>
      </c>
      <c r="G17" s="483">
        <f t="shared" si="4"/>
        <v>11511.426023386872</v>
      </c>
      <c r="H17" s="385">
        <f t="shared" si="11"/>
        <v>18244.289438525142</v>
      </c>
      <c r="I17" s="385">
        <f t="shared" si="5"/>
        <v>34477.357750066723</v>
      </c>
      <c r="J17" s="385">
        <f t="shared" si="6"/>
        <v>8832.4910840120519</v>
      </c>
      <c r="K17" s="387">
        <f t="shared" si="7"/>
        <v>261.61414018329003</v>
      </c>
      <c r="L17" s="386">
        <f t="shared" si="8"/>
        <v>73327.178436174072</v>
      </c>
      <c r="M17" s="387">
        <f t="shared" si="9"/>
        <v>26577.14395579636</v>
      </c>
      <c r="O17" s="670" t="s">
        <v>214</v>
      </c>
      <c r="P17" s="670"/>
      <c r="Q17" s="670"/>
      <c r="R17" s="394">
        <v>0.5</v>
      </c>
      <c r="S17" s="395"/>
      <c r="X17" s="396" t="s">
        <v>215</v>
      </c>
    </row>
    <row r="18" spans="2:29" ht="17.25" customHeight="1" x14ac:dyDescent="0.25">
      <c r="B18" s="384">
        <f t="shared" si="13"/>
        <v>2036</v>
      </c>
      <c r="C18" s="481">
        <f t="shared" si="0"/>
        <v>9.4759315055409594</v>
      </c>
      <c r="D18" s="482">
        <f t="shared" si="1"/>
        <v>24.09594011408986</v>
      </c>
      <c r="E18" s="481">
        <f t="shared" si="2"/>
        <v>3.9653303056115399</v>
      </c>
      <c r="F18" s="482">
        <f t="shared" si="3"/>
        <v>10.083268491412204</v>
      </c>
      <c r="G18" s="483">
        <f t="shared" si="4"/>
        <v>11665.402335485234</v>
      </c>
      <c r="H18" s="385">
        <f t="shared" si="11"/>
        <v>18488.324226125911</v>
      </c>
      <c r="I18" s="385">
        <f t="shared" si="5"/>
        <v>34938.525322743291</v>
      </c>
      <c r="J18" s="385">
        <f t="shared" si="6"/>
        <v>8950.6340839318582</v>
      </c>
      <c r="K18" s="387">
        <f t="shared" si="7"/>
        <v>265.11347905028776</v>
      </c>
      <c r="L18" s="386">
        <f t="shared" si="8"/>
        <v>74307.99944733658</v>
      </c>
      <c r="M18" s="387">
        <f t="shared" si="9"/>
        <v>25170.690305863372</v>
      </c>
      <c r="O18" s="670" t="s">
        <v>278</v>
      </c>
      <c r="P18" s="670"/>
      <c r="Q18" s="670"/>
      <c r="R18" s="485">
        <f>P5</f>
        <v>2.0214015151515152</v>
      </c>
      <c r="S18" s="397"/>
      <c r="X18" s="671" t="s">
        <v>279</v>
      </c>
      <c r="Y18" s="671"/>
      <c r="Z18" s="671"/>
      <c r="AA18" s="671"/>
      <c r="AB18" s="671"/>
      <c r="AC18" s="671"/>
    </row>
    <row r="19" spans="2:29" x14ac:dyDescent="0.25">
      <c r="B19" s="384">
        <f t="shared" si="13"/>
        <v>2037</v>
      </c>
      <c r="C19" s="481">
        <f t="shared" si="0"/>
        <v>9.602681135339699</v>
      </c>
      <c r="D19" s="482">
        <f t="shared" si="1"/>
        <v>24.418246315578084</v>
      </c>
      <c r="E19" s="481">
        <f t="shared" si="2"/>
        <v>4.018370383832039</v>
      </c>
      <c r="F19" s="482">
        <f t="shared" si="3"/>
        <v>10.218141833172902</v>
      </c>
      <c r="G19" s="483">
        <f t="shared" si="4"/>
        <v>11821.43822774675</v>
      </c>
      <c r="H19" s="385">
        <f t="shared" si="11"/>
        <v>18735.623211971288</v>
      </c>
      <c r="I19" s="385">
        <f t="shared" si="5"/>
        <v>35405.861451944103</v>
      </c>
      <c r="J19" s="385">
        <f t="shared" si="6"/>
        <v>9070.3573592572411</v>
      </c>
      <c r="K19" s="387">
        <f t="shared" si="7"/>
        <v>268.65962491516979</v>
      </c>
      <c r="L19" s="386">
        <f t="shared" si="8"/>
        <v>75301.939875834534</v>
      </c>
      <c r="M19" s="387">
        <f t="shared" si="9"/>
        <v>23838.665716957392</v>
      </c>
      <c r="O19" s="440"/>
      <c r="P19" s="440"/>
      <c r="Q19" s="440"/>
      <c r="R19" s="398"/>
      <c r="X19" s="671"/>
      <c r="Y19" s="671"/>
      <c r="Z19" s="671"/>
      <c r="AA19" s="671"/>
      <c r="AB19" s="671"/>
      <c r="AC19" s="671"/>
    </row>
    <row r="20" spans="2:29" ht="17.25" x14ac:dyDescent="0.25">
      <c r="B20" s="384">
        <f t="shared" si="13"/>
        <v>2038</v>
      </c>
      <c r="C20" s="481">
        <f t="shared" si="0"/>
        <v>9.7311261624347072</v>
      </c>
      <c r="D20" s="482">
        <f t="shared" si="1"/>
        <v>24.744863670191108</v>
      </c>
      <c r="E20" s="481">
        <f t="shared" si="2"/>
        <v>4.0721199237318491</v>
      </c>
      <c r="F20" s="482">
        <f t="shared" si="3"/>
        <v>10.354819234632417</v>
      </c>
      <c r="G20" s="483">
        <f t="shared" si="4"/>
        <v>11979.561249022223</v>
      </c>
      <c r="H20" s="385">
        <f t="shared" si="11"/>
        <v>18986.230057828863</v>
      </c>
      <c r="I20" s="385">
        <f t="shared" si="5"/>
        <v>35879.448648001329</v>
      </c>
      <c r="J20" s="385">
        <f t="shared" si="6"/>
        <v>9191.6820476803132</v>
      </c>
      <c r="K20" s="387">
        <f t="shared" si="7"/>
        <v>272.25320386621587</v>
      </c>
      <c r="L20" s="386">
        <f t="shared" si="8"/>
        <v>76309.175206398941</v>
      </c>
      <c r="M20" s="387">
        <f t="shared" si="9"/>
        <v>22577.131427836197</v>
      </c>
      <c r="O20" s="5" t="s">
        <v>216</v>
      </c>
      <c r="S20" s="135"/>
      <c r="U20" s="672" t="s">
        <v>217</v>
      </c>
      <c r="V20" s="672"/>
      <c r="W20" s="672"/>
      <c r="X20" s="671"/>
      <c r="Y20" s="671"/>
      <c r="Z20" s="671"/>
      <c r="AA20" s="671"/>
      <c r="AB20" s="671"/>
      <c r="AC20" s="671"/>
    </row>
    <row r="21" spans="2:29" x14ac:dyDescent="0.25">
      <c r="B21" s="384">
        <f t="shared" si="13"/>
        <v>2039</v>
      </c>
      <c r="C21" s="481">
        <f t="shared" si="0"/>
        <v>9.8612892643832808</v>
      </c>
      <c r="D21" s="482">
        <f t="shared" si="1"/>
        <v>25.075849843717478</v>
      </c>
      <c r="E21" s="481">
        <f t="shared" si="2"/>
        <v>4.126588415038194</v>
      </c>
      <c r="F21" s="482">
        <f t="shared" si="3"/>
        <v>10.493324826811408</v>
      </c>
      <c r="G21" s="483">
        <f t="shared" si="4"/>
        <v>12139.799316654628</v>
      </c>
      <c r="H21" s="385">
        <f t="shared" si="11"/>
        <v>19240.189009484042</v>
      </c>
      <c r="I21" s="385">
        <f t="shared" si="5"/>
        <v>36359.370524901533</v>
      </c>
      <c r="J21" s="385">
        <f t="shared" si="6"/>
        <v>9314.6295696299985</v>
      </c>
      <c r="K21" s="387">
        <f t="shared" si="7"/>
        <v>275.89485036623392</v>
      </c>
      <c r="L21" s="386">
        <f t="shared" si="8"/>
        <v>77329.883271036437</v>
      </c>
      <c r="M21" s="387">
        <f t="shared" si="9"/>
        <v>21382.35711519709</v>
      </c>
      <c r="Q21" s="399" t="s">
        <v>218</v>
      </c>
      <c r="R21" s="399" t="s">
        <v>219</v>
      </c>
      <c r="S21" s="399" t="s">
        <v>220</v>
      </c>
      <c r="T21" s="86"/>
      <c r="U21" s="486" t="s">
        <v>221</v>
      </c>
      <c r="V21" s="486" t="s">
        <v>222</v>
      </c>
      <c r="W21" s="486" t="s">
        <v>223</v>
      </c>
    </row>
    <row r="22" spans="2:29" x14ac:dyDescent="0.25">
      <c r="B22" s="384">
        <f t="shared" si="13"/>
        <v>2040</v>
      </c>
      <c r="C22" s="481">
        <f t="shared" si="0"/>
        <v>9.9931934220766934</v>
      </c>
      <c r="D22" s="482">
        <f t="shared" si="1"/>
        <v>25.411263273280728</v>
      </c>
      <c r="E22" s="481">
        <f t="shared" si="2"/>
        <v>4.1817854744124636</v>
      </c>
      <c r="F22" s="482">
        <f t="shared" si="3"/>
        <v>10.63368306350598</v>
      </c>
      <c r="G22" s="483">
        <f t="shared" si="4"/>
        <v>12302.180721408047</v>
      </c>
      <c r="H22" s="385">
        <f t="shared" si="11"/>
        <v>19497.544904551869</v>
      </c>
      <c r="I22" s="385">
        <f t="shared" si="5"/>
        <v>36845.71181504822</v>
      </c>
      <c r="J22" s="385">
        <f t="shared" si="6"/>
        <v>9439.221632053901</v>
      </c>
      <c r="K22" s="387">
        <f t="shared" si="7"/>
        <v>279.58520736457763</v>
      </c>
      <c r="L22" s="386">
        <f t="shared" si="8"/>
        <v>78364.244280426617</v>
      </c>
      <c r="M22" s="387">
        <f t="shared" si="9"/>
        <v>20250.809863210259</v>
      </c>
      <c r="O22" s="666" t="s">
        <v>224</v>
      </c>
      <c r="P22" s="667"/>
      <c r="Q22" s="417">
        <f>SUM(Q9:Q11)*R15*R16*R17</f>
        <v>7.5600000000000005</v>
      </c>
      <c r="R22" s="417">
        <f>S22-Q22</f>
        <v>19.223999999999997</v>
      </c>
      <c r="S22" s="417">
        <f>V22</f>
        <v>26.783999999999999</v>
      </c>
      <c r="T22" s="400"/>
      <c r="U22" s="715">
        <f>R16*SUM(Q9:Q11)*R15</f>
        <v>15.12</v>
      </c>
      <c r="V22" s="715">
        <f>(0.004+1.2*R16)*SUM(Q9:Q11)*R15</f>
        <v>26.783999999999999</v>
      </c>
      <c r="W22" s="715">
        <f>(0.006+3*R16)*SUM(Q9:Q11)*R15</f>
        <v>58.320000000000007</v>
      </c>
      <c r="X22" s="135"/>
    </row>
    <row r="23" spans="2:29" ht="15.75" thickBot="1" x14ac:dyDescent="0.3">
      <c r="B23" s="384">
        <f t="shared" si="13"/>
        <v>2041</v>
      </c>
      <c r="C23" s="481">
        <f t="shared" si="0"/>
        <v>10.126861923797582</v>
      </c>
      <c r="D23" s="482">
        <f t="shared" si="1"/>
        <v>25.751163177656704</v>
      </c>
      <c r="E23" s="481">
        <f t="shared" si="2"/>
        <v>4.2377208471480721</v>
      </c>
      <c r="F23" s="482">
        <f t="shared" si="3"/>
        <v>10.775918725605099</v>
      </c>
      <c r="G23" s="483">
        <f t="shared" si="4"/>
        <v>12466.73413246256</v>
      </c>
      <c r="H23" s="385">
        <f t="shared" si="11"/>
        <v>19758.343180393265</v>
      </c>
      <c r="I23" s="385">
        <f t="shared" si="5"/>
        <v>37338.558384221666</v>
      </c>
      <c r="J23" s="385">
        <f t="shared" si="6"/>
        <v>9565.4802322507767</v>
      </c>
      <c r="K23" s="387">
        <f t="shared" si="7"/>
        <v>283.32492641066216</v>
      </c>
      <c r="L23" s="386">
        <f t="shared" si="8"/>
        <v>79412.440855738925</v>
      </c>
      <c r="M23" s="387">
        <f t="shared" si="9"/>
        <v>19179.143716780727</v>
      </c>
      <c r="O23" s="675" t="s">
        <v>225</v>
      </c>
      <c r="P23" s="676"/>
      <c r="Q23" s="487">
        <f>(Q9*R15*R16*R17*(2.93-1)+(Q10*R15*R16*R17*(2.11-1)+(Q11*R15*R16*R17*(1.39-1))))</f>
        <v>6.3271662723382835</v>
      </c>
      <c r="R23" s="487">
        <f>S23-Q23</f>
        <v>16.08907994966021</v>
      </c>
      <c r="S23" s="417">
        <f>V23</f>
        <v>22.416246221998495</v>
      </c>
      <c r="T23" s="135"/>
      <c r="U23" s="715">
        <f>R16*R15*(Q9*(2.93-1)+Q10*(2.11-1)+Q11*(1.39-1))</f>
        <v>12.654332544676567</v>
      </c>
      <c r="V23" s="715">
        <f>(0.004+1.2*R16)*R15*(Q9*1.93+Q10*1.11+Q11*0.39)</f>
        <v>22.416246221998495</v>
      </c>
      <c r="W23" s="715">
        <f>(0.006+3*R16)*R15*(Q9*1.93+Q10*1.11+Q11*0.39)</f>
        <v>48.809568386609627</v>
      </c>
    </row>
    <row r="24" spans="2:29" ht="15.75" thickTop="1" x14ac:dyDescent="0.25">
      <c r="B24" s="384">
        <f t="shared" si="13"/>
        <v>2042</v>
      </c>
      <c r="C24" s="481">
        <f t="shared" si="0"/>
        <v>10.262318369331592</v>
      </c>
      <c r="D24" s="482">
        <f t="shared" si="1"/>
        <v>26.0956095677289</v>
      </c>
      <c r="E24" s="481">
        <f t="shared" si="2"/>
        <v>4.2944044088910358</v>
      </c>
      <c r="F24" s="482">
        <f t="shared" si="3"/>
        <v>10.920056925465778</v>
      </c>
      <c r="G24" s="483">
        <f t="shared" si="4"/>
        <v>12633.488602475873</v>
      </c>
      <c r="H24" s="385">
        <f t="shared" si="11"/>
        <v>20022.629882137247</v>
      </c>
      <c r="I24" s="385">
        <f t="shared" si="5"/>
        <v>37837.997246738916</v>
      </c>
      <c r="J24" s="385">
        <f t="shared" si="6"/>
        <v>9693.4276617542509</v>
      </c>
      <c r="K24" s="387">
        <f t="shared" si="7"/>
        <v>287.11466776899812</v>
      </c>
      <c r="L24" s="386">
        <f t="shared" si="8"/>
        <v>80474.658060875285</v>
      </c>
      <c r="M24" s="387">
        <f t="shared" si="9"/>
        <v>18164.189787648225</v>
      </c>
      <c r="O24" s="677" t="s">
        <v>226</v>
      </c>
      <c r="P24" s="678"/>
      <c r="Q24" s="488">
        <f>SUM(Q22:Q23)</f>
        <v>13.887166272338284</v>
      </c>
      <c r="R24" s="488">
        <f>SUM(R22:R23)</f>
        <v>35.313079949660207</v>
      </c>
      <c r="S24" s="488">
        <f>SUM(S22:S23)</f>
        <v>49.200246221998498</v>
      </c>
      <c r="T24" s="401"/>
      <c r="V24" s="402" t="s">
        <v>227</v>
      </c>
    </row>
    <row r="25" spans="2:29" x14ac:dyDescent="0.25">
      <c r="B25" s="384">
        <f>B24+1</f>
        <v>2043</v>
      </c>
      <c r="C25" s="481">
        <f t="shared" si="0"/>
        <v>10.399586674134023</v>
      </c>
      <c r="D25" s="482">
        <f t="shared" si="1"/>
        <v>26.444663257083654</v>
      </c>
      <c r="E25" s="481">
        <f t="shared" si="2"/>
        <v>4.3518461673835613</v>
      </c>
      <c r="F25" s="482">
        <f t="shared" si="3"/>
        <v>11.066123111346773</v>
      </c>
      <c r="G25" s="483">
        <f t="shared" si="4"/>
        <v>12802.473572712735</v>
      </c>
      <c r="H25" s="385">
        <f t="shared" si="11"/>
        <v>20290.451670810377</v>
      </c>
      <c r="I25" s="385">
        <f t="shared" si="5"/>
        <v>38344.116580816568</v>
      </c>
      <c r="J25" s="385">
        <f t="shared" si="6"/>
        <v>9823.0865102684857</v>
      </c>
      <c r="K25" s="387">
        <f t="shared" si="7"/>
        <v>290.95510053576385</v>
      </c>
      <c r="L25" s="386">
        <f t="shared" si="8"/>
        <v>81551.083435143941</v>
      </c>
      <c r="M25" s="387">
        <f t="shared" si="9"/>
        <v>17202.94688406897</v>
      </c>
    </row>
    <row r="26" spans="2:29" ht="17.25" x14ac:dyDescent="0.25">
      <c r="B26" s="403">
        <f>B25+1</f>
        <v>2044</v>
      </c>
      <c r="C26" s="489">
        <f t="shared" si="0"/>
        <v>10.538691073552236</v>
      </c>
      <c r="D26" s="490">
        <f t="shared" si="1"/>
        <v>26.798385872747108</v>
      </c>
      <c r="E26" s="489">
        <f t="shared" si="2"/>
        <v>4.4100562642309686</v>
      </c>
      <c r="F26" s="490">
        <f t="shared" si="3"/>
        <v>11.214143071901608</v>
      </c>
      <c r="G26" s="491">
        <f t="shared" si="4"/>
        <v>12973.718878242928</v>
      </c>
      <c r="H26" s="404">
        <f t="shared" si="11"/>
        <v>20561.855831575009</v>
      </c>
      <c r="I26" s="404">
        <f t="shared" si="5"/>
        <v>38857.005744139075</v>
      </c>
      <c r="J26" s="404">
        <f t="shared" si="6"/>
        <v>9954.4796696565099</v>
      </c>
      <c r="K26" s="406">
        <f t="shared" si="7"/>
        <v>294.8469027569385</v>
      </c>
      <c r="L26" s="405">
        <f t="shared" si="8"/>
        <v>82641.907026370449</v>
      </c>
      <c r="M26" s="406">
        <f t="shared" si="9"/>
        <v>16292.572636371619</v>
      </c>
      <c r="O26" s="5" t="s">
        <v>280</v>
      </c>
    </row>
    <row r="27" spans="2:29" ht="17.25" x14ac:dyDescent="0.25">
      <c r="B27" s="97"/>
      <c r="C27" s="492"/>
      <c r="D27" s="493"/>
      <c r="E27" s="492"/>
      <c r="F27" s="494"/>
      <c r="G27" s="495"/>
      <c r="H27" s="407"/>
      <c r="I27" s="407"/>
      <c r="J27" s="407"/>
      <c r="K27" s="191"/>
      <c r="L27" s="496"/>
      <c r="M27" s="191"/>
      <c r="O27" s="439" t="s">
        <v>281</v>
      </c>
      <c r="P27" s="497">
        <v>0.5</v>
      </c>
      <c r="Q27" s="399" t="s">
        <v>218</v>
      </c>
      <c r="R27" s="399" t="s">
        <v>219</v>
      </c>
      <c r="S27" s="399" t="s">
        <v>220</v>
      </c>
      <c r="T27" s="86"/>
      <c r="U27" s="86"/>
      <c r="V27" s="86"/>
      <c r="W27" s="86"/>
    </row>
    <row r="28" spans="2:29" ht="15.75" thickBot="1" x14ac:dyDescent="0.3">
      <c r="B28" s="242"/>
      <c r="C28" s="498"/>
      <c r="D28" s="499"/>
      <c r="E28" s="498"/>
      <c r="F28" s="500"/>
      <c r="G28" s="501"/>
      <c r="H28" s="408"/>
      <c r="I28" s="408"/>
      <c r="J28" s="408"/>
      <c r="K28" s="197"/>
      <c r="L28" s="502"/>
      <c r="M28" s="197"/>
      <c r="O28" s="666" t="s">
        <v>228</v>
      </c>
      <c r="P28" s="667"/>
      <c r="Q28" s="417">
        <f>Q22+(Q23*P27)</f>
        <v>10.723583136169143</v>
      </c>
      <c r="R28" s="417">
        <f>S28-Q28</f>
        <v>27.268539974830102</v>
      </c>
      <c r="S28" s="417">
        <f>S22+(S23*P27)</f>
        <v>37.992123110999245</v>
      </c>
      <c r="T28" s="409"/>
    </row>
    <row r="29" spans="2:29" ht="15.75" thickBot="1" x14ac:dyDescent="0.3">
      <c r="B29" s="4"/>
      <c r="C29" s="4"/>
      <c r="D29" s="4"/>
      <c r="E29" s="4"/>
      <c r="F29" s="410" t="s">
        <v>2</v>
      </c>
      <c r="G29" s="503">
        <f t="shared" ref="G29:M29" si="14">SUM(G7:G28)</f>
        <v>229375.91012100427</v>
      </c>
      <c r="H29" s="504">
        <f t="shared" si="14"/>
        <v>363534.49919851765</v>
      </c>
      <c r="I29" s="504">
        <f t="shared" si="14"/>
        <v>686993.53984661715</v>
      </c>
      <c r="J29" s="504">
        <f t="shared" si="14"/>
        <v>175995.63050789133</v>
      </c>
      <c r="K29" s="505">
        <f t="shared" si="14"/>
        <v>5212.905975606549</v>
      </c>
      <c r="L29" s="411">
        <f t="shared" si="14"/>
        <v>1461112.4856496372</v>
      </c>
      <c r="M29" s="412">
        <f t="shared" si="14"/>
        <v>573432.66679717985</v>
      </c>
      <c r="O29" s="675" t="s">
        <v>229</v>
      </c>
      <c r="P29" s="676"/>
      <c r="Q29" s="487">
        <f>(1-$P$27)*Q23</f>
        <v>3.1635831361691418</v>
      </c>
      <c r="R29" s="487">
        <f>S29-Q29</f>
        <v>8.044539974830105</v>
      </c>
      <c r="S29" s="487">
        <f>(1-$P$27)*S23</f>
        <v>11.208123110999248</v>
      </c>
      <c r="T29" s="409"/>
    </row>
    <row r="30" spans="2:29" ht="15.75" thickTop="1" x14ac:dyDescent="0.25">
      <c r="B30" s="4"/>
      <c r="C30" s="4"/>
      <c r="D30" s="4"/>
      <c r="E30" s="4"/>
      <c r="F30" s="410"/>
      <c r="G30" s="413"/>
      <c r="H30" s="413"/>
      <c r="I30" s="413"/>
      <c r="J30" s="413"/>
      <c r="K30" s="413"/>
      <c r="L30" s="413"/>
      <c r="M30" s="413"/>
      <c r="O30" s="677" t="s">
        <v>230</v>
      </c>
      <c r="P30" s="678"/>
      <c r="Q30" s="488">
        <f>SUM(Q28:Q29)</f>
        <v>13.887166272338284</v>
      </c>
      <c r="R30" s="488">
        <f>SUM(R28:R29)</f>
        <v>35.313079949660207</v>
      </c>
      <c r="S30" s="488">
        <f>SUM(S28:S29)</f>
        <v>49.200246221998491</v>
      </c>
      <c r="T30" s="414"/>
    </row>
    <row r="31" spans="2:29" ht="15" customHeight="1" x14ac:dyDescent="0.25">
      <c r="C31" s="415"/>
      <c r="D31" s="415"/>
      <c r="N31" s="33"/>
      <c r="O31" s="416"/>
      <c r="P31" s="416"/>
      <c r="Q31" s="409"/>
      <c r="R31" s="409"/>
      <c r="S31" s="409"/>
      <c r="T31" s="409"/>
    </row>
    <row r="32" spans="2:29" ht="15" customHeight="1" x14ac:dyDescent="0.25">
      <c r="B32" s="5" t="s">
        <v>3</v>
      </c>
      <c r="C32" s="415"/>
      <c r="D32" s="415"/>
      <c r="N32" s="33"/>
      <c r="O32" s="5" t="s">
        <v>231</v>
      </c>
      <c r="Q32" s="409"/>
      <c r="R32" s="409"/>
      <c r="S32" s="409"/>
      <c r="T32" s="409"/>
    </row>
    <row r="33" spans="1:24" ht="15" customHeight="1" x14ac:dyDescent="0.25">
      <c r="A33" s="6" t="s">
        <v>32</v>
      </c>
      <c r="B33" s="612" t="s">
        <v>283</v>
      </c>
      <c r="C33" s="612"/>
      <c r="D33" s="612"/>
      <c r="E33" s="612"/>
      <c r="F33" s="612"/>
      <c r="G33" s="612"/>
      <c r="H33" s="612"/>
      <c r="I33" s="612"/>
      <c r="J33" s="612"/>
      <c r="K33" s="612"/>
      <c r="L33" s="612"/>
      <c r="M33" s="612"/>
      <c r="N33" s="33"/>
      <c r="O33" s="666" t="s">
        <v>232</v>
      </c>
      <c r="P33" s="679"/>
      <c r="Q33" s="667"/>
      <c r="R33" s="417">
        <f>50*5</f>
        <v>250</v>
      </c>
      <c r="S33" s="135"/>
      <c r="X33" s="418" t="s">
        <v>282</v>
      </c>
    </row>
    <row r="34" spans="1:24" ht="17.25" customHeight="1" x14ac:dyDescent="0.25">
      <c r="B34" s="612"/>
      <c r="C34" s="612"/>
      <c r="D34" s="612"/>
      <c r="E34" s="612"/>
      <c r="F34" s="612"/>
      <c r="G34" s="612"/>
      <c r="H34" s="612"/>
      <c r="I34" s="612"/>
      <c r="J34" s="612"/>
      <c r="K34" s="612"/>
      <c r="L34" s="612"/>
      <c r="M34" s="612"/>
      <c r="N34" s="33"/>
      <c r="O34" s="669" t="s">
        <v>234</v>
      </c>
      <c r="P34" s="669"/>
      <c r="Q34" s="669"/>
      <c r="R34" s="443">
        <v>2</v>
      </c>
      <c r="S34" s="135"/>
      <c r="X34" s="418" t="s">
        <v>233</v>
      </c>
    </row>
    <row r="35" spans="1:24" ht="17.25" customHeight="1" x14ac:dyDescent="0.25">
      <c r="B35" s="612"/>
      <c r="C35" s="612"/>
      <c r="D35" s="612"/>
      <c r="E35" s="612"/>
      <c r="F35" s="612"/>
      <c r="G35" s="612"/>
      <c r="H35" s="612"/>
      <c r="I35" s="612"/>
      <c r="J35" s="612"/>
      <c r="K35" s="612"/>
      <c r="L35" s="612"/>
      <c r="M35" s="612"/>
      <c r="N35" s="33"/>
      <c r="O35" s="680" t="s">
        <v>235</v>
      </c>
      <c r="P35" s="680"/>
      <c r="Q35" s="680"/>
      <c r="R35" s="506">
        <v>21.6</v>
      </c>
      <c r="S35" s="135"/>
      <c r="T35" s="673"/>
      <c r="U35" s="673"/>
      <c r="V35" s="673"/>
      <c r="W35" s="673"/>
      <c r="X35" s="418" t="s">
        <v>236</v>
      </c>
    </row>
    <row r="36" spans="1:24" ht="17.25" customHeight="1" x14ac:dyDescent="0.25">
      <c r="C36" s="33"/>
      <c r="D36" s="33"/>
      <c r="E36" s="33"/>
      <c r="F36" s="33"/>
      <c r="G36" s="33"/>
      <c r="H36" s="33"/>
      <c r="I36" s="33"/>
      <c r="J36" s="33"/>
      <c r="K36" s="33"/>
      <c r="L36" s="33"/>
      <c r="M36" s="33"/>
      <c r="O36" s="674" t="s">
        <v>237</v>
      </c>
      <c r="P36" s="674"/>
      <c r="Q36" s="674"/>
      <c r="R36" s="419">
        <f>16.6/60</f>
        <v>0.27666666666666667</v>
      </c>
      <c r="S36" s="135"/>
      <c r="T36" s="673"/>
      <c r="U36" s="673"/>
      <c r="V36" s="673"/>
      <c r="W36" s="673"/>
      <c r="X36" s="418" t="s">
        <v>238</v>
      </c>
    </row>
    <row r="37" spans="1:24" ht="15" customHeight="1" x14ac:dyDescent="0.25">
      <c r="A37" s="6" t="s">
        <v>31</v>
      </c>
      <c r="B37" s="683" t="s">
        <v>305</v>
      </c>
      <c r="C37" s="683"/>
      <c r="D37" s="683"/>
      <c r="E37" s="683"/>
      <c r="F37" s="683"/>
      <c r="G37" s="683"/>
      <c r="H37" s="683"/>
      <c r="I37" s="683"/>
      <c r="J37" s="683"/>
      <c r="K37" s="683"/>
      <c r="L37" s="683"/>
      <c r="M37" s="683"/>
      <c r="O37" s="670" t="s">
        <v>284</v>
      </c>
      <c r="P37" s="670"/>
      <c r="Q37" s="670"/>
      <c r="R37" s="420">
        <v>0.4</v>
      </c>
      <c r="X37" s="418" t="s">
        <v>239</v>
      </c>
    </row>
    <row r="38" spans="1:24" ht="17.25" customHeight="1" x14ac:dyDescent="0.25">
      <c r="B38" s="683"/>
      <c r="C38" s="683"/>
      <c r="D38" s="683"/>
      <c r="E38" s="683"/>
      <c r="F38" s="683"/>
      <c r="G38" s="683"/>
      <c r="H38" s="683"/>
      <c r="I38" s="683"/>
      <c r="J38" s="683"/>
      <c r="K38" s="683"/>
      <c r="L38" s="683"/>
      <c r="M38" s="683"/>
      <c r="X38" s="440"/>
    </row>
    <row r="39" spans="1:24" ht="15" customHeight="1" x14ac:dyDescent="0.25">
      <c r="B39" s="510"/>
      <c r="C39" s="510"/>
      <c r="D39" s="510"/>
      <c r="E39" s="510"/>
      <c r="F39" s="510"/>
      <c r="G39" s="510"/>
      <c r="H39" s="510"/>
      <c r="I39" s="510"/>
      <c r="J39" s="510"/>
      <c r="K39" s="510"/>
      <c r="L39" s="510"/>
      <c r="M39" s="510"/>
      <c r="O39" s="5" t="s">
        <v>285</v>
      </c>
      <c r="T39" s="135"/>
      <c r="X39" s="440"/>
    </row>
    <row r="40" spans="1:24" ht="15" customHeight="1" x14ac:dyDescent="0.25">
      <c r="A40" s="6" t="s">
        <v>116</v>
      </c>
      <c r="B40" s="684" t="s">
        <v>287</v>
      </c>
      <c r="C40" s="684"/>
      <c r="D40" s="684"/>
      <c r="E40" s="684"/>
      <c r="F40" s="684"/>
      <c r="G40" s="684"/>
      <c r="H40" s="684"/>
      <c r="I40" s="684"/>
      <c r="J40" s="684"/>
      <c r="K40" s="684"/>
      <c r="L40" s="684"/>
      <c r="M40" s="684"/>
      <c r="O40" s="442" t="s">
        <v>286</v>
      </c>
      <c r="P40" s="442"/>
      <c r="R40" s="422">
        <v>6.31</v>
      </c>
      <c r="T40" s="423"/>
      <c r="X40" s="418" t="s">
        <v>240</v>
      </c>
    </row>
    <row r="41" spans="1:24" ht="15" customHeight="1" x14ac:dyDescent="0.25">
      <c r="B41" s="509"/>
      <c r="C41" s="509"/>
      <c r="D41" s="509"/>
      <c r="E41" s="509"/>
      <c r="F41" s="509"/>
      <c r="G41" s="509"/>
      <c r="H41" s="509"/>
      <c r="I41" s="509"/>
      <c r="J41" s="509"/>
      <c r="K41" s="509"/>
      <c r="L41" s="509"/>
      <c r="M41" s="509"/>
      <c r="O41" s="666" t="s">
        <v>232</v>
      </c>
      <c r="P41" s="679"/>
      <c r="Q41" s="667"/>
      <c r="R41" s="424">
        <f>50*5</f>
        <v>250</v>
      </c>
      <c r="T41" s="423"/>
      <c r="X41" s="418" t="s">
        <v>282</v>
      </c>
    </row>
    <row r="42" spans="1:24" ht="15" customHeight="1" x14ac:dyDescent="0.25">
      <c r="A42" s="6" t="s">
        <v>117</v>
      </c>
      <c r="B42" s="685" t="s">
        <v>288</v>
      </c>
      <c r="C42" s="685"/>
      <c r="D42" s="685"/>
      <c r="E42" s="685"/>
      <c r="F42" s="685"/>
      <c r="G42" s="685"/>
      <c r="H42" s="685"/>
      <c r="I42" s="685"/>
      <c r="J42" s="685"/>
      <c r="K42" s="685"/>
      <c r="L42" s="685"/>
      <c r="M42" s="685"/>
      <c r="O42" s="670" t="s">
        <v>241</v>
      </c>
      <c r="P42" s="670"/>
      <c r="Q42" s="670"/>
      <c r="R42" s="425">
        <f>365-90</f>
        <v>275</v>
      </c>
      <c r="T42" s="423"/>
      <c r="X42" s="396" t="s">
        <v>246</v>
      </c>
    </row>
    <row r="43" spans="1:24" ht="17.25" customHeight="1" x14ac:dyDescent="0.25">
      <c r="A43" s="438"/>
      <c r="B43" s="685"/>
      <c r="C43" s="685"/>
      <c r="D43" s="685"/>
      <c r="E43" s="685"/>
      <c r="F43" s="685"/>
      <c r="G43" s="685"/>
      <c r="H43" s="685"/>
      <c r="I43" s="685"/>
      <c r="J43" s="685"/>
      <c r="K43" s="685"/>
      <c r="L43" s="685"/>
      <c r="M43" s="685"/>
    </row>
    <row r="44" spans="1:24" ht="17.25" customHeight="1" x14ac:dyDescent="0.25">
      <c r="C44" s="421"/>
      <c r="D44" s="421"/>
      <c r="E44" s="421"/>
      <c r="F44" s="421"/>
      <c r="G44" s="421"/>
      <c r="H44" s="421"/>
      <c r="I44" s="421"/>
      <c r="J44" s="421"/>
      <c r="K44" s="421"/>
      <c r="L44" s="421"/>
      <c r="M44" s="421"/>
      <c r="O44" s="5" t="s">
        <v>242</v>
      </c>
    </row>
    <row r="45" spans="1:24" ht="17.25" customHeight="1" x14ac:dyDescent="0.25">
      <c r="A45" s="6" t="s">
        <v>129</v>
      </c>
      <c r="B45" s="612" t="s">
        <v>289</v>
      </c>
      <c r="C45" s="612"/>
      <c r="D45" s="612"/>
      <c r="E45" s="612"/>
      <c r="F45" s="612"/>
      <c r="G45" s="612"/>
      <c r="H45" s="612"/>
      <c r="I45" s="612"/>
      <c r="J45" s="612"/>
      <c r="K45" s="612"/>
      <c r="L45" s="612"/>
      <c r="M45" s="612"/>
      <c r="O45" s="670" t="s">
        <v>243</v>
      </c>
      <c r="P45" s="670"/>
      <c r="Q45" s="670"/>
      <c r="R45" s="426">
        <v>10</v>
      </c>
    </row>
    <row r="46" spans="1:24" ht="17.25" customHeight="1" x14ac:dyDescent="0.25">
      <c r="B46" s="612"/>
      <c r="C46" s="612"/>
      <c r="D46" s="612"/>
      <c r="E46" s="612"/>
      <c r="F46" s="612"/>
      <c r="G46" s="612"/>
      <c r="H46" s="612"/>
      <c r="I46" s="612"/>
      <c r="J46" s="612"/>
      <c r="K46" s="612"/>
      <c r="L46" s="612"/>
      <c r="M46" s="612"/>
      <c r="O46" s="670" t="s">
        <v>241</v>
      </c>
      <c r="P46" s="670"/>
      <c r="Q46" s="670"/>
      <c r="R46" s="427">
        <f>365-90</f>
        <v>275</v>
      </c>
      <c r="X46" s="396" t="s">
        <v>246</v>
      </c>
    </row>
    <row r="47" spans="1:24" ht="17.25" customHeight="1" x14ac:dyDescent="0.25">
      <c r="B47" s="33"/>
      <c r="C47" s="33"/>
      <c r="D47" s="33"/>
      <c r="E47" s="33"/>
      <c r="F47" s="33"/>
      <c r="G47" s="33"/>
      <c r="H47" s="33"/>
      <c r="I47" s="33"/>
      <c r="J47" s="33"/>
      <c r="K47" s="33"/>
      <c r="L47" s="33"/>
      <c r="M47" s="33"/>
      <c r="O47" s="440"/>
      <c r="P47" s="440"/>
      <c r="Q47" s="440"/>
      <c r="R47" s="100"/>
    </row>
    <row r="48" spans="1:24" ht="15" customHeight="1" x14ac:dyDescent="0.25">
      <c r="A48" s="6" t="s">
        <v>250</v>
      </c>
      <c r="B48" s="612" t="s">
        <v>297</v>
      </c>
      <c r="C48" s="612"/>
      <c r="D48" s="612"/>
      <c r="E48" s="612"/>
      <c r="F48" s="612"/>
      <c r="G48" s="612"/>
      <c r="H48" s="612"/>
      <c r="I48" s="612"/>
      <c r="J48" s="612"/>
      <c r="K48" s="612"/>
      <c r="L48" s="612"/>
      <c r="M48" s="612"/>
      <c r="O48" s="5" t="s">
        <v>290</v>
      </c>
      <c r="S48" s="135"/>
    </row>
    <row r="49" spans="1:30" ht="15" customHeight="1" x14ac:dyDescent="0.25">
      <c r="B49" s="612"/>
      <c r="C49" s="612"/>
      <c r="D49" s="612"/>
      <c r="E49" s="612"/>
      <c r="F49" s="612"/>
      <c r="G49" s="612"/>
      <c r="H49" s="612"/>
      <c r="I49" s="612"/>
      <c r="J49" s="612"/>
      <c r="K49" s="612"/>
      <c r="L49" s="612"/>
      <c r="M49" s="612"/>
      <c r="O49" s="670" t="s">
        <v>291</v>
      </c>
      <c r="P49" s="670"/>
      <c r="Q49" s="670"/>
      <c r="R49" s="428">
        <v>1.42</v>
      </c>
      <c r="S49" s="423"/>
      <c r="X49" s="418" t="s">
        <v>244</v>
      </c>
    </row>
    <row r="50" spans="1:30" ht="15" customHeight="1" x14ac:dyDescent="0.25">
      <c r="B50" s="421"/>
      <c r="C50" s="421"/>
      <c r="D50" s="421"/>
      <c r="E50" s="421"/>
      <c r="F50" s="421"/>
      <c r="G50" s="421"/>
      <c r="H50" s="421"/>
      <c r="I50" s="421"/>
      <c r="J50" s="421"/>
      <c r="K50" s="421"/>
      <c r="L50" s="421"/>
      <c r="M50" s="421"/>
      <c r="O50" s="670" t="s">
        <v>232</v>
      </c>
      <c r="P50" s="670"/>
      <c r="Q50" s="670"/>
      <c r="R50" s="427">
        <f>50*5</f>
        <v>250</v>
      </c>
      <c r="S50" s="135"/>
      <c r="X50" s="418" t="s">
        <v>282</v>
      </c>
    </row>
    <row r="51" spans="1:30" ht="17.25" customHeight="1" x14ac:dyDescent="0.25">
      <c r="A51" s="6" t="s">
        <v>254</v>
      </c>
      <c r="B51" s="612" t="s">
        <v>251</v>
      </c>
      <c r="C51" s="612"/>
      <c r="D51" s="612"/>
      <c r="E51" s="612"/>
      <c r="F51" s="612"/>
      <c r="G51" s="612"/>
      <c r="H51" s="612"/>
      <c r="I51" s="612"/>
      <c r="J51" s="612"/>
      <c r="K51" s="612"/>
      <c r="L51" s="612"/>
      <c r="M51" s="612"/>
      <c r="O51" s="670" t="s">
        <v>292</v>
      </c>
      <c r="P51" s="670"/>
      <c r="Q51" s="670"/>
      <c r="R51" s="427">
        <f>365-90</f>
        <v>275</v>
      </c>
      <c r="S51" s="135"/>
      <c r="X51" s="396" t="s">
        <v>246</v>
      </c>
    </row>
    <row r="52" spans="1:30" ht="17.25" customHeight="1" x14ac:dyDescent="0.25">
      <c r="B52" s="612"/>
      <c r="C52" s="612"/>
      <c r="D52" s="612"/>
      <c r="E52" s="612"/>
      <c r="F52" s="612"/>
      <c r="G52" s="612"/>
      <c r="H52" s="612"/>
      <c r="I52" s="612"/>
      <c r="J52" s="612"/>
      <c r="K52" s="612"/>
      <c r="L52" s="612"/>
      <c r="M52" s="612"/>
      <c r="O52" s="440"/>
      <c r="P52" s="440"/>
      <c r="Q52" s="440"/>
      <c r="R52" s="100"/>
      <c r="S52" s="135"/>
    </row>
    <row r="53" spans="1:30" ht="15" customHeight="1" x14ac:dyDescent="0.25">
      <c r="O53" s="5" t="s">
        <v>247</v>
      </c>
      <c r="Y53" s="429"/>
      <c r="Z53" s="429"/>
      <c r="AA53" s="429"/>
      <c r="AB53" s="429"/>
    </row>
    <row r="54" spans="1:30" ht="15" customHeight="1" x14ac:dyDescent="0.25">
      <c r="A54" s="6" t="s">
        <v>256</v>
      </c>
      <c r="B54" s="686" t="s">
        <v>255</v>
      </c>
      <c r="C54" s="686"/>
      <c r="D54" s="686"/>
      <c r="E54" s="686"/>
      <c r="F54" s="686"/>
      <c r="G54" s="686"/>
      <c r="H54" s="686"/>
      <c r="I54" s="686"/>
      <c r="J54" s="686"/>
      <c r="K54" s="686"/>
      <c r="L54" s="686"/>
      <c r="M54" s="686"/>
      <c r="O54" s="669" t="s">
        <v>248</v>
      </c>
      <c r="P54" s="669"/>
      <c r="Q54" s="430">
        <v>0.105</v>
      </c>
      <c r="R54" s="423"/>
      <c r="X54" s="507" t="s">
        <v>249</v>
      </c>
      <c r="Y54" s="507"/>
      <c r="Z54" s="507"/>
      <c r="AA54" s="507"/>
      <c r="AB54" s="507"/>
      <c r="AC54" s="508"/>
      <c r="AD54" s="508"/>
    </row>
    <row r="55" spans="1:30" ht="15" customHeight="1" x14ac:dyDescent="0.25">
      <c r="B55" s="435"/>
      <c r="C55" s="435"/>
      <c r="D55" s="435"/>
      <c r="E55" s="435"/>
      <c r="F55" s="435"/>
      <c r="G55" s="435"/>
      <c r="H55" s="435"/>
      <c r="I55" s="435"/>
      <c r="J55" s="435"/>
      <c r="K55" s="435"/>
      <c r="L55" s="435"/>
      <c r="M55" s="435"/>
      <c r="O55" s="687" t="s">
        <v>245</v>
      </c>
      <c r="P55" s="688"/>
      <c r="Q55" s="427">
        <f>50*5</f>
        <v>250</v>
      </c>
      <c r="X55" s="418" t="s">
        <v>282</v>
      </c>
      <c r="Y55" s="508"/>
      <c r="Z55" s="508"/>
      <c r="AA55" s="508"/>
      <c r="AB55" s="508"/>
      <c r="AC55" s="508"/>
      <c r="AD55" s="508"/>
    </row>
    <row r="56" spans="1:30" ht="16.5" customHeight="1" x14ac:dyDescent="0.25">
      <c r="A56" s="6" t="s">
        <v>257</v>
      </c>
      <c r="B56" s="689" t="s">
        <v>293</v>
      </c>
      <c r="C56" s="689"/>
      <c r="D56" s="689"/>
      <c r="E56" s="689"/>
      <c r="F56" s="689"/>
      <c r="G56" s="689"/>
      <c r="H56" s="689"/>
      <c r="I56" s="689"/>
      <c r="J56" s="689"/>
      <c r="K56" s="689"/>
      <c r="L56" s="689"/>
      <c r="M56" s="689"/>
      <c r="O56" s="682"/>
      <c r="P56" s="682"/>
      <c r="X56" s="508"/>
      <c r="Y56" s="508"/>
      <c r="Z56" s="508"/>
      <c r="AA56" s="508"/>
      <c r="AB56" s="508"/>
      <c r="AC56" s="508"/>
      <c r="AD56" s="508"/>
    </row>
    <row r="57" spans="1:30" ht="17.25" x14ac:dyDescent="0.25">
      <c r="B57" s="689"/>
      <c r="C57" s="689"/>
      <c r="D57" s="689"/>
      <c r="E57" s="689"/>
      <c r="F57" s="689"/>
      <c r="G57" s="689"/>
      <c r="H57" s="689"/>
      <c r="I57" s="689"/>
      <c r="J57" s="689"/>
      <c r="K57" s="689"/>
      <c r="L57" s="689"/>
      <c r="M57" s="689"/>
      <c r="O57" s="436" t="s">
        <v>294</v>
      </c>
    </row>
    <row r="58" spans="1:30" ht="15" customHeight="1" x14ac:dyDescent="0.25">
      <c r="O58" s="666" t="s">
        <v>252</v>
      </c>
      <c r="P58" s="667"/>
      <c r="Q58" s="431">
        <v>1.26</v>
      </c>
      <c r="R58" s="135"/>
    </row>
    <row r="59" spans="1:30" ht="18" customHeight="1" x14ac:dyDescent="0.25">
      <c r="A59" s="6" t="s">
        <v>295</v>
      </c>
      <c r="B59" s="612" t="s">
        <v>296</v>
      </c>
      <c r="C59" s="612"/>
      <c r="D59" s="612"/>
      <c r="E59" s="612"/>
      <c r="F59" s="612"/>
      <c r="G59" s="612"/>
      <c r="H59" s="612"/>
      <c r="I59" s="612"/>
      <c r="J59" s="612"/>
      <c r="K59" s="612"/>
      <c r="L59" s="612"/>
      <c r="M59" s="612"/>
      <c r="O59" s="666" t="s">
        <v>253</v>
      </c>
      <c r="P59" s="667"/>
      <c r="Q59" s="431">
        <v>1.03</v>
      </c>
      <c r="R59" s="135"/>
    </row>
    <row r="60" spans="1:30" x14ac:dyDescent="0.25">
      <c r="B60" s="612"/>
      <c r="C60" s="612"/>
      <c r="D60" s="612"/>
      <c r="E60" s="612"/>
      <c r="F60" s="612"/>
      <c r="G60" s="612"/>
      <c r="H60" s="612"/>
      <c r="I60" s="612"/>
      <c r="J60" s="612"/>
      <c r="K60" s="612"/>
      <c r="L60" s="612"/>
      <c r="M60" s="612"/>
      <c r="Q60" s="432"/>
    </row>
    <row r="61" spans="1:30" x14ac:dyDescent="0.25">
      <c r="B61" s="612"/>
      <c r="C61" s="612"/>
      <c r="D61" s="612"/>
      <c r="E61" s="612"/>
      <c r="F61" s="612"/>
      <c r="G61" s="612"/>
      <c r="H61" s="612"/>
      <c r="I61" s="612"/>
      <c r="J61" s="612"/>
      <c r="K61" s="612"/>
      <c r="L61" s="612"/>
      <c r="M61" s="612"/>
    </row>
    <row r="62" spans="1:30" ht="15" customHeight="1" x14ac:dyDescent="0.25">
      <c r="B62" s="33"/>
      <c r="C62" s="33"/>
      <c r="D62" s="33"/>
      <c r="E62" s="33"/>
      <c r="F62" s="33"/>
      <c r="G62" s="33"/>
      <c r="H62" s="33"/>
      <c r="I62" s="33"/>
      <c r="J62" s="33"/>
      <c r="K62" s="33"/>
      <c r="L62" s="33"/>
      <c r="M62" s="33"/>
      <c r="R62" s="135"/>
    </row>
    <row r="63" spans="1:30" x14ac:dyDescent="0.25">
      <c r="B63" s="33"/>
      <c r="C63" s="33"/>
      <c r="D63" s="33"/>
      <c r="E63" s="33"/>
      <c r="F63" s="33"/>
      <c r="G63" s="33"/>
      <c r="H63" s="33"/>
      <c r="I63" s="33"/>
      <c r="J63" s="33"/>
      <c r="K63" s="33"/>
      <c r="L63" s="33"/>
      <c r="M63" s="33"/>
      <c r="R63" s="135"/>
    </row>
    <row r="64" spans="1:30" x14ac:dyDescent="0.25">
      <c r="B64" s="33"/>
      <c r="C64" s="33"/>
      <c r="D64" s="33"/>
      <c r="E64" s="33"/>
      <c r="F64" s="33"/>
      <c r="G64" s="33"/>
      <c r="H64" s="33"/>
      <c r="I64" s="33"/>
      <c r="J64" s="33"/>
      <c r="K64" s="33"/>
      <c r="L64" s="33"/>
      <c r="M64" s="33"/>
      <c r="X64" s="396"/>
    </row>
    <row r="65" spans="2:13" ht="15" customHeight="1" x14ac:dyDescent="0.25">
      <c r="B65" s="682"/>
      <c r="C65" s="682"/>
      <c r="D65" s="682"/>
      <c r="E65" s="682"/>
      <c r="F65" s="682"/>
      <c r="G65" s="682"/>
      <c r="H65" s="682"/>
      <c r="I65" s="682"/>
      <c r="J65" s="682"/>
      <c r="K65" s="682"/>
      <c r="L65" s="682"/>
      <c r="M65" s="682"/>
    </row>
  </sheetData>
  <mergeCells count="63">
    <mergeCell ref="V4:Y4"/>
    <mergeCell ref="B59:M61"/>
    <mergeCell ref="O59:P59"/>
    <mergeCell ref="B65:M65"/>
    <mergeCell ref="B33:M35"/>
    <mergeCell ref="B37:M38"/>
    <mergeCell ref="B40:M40"/>
    <mergeCell ref="B42:M43"/>
    <mergeCell ref="B45:M46"/>
    <mergeCell ref="B48:M49"/>
    <mergeCell ref="B54:M54"/>
    <mergeCell ref="O54:P54"/>
    <mergeCell ref="O55:P55"/>
    <mergeCell ref="B56:M57"/>
    <mergeCell ref="O56:P56"/>
    <mergeCell ref="O58:P58"/>
    <mergeCell ref="O46:Q46"/>
    <mergeCell ref="O49:Q49"/>
    <mergeCell ref="O50:Q50"/>
    <mergeCell ref="B51:M52"/>
    <mergeCell ref="O51:Q51"/>
    <mergeCell ref="O41:Q41"/>
    <mergeCell ref="O42:Q42"/>
    <mergeCell ref="O45:Q45"/>
    <mergeCell ref="O34:Q34"/>
    <mergeCell ref="O35:Q35"/>
    <mergeCell ref="X18:AC20"/>
    <mergeCell ref="U20:W20"/>
    <mergeCell ref="T35:W36"/>
    <mergeCell ref="O36:Q36"/>
    <mergeCell ref="O37:Q37"/>
    <mergeCell ref="O23:P23"/>
    <mergeCell ref="O24:P24"/>
    <mergeCell ref="O28:P28"/>
    <mergeCell ref="O29:P29"/>
    <mergeCell ref="O30:P30"/>
    <mergeCell ref="O33:Q33"/>
    <mergeCell ref="O22:P22"/>
    <mergeCell ref="O8:P8"/>
    <mergeCell ref="O9:P9"/>
    <mergeCell ref="O10:P10"/>
    <mergeCell ref="O11:P11"/>
    <mergeCell ref="O14:Q14"/>
    <mergeCell ref="O15:Q15"/>
    <mergeCell ref="O16:Q16"/>
    <mergeCell ref="O17:Q17"/>
    <mergeCell ref="O18:Q18"/>
    <mergeCell ref="M5:M6"/>
    <mergeCell ref="C4:D4"/>
    <mergeCell ref="E4:F4"/>
    <mergeCell ref="G4:K4"/>
    <mergeCell ref="L4:M4"/>
    <mergeCell ref="G5:G6"/>
    <mergeCell ref="H5:H6"/>
    <mergeCell ref="I5:I6"/>
    <mergeCell ref="J5:J6"/>
    <mergeCell ref="K5:K6"/>
    <mergeCell ref="L5:L6"/>
    <mergeCell ref="B5:B6"/>
    <mergeCell ref="C5:C6"/>
    <mergeCell ref="D5:D6"/>
    <mergeCell ref="E5:E6"/>
    <mergeCell ref="F5:F6"/>
  </mergeCells>
  <pageMargins left="0.7" right="0.7" top="0.75" bottom="0.75" header="0.3" footer="0.3"/>
  <pageSetup scale="20" orientation="portrait" horizontalDpi="3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00000"/>
    <pageSetUpPr fitToPage="1"/>
  </sheetPr>
  <dimension ref="A1:S57"/>
  <sheetViews>
    <sheetView view="pageBreakPreview" topLeftCell="A7" zoomScale="85" zoomScaleNormal="85" zoomScaleSheetLayoutView="85" workbookViewId="0">
      <selection activeCell="H40" sqref="H40"/>
    </sheetView>
  </sheetViews>
  <sheetFormatPr defaultColWidth="8.85546875" defaultRowHeight="15" x14ac:dyDescent="0.25"/>
  <cols>
    <col min="1" max="1" width="5.140625" customWidth="1"/>
    <col min="2" max="7" width="15.7109375" style="87" customWidth="1"/>
    <col min="8" max="8" width="32.42578125" customWidth="1"/>
    <col min="9" max="9" width="21.140625" customWidth="1"/>
    <col min="10" max="10" width="26.42578125" style="87" customWidth="1"/>
    <col min="11" max="11" width="16" style="87" customWidth="1"/>
    <col min="12" max="12" width="12.7109375" customWidth="1"/>
    <col min="13" max="13" width="21.7109375" style="87" customWidth="1"/>
    <col min="14" max="14" width="25.7109375" bestFit="1" customWidth="1"/>
    <col min="15" max="16" width="14.28515625" bestFit="1" customWidth="1"/>
  </cols>
  <sheetData>
    <row r="1" spans="2:19" x14ac:dyDescent="0.25">
      <c r="B1" s="87">
        <v>1</v>
      </c>
      <c r="C1" s="87">
        <f>B1+1</f>
        <v>2</v>
      </c>
      <c r="D1" s="87">
        <f t="shared" ref="D1" si="0">C1+1</f>
        <v>3</v>
      </c>
      <c r="E1" s="87">
        <f t="shared" ref="E1" si="1">D1+1</f>
        <v>4</v>
      </c>
      <c r="F1" s="87">
        <f t="shared" ref="F1" si="2">E1+1</f>
        <v>5</v>
      </c>
    </row>
    <row r="2" spans="2:19" x14ac:dyDescent="0.25">
      <c r="B2" s="5" t="s">
        <v>104</v>
      </c>
    </row>
    <row r="3" spans="2:19" ht="18.75" customHeight="1" thickBot="1" x14ac:dyDescent="0.3">
      <c r="H3" s="5" t="s">
        <v>46</v>
      </c>
    </row>
    <row r="4" spans="2:19" ht="15.75" customHeight="1" thickBot="1" x14ac:dyDescent="0.3">
      <c r="C4" s="655" t="s">
        <v>34</v>
      </c>
      <c r="D4" s="656"/>
      <c r="E4" s="655" t="s">
        <v>30</v>
      </c>
      <c r="F4" s="656"/>
      <c r="I4" s="444" t="s">
        <v>114</v>
      </c>
      <c r="J4" s="86"/>
      <c r="K4"/>
    </row>
    <row r="5" spans="2:19" ht="15.75" thickBot="1" x14ac:dyDescent="0.3">
      <c r="C5" s="708" t="s">
        <v>115</v>
      </c>
      <c r="D5" s="708"/>
      <c r="E5" s="709" t="s">
        <v>115</v>
      </c>
      <c r="F5" s="709"/>
      <c r="H5" s="451" t="s">
        <v>258</v>
      </c>
      <c r="I5" s="445">
        <v>2022</v>
      </c>
      <c r="K5"/>
    </row>
    <row r="6" spans="2:19" ht="15.75" customHeight="1" x14ac:dyDescent="0.25">
      <c r="B6" s="584" t="s">
        <v>0</v>
      </c>
      <c r="C6" s="586" t="s">
        <v>34</v>
      </c>
      <c r="D6" s="632" t="s">
        <v>1</v>
      </c>
      <c r="E6" s="584" t="s">
        <v>93</v>
      </c>
      <c r="F6" s="636" t="s">
        <v>94</v>
      </c>
      <c r="H6" s="8" t="s">
        <v>47</v>
      </c>
      <c r="I6" s="201">
        <f>Assumptions!C7</f>
        <v>2023</v>
      </c>
      <c r="K6"/>
    </row>
    <row r="7" spans="2:19" ht="15.75" customHeight="1" thickBot="1" x14ac:dyDescent="0.3">
      <c r="B7" s="648"/>
      <c r="C7" s="710"/>
      <c r="D7" s="711"/>
      <c r="E7" s="585"/>
      <c r="F7" s="640"/>
      <c r="H7" s="8" t="s">
        <v>184</v>
      </c>
      <c r="I7" s="201">
        <v>10</v>
      </c>
      <c r="L7" s="87"/>
      <c r="N7" s="87"/>
      <c r="O7" s="87"/>
      <c r="P7" s="87"/>
      <c r="Q7" s="87"/>
      <c r="R7" s="87"/>
      <c r="S7" s="87"/>
    </row>
    <row r="8" spans="2:19" s="434" customFormat="1" ht="15.75" customHeight="1" x14ac:dyDescent="0.25">
      <c r="B8" s="437">
        <f>I5</f>
        <v>2022</v>
      </c>
      <c r="C8" s="515">
        <f>J16</f>
        <v>6721431.4384096991</v>
      </c>
      <c r="D8" s="516">
        <f>C8*(1+0.07)^-($B8-Assumptions!$C$6)</f>
        <v>5870758.5277401507</v>
      </c>
      <c r="E8" s="340">
        <f>IF($B8=Assumptions!$C$11,'Capital Costs'!$J$36,0)</f>
        <v>0</v>
      </c>
      <c r="F8" s="447">
        <f>E8*(1+0.07)^-($B8-Assumptions!$C$6)</f>
        <v>0</v>
      </c>
      <c r="H8" s="8" t="s">
        <v>261</v>
      </c>
      <c r="I8" s="201">
        <v>11</v>
      </c>
    </row>
    <row r="9" spans="2:19" ht="15.75" customHeight="1" x14ac:dyDescent="0.25">
      <c r="B9" s="141">
        <f>I6</f>
        <v>2023</v>
      </c>
      <c r="C9" s="157">
        <f>($J$22-J16)*I7/SUM($I$7:$I$8)</f>
        <v>21455997.976011913</v>
      </c>
      <c r="D9" s="142">
        <f>C9*(1+0.07)^-($B9-Assumptions!$C$6)</f>
        <v>17514485.59439294</v>
      </c>
      <c r="E9" s="340">
        <f>IF($B9=Assumptions!$C$11,'Capital Costs'!$J$36,0)</f>
        <v>0</v>
      </c>
      <c r="F9" s="447">
        <f>E9*(1+0.07)^-($B9-Assumptions!$C$6)</f>
        <v>0</v>
      </c>
      <c r="H9" s="363"/>
      <c r="I9" s="364"/>
      <c r="L9" s="87"/>
      <c r="N9" s="87"/>
      <c r="O9" s="87"/>
      <c r="P9" s="87"/>
      <c r="Q9" s="87"/>
      <c r="R9" s="87"/>
      <c r="S9" s="87"/>
    </row>
    <row r="10" spans="2:19" ht="15.75" customHeight="1" x14ac:dyDescent="0.25">
      <c r="B10" s="141">
        <f>B9+1</f>
        <v>2024</v>
      </c>
      <c r="C10" s="157">
        <f>($J$22-J16)*I8/SUM($I$7:$I$8)</f>
        <v>23601597.773613106</v>
      </c>
      <c r="D10" s="142">
        <f>C10*(1+0.07)^-($B10-Assumptions!$C$6)</f>
        <v>18005545.938160971</v>
      </c>
      <c r="E10" s="517">
        <f>IF($B10=Assumptions!$C$11,'Capital Costs'!$J$36,0)</f>
        <v>0</v>
      </c>
      <c r="F10" s="191">
        <f>E10*(1+0.07)^-($B10-Assumptions!$C$6)</f>
        <v>0</v>
      </c>
    </row>
    <row r="11" spans="2:19" ht="15.75" customHeight="1" thickBot="1" x14ac:dyDescent="0.3">
      <c r="B11" s="112">
        <f t="shared" ref="B11:B16" si="3">B10+1</f>
        <v>2025</v>
      </c>
      <c r="C11" s="158">
        <f>$J$22*I9/SUM($I$7:$I$9)</f>
        <v>0</v>
      </c>
      <c r="D11" s="143">
        <f>C11*(1+0.07)^-($B11-Assumptions!$C$6)</f>
        <v>0</v>
      </c>
      <c r="E11" s="189">
        <f>IF($B11=Assumptions!$C$11,'Capital Costs'!$J$36,0)</f>
        <v>0</v>
      </c>
      <c r="F11" s="190">
        <f>E11*(1+0.07)^-($B11-Assumptions!$C$6)</f>
        <v>0</v>
      </c>
      <c r="H11" s="34" t="s">
        <v>48</v>
      </c>
    </row>
    <row r="12" spans="2:19" ht="15.75" customHeight="1" x14ac:dyDescent="0.25">
      <c r="B12" s="292">
        <f t="shared" si="3"/>
        <v>2026</v>
      </c>
      <c r="C12" s="446"/>
      <c r="D12" s="217"/>
      <c r="E12" s="513">
        <f>IF($B12=Assumptions!$C$11,'Capital Costs'!$J$36,0)</f>
        <v>0</v>
      </c>
      <c r="F12" s="191">
        <f>E12*(1+0.07)^-($B12-Assumptions!$C$6)</f>
        <v>0</v>
      </c>
      <c r="H12" s="5"/>
      <c r="J12" s="152" t="s">
        <v>115</v>
      </c>
      <c r="K12" s="34"/>
    </row>
    <row r="13" spans="2:19" ht="15.75" customHeight="1" x14ac:dyDescent="0.25">
      <c r="B13" s="141">
        <f t="shared" si="3"/>
        <v>2027</v>
      </c>
      <c r="C13" s="157"/>
      <c r="D13" s="142"/>
      <c r="E13" s="513">
        <f>IF($B13=Assumptions!$C$11,'Capital Costs'!$J$36,0)</f>
        <v>0</v>
      </c>
      <c r="F13" s="191">
        <f>E13*(1+0.07)^-($B13-Assumptions!$C$6)</f>
        <v>0</v>
      </c>
      <c r="H13" s="701" t="s">
        <v>5</v>
      </c>
      <c r="I13" s="704" t="s">
        <v>6</v>
      </c>
      <c r="J13" s="692" t="s">
        <v>186</v>
      </c>
      <c r="K13" s="690" t="s">
        <v>187</v>
      </c>
      <c r="L13" s="691" t="s">
        <v>188</v>
      </c>
      <c r="M13" s="361"/>
    </row>
    <row r="14" spans="2:19" ht="15.75" customHeight="1" x14ac:dyDescent="0.25">
      <c r="B14" s="141">
        <f>B13+1</f>
        <v>2028</v>
      </c>
      <c r="C14" s="157"/>
      <c r="D14" s="142"/>
      <c r="E14" s="513">
        <f>IF($B14=Assumptions!$C$11,'Capital Costs'!$J$36,0)</f>
        <v>0</v>
      </c>
      <c r="F14" s="191">
        <f>E14*(1+0.07)^-($B14-Assumptions!$C$6)</f>
        <v>0</v>
      </c>
      <c r="H14" s="702"/>
      <c r="I14" s="705"/>
      <c r="J14" s="693"/>
      <c r="K14" s="690"/>
      <c r="L14" s="691"/>
      <c r="M14" s="361"/>
    </row>
    <row r="15" spans="2:19" ht="15.75" customHeight="1" x14ac:dyDescent="0.25">
      <c r="B15" s="141">
        <f t="shared" si="3"/>
        <v>2029</v>
      </c>
      <c r="C15" s="157"/>
      <c r="D15" s="142"/>
      <c r="E15" s="513">
        <f>IF($B15=Assumptions!$C$11,'Capital Costs'!$J$36,0)</f>
        <v>0</v>
      </c>
      <c r="F15" s="191">
        <f>E15*(1+0.07)^-($B15-Assumptions!$C$6)</f>
        <v>0</v>
      </c>
      <c r="H15" s="703"/>
      <c r="I15" s="706"/>
      <c r="J15" s="694"/>
      <c r="K15" s="690"/>
      <c r="L15" s="691"/>
      <c r="M15" s="361"/>
    </row>
    <row r="16" spans="2:19" ht="15.75" customHeight="1" x14ac:dyDescent="0.25">
      <c r="B16" s="141">
        <f t="shared" si="3"/>
        <v>2030</v>
      </c>
      <c r="C16" s="157"/>
      <c r="D16" s="142"/>
      <c r="E16" s="513">
        <f>IF($B16=Assumptions!$C$11,'Capital Costs'!$J$36,0)</f>
        <v>0</v>
      </c>
      <c r="F16" s="191">
        <f>E16*(1+0.07)^-($B16-Assumptions!$C$6)</f>
        <v>0</v>
      </c>
      <c r="G16" s="87">
        <v>1</v>
      </c>
      <c r="H16" s="8" t="s">
        <v>36</v>
      </c>
      <c r="I16" s="42">
        <v>100</v>
      </c>
      <c r="J16" s="518">
        <f>K16*L16</f>
        <v>6721431.4384096991</v>
      </c>
      <c r="K16" s="121">
        <v>7000000</v>
      </c>
      <c r="L16" s="454">
        <f>(((113.346+112.859+113.888+114.439)/4)/((115.652+117.413+119.115+121.19)/4))</f>
        <v>0.96020449120138562</v>
      </c>
      <c r="M16" s="362"/>
      <c r="N16" s="345"/>
    </row>
    <row r="17" spans="2:19" ht="15.75" customHeight="1" x14ac:dyDescent="0.25">
      <c r="B17" s="141">
        <f t="shared" ref="B17:B30" si="4">B16+1</f>
        <v>2031</v>
      </c>
      <c r="C17" s="157"/>
      <c r="D17" s="142"/>
      <c r="E17" s="513">
        <f>IF($B17=Assumptions!$C$11,'Capital Costs'!$J$36,0)</f>
        <v>0</v>
      </c>
      <c r="F17" s="191">
        <f>E17*(1+0.07)^-($B17-Assumptions!$C$6)</f>
        <v>0</v>
      </c>
      <c r="G17" s="87">
        <v>2</v>
      </c>
      <c r="H17" s="8" t="s">
        <v>37</v>
      </c>
      <c r="I17" s="42">
        <v>60</v>
      </c>
      <c r="J17" s="518">
        <f t="shared" ref="J17:J21" si="5">K17*L17</f>
        <v>8173260.6291061947</v>
      </c>
      <c r="K17" s="121">
        <v>8512000</v>
      </c>
      <c r="L17" s="454">
        <f t="shared" ref="L17:L21" si="6">(((113.346+112.859+113.888+114.439)/4)/((115.652+117.413+119.115+121.19)/4))</f>
        <v>0.96020449120138562</v>
      </c>
      <c r="M17" s="359"/>
    </row>
    <row r="18" spans="2:19" ht="15.75" customHeight="1" x14ac:dyDescent="0.25">
      <c r="B18" s="141">
        <f t="shared" si="4"/>
        <v>2032</v>
      </c>
      <c r="C18" s="157"/>
      <c r="D18" s="142"/>
      <c r="E18" s="513">
        <f>IF($B18=Assumptions!$C$11,'Capital Costs'!$J$36,0)</f>
        <v>0</v>
      </c>
      <c r="F18" s="191">
        <f>E18*(1+0.07)^-($B18-Assumptions!$C$6)</f>
        <v>0</v>
      </c>
      <c r="G18" s="87">
        <v>3</v>
      </c>
      <c r="H18" s="8" t="s">
        <v>38</v>
      </c>
      <c r="I18" s="42">
        <v>50</v>
      </c>
      <c r="J18" s="518">
        <f t="shared" si="5"/>
        <v>8634158.7848828603</v>
      </c>
      <c r="K18" s="121">
        <v>8992000</v>
      </c>
      <c r="L18" s="454">
        <f t="shared" si="6"/>
        <v>0.96020449120138562</v>
      </c>
      <c r="M18" s="359"/>
    </row>
    <row r="19" spans="2:19" ht="15.75" customHeight="1" x14ac:dyDescent="0.25">
      <c r="B19" s="141">
        <f t="shared" si="4"/>
        <v>2033</v>
      </c>
      <c r="C19" s="157"/>
      <c r="D19" s="142"/>
      <c r="E19" s="513">
        <f>IF($B19=Assumptions!$C$11,'Capital Costs'!$J$36,0)</f>
        <v>0</v>
      </c>
      <c r="F19" s="191">
        <f>E19*(1+0.07)^-($B19-Assumptions!$C$6)</f>
        <v>0</v>
      </c>
      <c r="G19" s="87">
        <v>4</v>
      </c>
      <c r="H19" s="8" t="s">
        <v>39</v>
      </c>
      <c r="I19" s="42">
        <v>40</v>
      </c>
      <c r="J19" s="518">
        <f t="shared" si="5"/>
        <v>798890.13667955284</v>
      </c>
      <c r="K19" s="121">
        <v>832000</v>
      </c>
      <c r="L19" s="454">
        <f t="shared" si="6"/>
        <v>0.96020449120138562</v>
      </c>
      <c r="M19" s="359"/>
    </row>
    <row r="20" spans="2:19" ht="15.75" customHeight="1" x14ac:dyDescent="0.25">
      <c r="B20" s="141">
        <f t="shared" si="4"/>
        <v>2034</v>
      </c>
      <c r="C20" s="157"/>
      <c r="D20" s="142"/>
      <c r="E20" s="513">
        <f>IF($B20=Assumptions!$C$11,'Capital Costs'!$J$36,0)</f>
        <v>0</v>
      </c>
      <c r="F20" s="191">
        <f>E20*(1+0.07)^-($B20-Assumptions!$C$6)</f>
        <v>0</v>
      </c>
      <c r="G20" s="87">
        <v>5</v>
      </c>
      <c r="H20" s="8" t="s">
        <v>40</v>
      </c>
      <c r="I20" s="42">
        <v>25</v>
      </c>
      <c r="J20" s="518">
        <f t="shared" si="5"/>
        <v>11553180.438135073</v>
      </c>
      <c r="K20" s="121">
        <v>12032000</v>
      </c>
      <c r="L20" s="454">
        <f t="shared" si="6"/>
        <v>0.96020449120138562</v>
      </c>
      <c r="M20" s="359"/>
    </row>
    <row r="21" spans="2:19" ht="15.75" customHeight="1" x14ac:dyDescent="0.25">
      <c r="B21" s="141">
        <f t="shared" si="4"/>
        <v>2035</v>
      </c>
      <c r="C21" s="157"/>
      <c r="D21" s="142"/>
      <c r="E21" s="513">
        <f>IF($B21=Assumptions!$C$11,'Capital Costs'!$J$36,0)</f>
        <v>0</v>
      </c>
      <c r="F21" s="191">
        <f>E21*(1+0.07)^-($B21-Assumptions!$C$6)</f>
        <v>0</v>
      </c>
      <c r="G21" s="87">
        <v>6</v>
      </c>
      <c r="H21" s="8" t="s">
        <v>41</v>
      </c>
      <c r="I21" s="42" t="s">
        <v>27</v>
      </c>
      <c r="J21" s="518">
        <f t="shared" si="5"/>
        <v>15898105.760821342</v>
      </c>
      <c r="K21" s="121">
        <v>16557000</v>
      </c>
      <c r="L21" s="454">
        <f t="shared" si="6"/>
        <v>0.96020449120138562</v>
      </c>
      <c r="M21" s="359"/>
    </row>
    <row r="22" spans="2:19" ht="15.75" customHeight="1" x14ac:dyDescent="0.25">
      <c r="B22" s="141">
        <f t="shared" si="4"/>
        <v>2036</v>
      </c>
      <c r="C22" s="157"/>
      <c r="D22" s="142"/>
      <c r="E22" s="513">
        <f>IF($B22=Assumptions!$C$11,'Capital Costs'!$J$36,0)</f>
        <v>0</v>
      </c>
      <c r="F22" s="191">
        <f>E22*(1+0.07)^-($B22-Assumptions!$C$6)</f>
        <v>0</v>
      </c>
      <c r="H22" s="700" t="s">
        <v>45</v>
      </c>
      <c r="I22" s="700"/>
      <c r="J22" s="251">
        <f>SUM(J16:J21)</f>
        <v>51779027.188034721</v>
      </c>
      <c r="K22" s="251">
        <f>SUM(K16:K21)</f>
        <v>53925000</v>
      </c>
      <c r="L22" s="138"/>
      <c r="M22" s="359"/>
    </row>
    <row r="23" spans="2:19" ht="15.75" customHeight="1" x14ac:dyDescent="0.25">
      <c r="B23" s="141">
        <f t="shared" si="4"/>
        <v>2037</v>
      </c>
      <c r="C23" s="157"/>
      <c r="D23" s="142"/>
      <c r="E23" s="513">
        <f>IF($B23=Assumptions!$C$11,'Capital Costs'!$J$36,0)</f>
        <v>0</v>
      </c>
      <c r="F23" s="191">
        <f>E23*(1+0.07)^-($B23-Assumptions!$C$6)</f>
        <v>0</v>
      </c>
      <c r="M23" s="360"/>
    </row>
    <row r="24" spans="2:19" ht="15.75" customHeight="1" x14ac:dyDescent="0.25">
      <c r="B24" s="141">
        <f t="shared" si="4"/>
        <v>2038</v>
      </c>
      <c r="C24" s="157"/>
      <c r="D24" s="142"/>
      <c r="E24" s="513">
        <f>IF($B24=Assumptions!$C$11,'Capital Costs'!$J$36,0)</f>
        <v>0</v>
      </c>
      <c r="F24" s="191">
        <f>E24*(1+0.07)^-($B24-Assumptions!$C$6)</f>
        <v>0</v>
      </c>
      <c r="H24" s="5" t="s">
        <v>99</v>
      </c>
    </row>
    <row r="25" spans="2:19" ht="15.75" customHeight="1" x14ac:dyDescent="0.25">
      <c r="B25" s="141">
        <f t="shared" si="4"/>
        <v>2039</v>
      </c>
      <c r="C25" s="157"/>
      <c r="D25" s="142"/>
      <c r="E25" s="513">
        <f>IF($B25=Assumptions!$C$11,'Capital Costs'!$J$36,0)</f>
        <v>0</v>
      </c>
      <c r="F25" s="191">
        <f>E25*(1+0.07)^-($B25-Assumptions!$C$6)</f>
        <v>0</v>
      </c>
      <c r="H25" s="39"/>
      <c r="I25" s="7"/>
      <c r="J25" s="203" t="s">
        <v>115</v>
      </c>
      <c r="K25" s="34"/>
    </row>
    <row r="26" spans="2:19" ht="15.75" customHeight="1" x14ac:dyDescent="0.25">
      <c r="B26" s="141">
        <f t="shared" si="4"/>
        <v>2040</v>
      </c>
      <c r="C26" s="157"/>
      <c r="D26" s="142"/>
      <c r="E26" s="513">
        <f>IF($B26=Assumptions!$C$11,'Capital Costs'!$J$36,0)</f>
        <v>0</v>
      </c>
      <c r="F26" s="191">
        <f>E26*(1+0.07)^-($B26-Assumptions!$C$6)</f>
        <v>0</v>
      </c>
      <c r="H26" s="701" t="s">
        <v>5</v>
      </c>
      <c r="I26" s="695" t="s">
        <v>28</v>
      </c>
      <c r="J26" s="695" t="s">
        <v>29</v>
      </c>
      <c r="K26" s="145"/>
    </row>
    <row r="27" spans="2:19" ht="15.75" customHeight="1" x14ac:dyDescent="0.25">
      <c r="B27" s="141">
        <f t="shared" si="4"/>
        <v>2041</v>
      </c>
      <c r="C27" s="157"/>
      <c r="D27" s="142"/>
      <c r="E27" s="513">
        <f>IF($B27=Assumptions!$C$11,'Capital Costs'!$J$36,0)</f>
        <v>0</v>
      </c>
      <c r="F27" s="191">
        <f>E27*(1+0.07)^-($B27-Assumptions!$C$6)</f>
        <v>0</v>
      </c>
      <c r="H27" s="702"/>
      <c r="I27" s="696"/>
      <c r="J27" s="696"/>
      <c r="K27" s="145"/>
    </row>
    <row r="28" spans="2:19" ht="15.75" customHeight="1" x14ac:dyDescent="0.25">
      <c r="B28" s="141">
        <f t="shared" si="4"/>
        <v>2042</v>
      </c>
      <c r="C28" s="157"/>
      <c r="D28" s="142"/>
      <c r="E28" s="513">
        <f>IF($B28=Assumptions!$C$11,'Capital Costs'!$J$36,0)</f>
        <v>0</v>
      </c>
      <c r="F28" s="191">
        <f>E28*(1+0.07)^-($B28-Assumptions!$C$6)</f>
        <v>0</v>
      </c>
      <c r="H28" s="703"/>
      <c r="I28" s="697"/>
      <c r="J28" s="697"/>
      <c r="K28" s="145"/>
    </row>
    <row r="29" spans="2:19" ht="15.75" customHeight="1" x14ac:dyDescent="0.25">
      <c r="B29" s="141">
        <f t="shared" si="4"/>
        <v>2043</v>
      </c>
      <c r="C29" s="157"/>
      <c r="D29" s="142"/>
      <c r="E29" s="513">
        <f>IF($B29=Assumptions!$C$11,'Capital Costs'!$J$36,0)</f>
        <v>0</v>
      </c>
      <c r="F29" s="191">
        <f>E29*(1+0.07)^-($B29-Assumptions!$C$6)</f>
        <v>0</v>
      </c>
      <c r="H29" s="8" t="s">
        <v>36</v>
      </c>
      <c r="I29" s="148">
        <v>0.99668901533542598</v>
      </c>
      <c r="J29" s="149">
        <f>I29*J16</f>
        <v>6699176.8819931392</v>
      </c>
      <c r="K29" s="146"/>
    </row>
    <row r="30" spans="2:19" s="87" customFormat="1" ht="15.75" customHeight="1" x14ac:dyDescent="0.25">
      <c r="B30" s="141">
        <f t="shared" si="4"/>
        <v>2044</v>
      </c>
      <c r="C30" s="290"/>
      <c r="D30" s="291"/>
      <c r="E30" s="513">
        <f>IF($B30=Assumptions!$C$11,'Capital Costs'!$J$36,0)</f>
        <v>26923739.420950722</v>
      </c>
      <c r="F30" s="191">
        <f>E30*(1+0.07)^-($B30-Assumptions!$C$6)</f>
        <v>5307924.2232225984</v>
      </c>
      <c r="H30" s="8" t="s">
        <v>37</v>
      </c>
      <c r="I30" s="148">
        <v>0.94960729545289124</v>
      </c>
      <c r="J30" s="149">
        <f t="shared" ref="J30:J31" si="7">I30*J17</f>
        <v>7761387.9210371301</v>
      </c>
      <c r="K30" s="146"/>
      <c r="L30"/>
      <c r="M30" s="250"/>
      <c r="N30"/>
      <c r="O30"/>
      <c r="P30"/>
      <c r="Q30"/>
      <c r="R30"/>
      <c r="S30"/>
    </row>
    <row r="31" spans="2:19" ht="15.75" customHeight="1" thickBot="1" x14ac:dyDescent="0.3">
      <c r="B31" s="112">
        <f>B30+1</f>
        <v>2045</v>
      </c>
      <c r="C31" s="158"/>
      <c r="D31" s="143"/>
      <c r="E31" s="514">
        <f>IF($B31=Assumptions!$C$11,'Capital Costs'!$J$36,0)</f>
        <v>0</v>
      </c>
      <c r="F31" s="197">
        <f>E31*(1+0.07)^-($B31-Assumptions!$C$6)</f>
        <v>0</v>
      </c>
      <c r="H31" s="8" t="s">
        <v>38</v>
      </c>
      <c r="I31" s="148">
        <v>0.89915725708762995</v>
      </c>
      <c r="J31" s="149">
        <f t="shared" si="7"/>
        <v>7763466.5302743362</v>
      </c>
      <c r="K31" s="146"/>
    </row>
    <row r="32" spans="2:19" ht="15.75" customHeight="1" x14ac:dyDescent="0.25">
      <c r="D32" s="154">
        <f>SUM(D9:D31)</f>
        <v>35520031.532553911</v>
      </c>
      <c r="F32" s="154">
        <f>SUM(F9:F31)</f>
        <v>5307924.2232225984</v>
      </c>
      <c r="H32" s="8"/>
      <c r="I32" s="148"/>
      <c r="J32" s="149"/>
      <c r="K32" s="146"/>
      <c r="L32" s="87"/>
      <c r="N32" s="87"/>
      <c r="O32" s="87"/>
      <c r="P32" s="87"/>
      <c r="Q32" s="87"/>
      <c r="R32" s="87"/>
      <c r="S32" s="87"/>
    </row>
    <row r="33" spans="1:19" ht="15.75" customHeight="1" x14ac:dyDescent="0.25">
      <c r="H33" s="8" t="s">
        <v>39</v>
      </c>
      <c r="I33" s="148">
        <v>0.79464788577092815</v>
      </c>
      <c r="J33" s="149">
        <f>I33*J19</f>
        <v>634836.35807565448</v>
      </c>
      <c r="K33" s="146"/>
    </row>
    <row r="34" spans="1:19" ht="15.75" customHeight="1" x14ac:dyDescent="0.25">
      <c r="H34" s="8" t="s">
        <v>40</v>
      </c>
      <c r="I34" s="148">
        <v>0.35184006268551071</v>
      </c>
      <c r="J34" s="149">
        <f>I34*J20</f>
        <v>4064871.72957046</v>
      </c>
      <c r="K34" s="146"/>
    </row>
    <row r="35" spans="1:19" ht="15.75" customHeight="1" x14ac:dyDescent="0.25">
      <c r="B35" s="21" t="s">
        <v>3</v>
      </c>
      <c r="C35" s="19"/>
      <c r="D35" s="19"/>
      <c r="H35" s="8" t="s">
        <v>41</v>
      </c>
      <c r="I35" s="148">
        <v>0</v>
      </c>
      <c r="J35" s="149">
        <f>I35*J21</f>
        <v>0</v>
      </c>
      <c r="K35" s="146"/>
    </row>
    <row r="36" spans="1:19" ht="15.75" customHeight="1" x14ac:dyDescent="0.25">
      <c r="A36" s="99" t="s">
        <v>32</v>
      </c>
      <c r="B36" s="583" t="s">
        <v>306</v>
      </c>
      <c r="C36" s="583"/>
      <c r="D36" s="583"/>
      <c r="E36" s="583"/>
      <c r="F36" s="583"/>
      <c r="H36" s="698" t="s">
        <v>35</v>
      </c>
      <c r="I36" s="699"/>
      <c r="J36" s="252">
        <f>SUM(J29:J35)</f>
        <v>26923739.420950722</v>
      </c>
      <c r="K36" s="144"/>
    </row>
    <row r="37" spans="1:19" ht="15.75" customHeight="1" x14ac:dyDescent="0.25">
      <c r="A37" s="87"/>
      <c r="B37" s="583"/>
      <c r="C37" s="583"/>
      <c r="D37" s="583"/>
      <c r="E37" s="583"/>
      <c r="F37" s="583"/>
    </row>
    <row r="38" spans="1:19" s="87" customFormat="1" ht="15.75" customHeight="1" x14ac:dyDescent="0.25">
      <c r="B38" s="583"/>
      <c r="C38" s="583"/>
      <c r="D38" s="583"/>
      <c r="E38" s="583"/>
      <c r="F38" s="583"/>
      <c r="G38" s="19"/>
      <c r="H38"/>
      <c r="I38"/>
      <c r="L38"/>
      <c r="N38"/>
      <c r="O38"/>
      <c r="P38"/>
      <c r="Q38"/>
      <c r="R38"/>
      <c r="S38"/>
    </row>
    <row r="39" spans="1:19" ht="15.75" customHeight="1" x14ac:dyDescent="0.25">
      <c r="B39" s="583"/>
      <c r="C39" s="583"/>
      <c r="D39" s="583"/>
      <c r="E39" s="583"/>
      <c r="F39" s="583"/>
      <c r="H39" s="707"/>
      <c r="I39" s="707"/>
    </row>
    <row r="40" spans="1:19" ht="15.75" customHeight="1" x14ac:dyDescent="0.25">
      <c r="A40" s="87"/>
      <c r="B40" s="134"/>
      <c r="C40" s="134"/>
      <c r="D40" s="134"/>
      <c r="H40" s="346"/>
      <c r="I40" s="347"/>
      <c r="L40" s="87"/>
      <c r="N40" s="87"/>
      <c r="O40" s="87"/>
      <c r="P40" s="87"/>
      <c r="Q40" s="87"/>
      <c r="R40" s="87"/>
      <c r="S40" s="87"/>
    </row>
    <row r="41" spans="1:19" ht="15.75" customHeight="1" x14ac:dyDescent="0.25">
      <c r="A41" s="202" t="s">
        <v>31</v>
      </c>
      <c r="B41" s="583" t="s">
        <v>108</v>
      </c>
      <c r="C41" s="583"/>
      <c r="D41" s="583"/>
      <c r="E41" s="583"/>
      <c r="F41" s="583"/>
    </row>
    <row r="42" spans="1:19" ht="15.75" customHeight="1" x14ac:dyDescent="0.25">
      <c r="A42" s="87"/>
      <c r="B42" s="583"/>
      <c r="C42" s="583"/>
      <c r="D42" s="583"/>
      <c r="E42" s="583"/>
      <c r="F42" s="583"/>
      <c r="J42" s="154"/>
    </row>
    <row r="43" spans="1:19" ht="15.75" customHeight="1" x14ac:dyDescent="0.25">
      <c r="A43" s="87"/>
      <c r="B43" s="583"/>
      <c r="C43" s="583"/>
      <c r="D43" s="583"/>
      <c r="E43" s="583"/>
      <c r="F43" s="583"/>
      <c r="H43" s="87"/>
      <c r="I43" s="87"/>
      <c r="J43" s="155"/>
    </row>
    <row r="44" spans="1:19" s="87" customFormat="1" ht="15.75" customHeight="1" x14ac:dyDescent="0.25">
      <c r="B44" s="583"/>
      <c r="C44" s="583"/>
      <c r="D44" s="583"/>
      <c r="E44" s="583"/>
      <c r="F44" s="583"/>
      <c r="H44"/>
      <c r="I44"/>
      <c r="L44"/>
      <c r="N44"/>
      <c r="O44"/>
      <c r="P44"/>
      <c r="Q44"/>
      <c r="R44"/>
      <c r="S44"/>
    </row>
    <row r="45" spans="1:19" s="87" customFormat="1" ht="15.75" customHeight="1" x14ac:dyDescent="0.25">
      <c r="B45" s="583"/>
      <c r="C45" s="583"/>
      <c r="D45" s="583"/>
      <c r="E45" s="583"/>
      <c r="F45" s="583"/>
      <c r="L45"/>
      <c r="N45"/>
      <c r="O45"/>
      <c r="P45"/>
      <c r="Q45"/>
      <c r="R45"/>
      <c r="S45"/>
    </row>
    <row r="46" spans="1:19" ht="15.75" customHeight="1" x14ac:dyDescent="0.25">
      <c r="A46" s="202"/>
      <c r="B46" s="583"/>
      <c r="C46" s="583"/>
      <c r="D46" s="583"/>
      <c r="E46" s="583"/>
      <c r="F46" s="583"/>
      <c r="H46" s="87"/>
      <c r="I46" s="87"/>
      <c r="L46" s="87"/>
      <c r="N46" s="87"/>
      <c r="O46" s="87"/>
      <c r="P46" s="87"/>
      <c r="Q46" s="87"/>
      <c r="R46" s="87"/>
      <c r="S46" s="87"/>
    </row>
    <row r="47" spans="1:19" ht="15.75" customHeight="1" x14ac:dyDescent="0.25">
      <c r="A47" s="202"/>
      <c r="B47" s="583"/>
      <c r="C47" s="583"/>
      <c r="D47" s="583"/>
      <c r="E47" s="583"/>
      <c r="F47" s="583"/>
      <c r="L47" s="87"/>
      <c r="N47" s="87"/>
      <c r="O47" s="87"/>
      <c r="P47" s="87"/>
      <c r="Q47" s="87"/>
      <c r="R47" s="87"/>
      <c r="S47" s="87"/>
    </row>
    <row r="48" spans="1:19" ht="15" customHeight="1" x14ac:dyDescent="0.25">
      <c r="A48" s="75"/>
      <c r="B48" s="583"/>
      <c r="C48" s="583"/>
      <c r="D48" s="583"/>
      <c r="E48" s="583"/>
      <c r="F48" s="583"/>
    </row>
    <row r="49" spans="1:6" ht="29.25" customHeight="1" x14ac:dyDescent="0.25">
      <c r="A49" s="75"/>
      <c r="B49" s="583"/>
      <c r="C49" s="583"/>
      <c r="D49" s="583"/>
      <c r="E49" s="583"/>
      <c r="F49" s="583"/>
    </row>
    <row r="51" spans="1:6" ht="15" customHeight="1" x14ac:dyDescent="0.25"/>
    <row r="57" spans="1:6" ht="15" customHeight="1" x14ac:dyDescent="0.25"/>
  </sheetData>
  <mergeCells count="22">
    <mergeCell ref="H39:I39"/>
    <mergeCell ref="E4:F4"/>
    <mergeCell ref="B36:F39"/>
    <mergeCell ref="B41:F49"/>
    <mergeCell ref="C4:D4"/>
    <mergeCell ref="E6:E7"/>
    <mergeCell ref="F6:F7"/>
    <mergeCell ref="C5:D5"/>
    <mergeCell ref="E5:F5"/>
    <mergeCell ref="C6:C7"/>
    <mergeCell ref="D6:D7"/>
    <mergeCell ref="B6:B7"/>
    <mergeCell ref="K13:K15"/>
    <mergeCell ref="L13:L15"/>
    <mergeCell ref="J13:J15"/>
    <mergeCell ref="J26:J28"/>
    <mergeCell ref="H36:I36"/>
    <mergeCell ref="H22:I22"/>
    <mergeCell ref="H13:H15"/>
    <mergeCell ref="H26:H28"/>
    <mergeCell ref="I13:I15"/>
    <mergeCell ref="I26:I28"/>
  </mergeCells>
  <phoneticPr fontId="33" type="noConversion"/>
  <pageMargins left="0.25" right="0.25" top="0.75" bottom="0.75" header="0.3" footer="0.3"/>
  <pageSetup paperSize="119" scale="4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71D19-824F-47F6-8625-A29FA964CFBB}">
  <sheetPr>
    <tabColor rgb="FFC00000"/>
  </sheetPr>
  <dimension ref="A1:G30"/>
  <sheetViews>
    <sheetView tabSelected="1" view="pageBreakPreview" zoomScaleNormal="100" zoomScaleSheetLayoutView="100" workbookViewId="0">
      <selection activeCell="G16" sqref="G16"/>
    </sheetView>
  </sheetViews>
  <sheetFormatPr defaultColWidth="8.85546875" defaultRowHeight="15" x14ac:dyDescent="0.25"/>
  <cols>
    <col min="2" max="2" width="16.85546875" customWidth="1"/>
    <col min="3" max="3" width="19" customWidth="1"/>
    <col min="4" max="4" width="16.28515625" customWidth="1"/>
    <col min="6" max="6" width="22.7109375" customWidth="1"/>
    <col min="7" max="7" width="20.5703125" customWidth="1"/>
    <col min="8" max="8" width="6.7109375" customWidth="1"/>
  </cols>
  <sheetData>
    <row r="1" spans="2:7" x14ac:dyDescent="0.25">
      <c r="B1" s="5" t="s">
        <v>79</v>
      </c>
    </row>
    <row r="2" spans="2:7" ht="15.75" thickBot="1" x14ac:dyDescent="0.3">
      <c r="B2" s="214"/>
      <c r="C2" s="214"/>
      <c r="D2" s="214"/>
    </row>
    <row r="3" spans="2:7" ht="27" customHeight="1" x14ac:dyDescent="0.25">
      <c r="B3" s="606" t="s">
        <v>0</v>
      </c>
      <c r="C3" s="606" t="s">
        <v>119</v>
      </c>
      <c r="D3" s="712" t="s">
        <v>1</v>
      </c>
    </row>
    <row r="4" spans="2:7" ht="25.5" customHeight="1" thickBot="1" x14ac:dyDescent="0.3">
      <c r="B4" s="607"/>
      <c r="C4" s="607"/>
      <c r="D4" s="713"/>
    </row>
    <row r="5" spans="2:7" x14ac:dyDescent="0.25">
      <c r="B5" s="222">
        <f>Assumptions!C10</f>
        <v>2025</v>
      </c>
      <c r="C5" s="722">
        <f>($G$7-$G$8*8100)</f>
        <v>-90393.55</v>
      </c>
      <c r="D5" s="725">
        <f>C5*(1+0.07)^-(B5-Assumptions!$C$6)</f>
        <v>-64449.351864465956</v>
      </c>
    </row>
    <row r="6" spans="2:7" ht="15.75" thickBot="1" x14ac:dyDescent="0.3">
      <c r="B6" s="97">
        <f>+B5+1</f>
        <v>2026</v>
      </c>
      <c r="C6" s="723">
        <f t="shared" ref="C6:C24" si="0">($G$7-$G$8*8100)</f>
        <v>-90393.55</v>
      </c>
      <c r="D6" s="726">
        <f>C6*(1+0.07)^-(B6-Assumptions!$C$6)</f>
        <v>-60233.039125669122</v>
      </c>
      <c r="F6" s="719" t="s">
        <v>307</v>
      </c>
      <c r="G6" s="376"/>
    </row>
    <row r="7" spans="2:7" x14ac:dyDescent="0.25">
      <c r="B7" s="97">
        <f t="shared" ref="B7:B24" si="1">+B6+1</f>
        <v>2027</v>
      </c>
      <c r="C7" s="723">
        <f t="shared" si="0"/>
        <v>-90393.55</v>
      </c>
      <c r="D7" s="726">
        <f>C7*(1+0.07)^-(B7-Assumptions!$C$6)</f>
        <v>-56292.559930531883</v>
      </c>
      <c r="F7" s="716" t="s">
        <v>308</v>
      </c>
      <c r="G7" s="721">
        <v>2.4500000000000002</v>
      </c>
    </row>
    <row r="8" spans="2:7" ht="15.75" thickBot="1" x14ac:dyDescent="0.3">
      <c r="B8" s="97">
        <f t="shared" si="1"/>
        <v>2028</v>
      </c>
      <c r="C8" s="723">
        <f t="shared" si="0"/>
        <v>-90393.55</v>
      </c>
      <c r="D8" s="726">
        <f>C8*(1+0.07)^-(B8-Assumptions!$C$6)</f>
        <v>-52609.869093955029</v>
      </c>
      <c r="F8" s="717" t="s">
        <v>310</v>
      </c>
      <c r="G8" s="718">
        <v>11.16</v>
      </c>
    </row>
    <row r="9" spans="2:7" x14ac:dyDescent="0.25">
      <c r="B9" s="97">
        <f t="shared" si="1"/>
        <v>2029</v>
      </c>
      <c r="C9" s="723">
        <f t="shared" si="0"/>
        <v>-90393.55</v>
      </c>
      <c r="D9" s="726">
        <f>C9*(1+0.07)^-(B9-Assumptions!$C$6)</f>
        <v>-49168.101956967315</v>
      </c>
      <c r="G9" s="720"/>
    </row>
    <row r="10" spans="2:7" x14ac:dyDescent="0.25">
      <c r="B10" s="97">
        <f t="shared" si="1"/>
        <v>2030</v>
      </c>
      <c r="C10" s="723">
        <f t="shared" si="0"/>
        <v>-90393.55</v>
      </c>
      <c r="D10" s="726">
        <f>C10*(1+0.07)^-(B10-Assumptions!$C$6)</f>
        <v>-45951.497156044221</v>
      </c>
      <c r="G10" s="720"/>
    </row>
    <row r="11" spans="2:7" x14ac:dyDescent="0.25">
      <c r="B11" s="97">
        <f t="shared" si="1"/>
        <v>2031</v>
      </c>
      <c r="C11" s="723">
        <f t="shared" si="0"/>
        <v>-90393.55</v>
      </c>
      <c r="D11" s="726">
        <f>C11*(1+0.07)^-(B11-Assumptions!$C$6)</f>
        <v>-42945.32444490114</v>
      </c>
    </row>
    <row r="12" spans="2:7" x14ac:dyDescent="0.25">
      <c r="B12" s="97">
        <f t="shared" si="1"/>
        <v>2032</v>
      </c>
      <c r="C12" s="723">
        <f t="shared" si="0"/>
        <v>-90393.55</v>
      </c>
      <c r="D12" s="726">
        <f>C12*(1+0.07)^-(B12-Assumptions!$C$6)</f>
        <v>-40135.817238225369</v>
      </c>
    </row>
    <row r="13" spans="2:7" x14ac:dyDescent="0.25">
      <c r="B13" s="97">
        <f t="shared" si="1"/>
        <v>2033</v>
      </c>
      <c r="C13" s="723">
        <f t="shared" si="0"/>
        <v>-90393.55</v>
      </c>
      <c r="D13" s="726">
        <f>C13*(1+0.07)^-(B13-Assumptions!$C$6)</f>
        <v>-37510.10956843492</v>
      </c>
    </row>
    <row r="14" spans="2:7" x14ac:dyDescent="0.25">
      <c r="B14" s="97">
        <f t="shared" si="1"/>
        <v>2034</v>
      </c>
      <c r="C14" s="723">
        <f t="shared" si="0"/>
        <v>-90393.55</v>
      </c>
      <c r="D14" s="726">
        <f>C14*(1+0.07)^-(B14-Assumptions!$C$6)</f>
        <v>-35056.177166761612</v>
      </c>
    </row>
    <row r="15" spans="2:7" x14ac:dyDescent="0.25">
      <c r="B15" s="97">
        <f t="shared" si="1"/>
        <v>2035</v>
      </c>
      <c r="C15" s="723">
        <f t="shared" si="0"/>
        <v>-90393.55</v>
      </c>
      <c r="D15" s="726">
        <f>C15*(1+0.07)^-(B15-Assumptions!$C$6)</f>
        <v>-32762.782398842621</v>
      </c>
    </row>
    <row r="16" spans="2:7" x14ac:dyDescent="0.25">
      <c r="B16" s="97">
        <f t="shared" si="1"/>
        <v>2036</v>
      </c>
      <c r="C16" s="723">
        <f t="shared" si="0"/>
        <v>-90393.55</v>
      </c>
      <c r="D16" s="726">
        <f>C16*(1+0.07)^-(B16-Assumptions!$C$6)</f>
        <v>-30619.42280265666</v>
      </c>
    </row>
    <row r="17" spans="1:7" x14ac:dyDescent="0.25">
      <c r="B17" s="97">
        <f t="shared" si="1"/>
        <v>2037</v>
      </c>
      <c r="C17" s="723">
        <f t="shared" si="0"/>
        <v>-90393.55</v>
      </c>
      <c r="D17" s="726">
        <f>C17*(1+0.07)^-(B17-Assumptions!$C$6)</f>
        <v>-28616.282993137069</v>
      </c>
    </row>
    <row r="18" spans="1:7" x14ac:dyDescent="0.25">
      <c r="B18" s="97">
        <f t="shared" si="1"/>
        <v>2038</v>
      </c>
      <c r="C18" s="723">
        <f t="shared" si="0"/>
        <v>-90393.55</v>
      </c>
      <c r="D18" s="726">
        <f>C18*(1+0.07)^-(B18-Assumptions!$C$6)</f>
        <v>-26744.18971321221</v>
      </c>
    </row>
    <row r="19" spans="1:7" x14ac:dyDescent="0.25">
      <c r="B19" s="97">
        <f t="shared" si="1"/>
        <v>2039</v>
      </c>
      <c r="C19" s="723">
        <f t="shared" si="0"/>
        <v>-90393.55</v>
      </c>
      <c r="D19" s="726">
        <f>C19*(1+0.07)^-(B19-Assumptions!$C$6)</f>
        <v>-24994.569825431972</v>
      </c>
    </row>
    <row r="20" spans="1:7" x14ac:dyDescent="0.25">
      <c r="B20" s="97">
        <f t="shared" si="1"/>
        <v>2040</v>
      </c>
      <c r="C20" s="723">
        <f t="shared" si="0"/>
        <v>-90393.55</v>
      </c>
      <c r="D20" s="726">
        <f>C20*(1+0.07)^-(B20-Assumptions!$C$6)</f>
        <v>-23359.411051805582</v>
      </c>
    </row>
    <row r="21" spans="1:7" x14ac:dyDescent="0.25">
      <c r="B21" s="97">
        <f t="shared" si="1"/>
        <v>2041</v>
      </c>
      <c r="C21" s="723">
        <f t="shared" si="0"/>
        <v>-90393.55</v>
      </c>
      <c r="D21" s="726">
        <f>C21*(1+0.07)^-(B21-Assumptions!$C$6)</f>
        <v>-21831.225282061292</v>
      </c>
    </row>
    <row r="22" spans="1:7" x14ac:dyDescent="0.25">
      <c r="B22" s="97">
        <f t="shared" si="1"/>
        <v>2042</v>
      </c>
      <c r="C22" s="723">
        <f t="shared" si="0"/>
        <v>-90393.55</v>
      </c>
      <c r="D22" s="726">
        <f>C22*(1+0.07)^-(B22-Assumptions!$C$6)</f>
        <v>-20403.014282300272</v>
      </c>
    </row>
    <row r="23" spans="1:7" x14ac:dyDescent="0.25">
      <c r="B23" s="97">
        <f t="shared" si="1"/>
        <v>2043</v>
      </c>
      <c r="C23" s="723">
        <f t="shared" si="0"/>
        <v>-90393.55</v>
      </c>
      <c r="D23" s="726">
        <f>C23*(1+0.07)^-(B23-Assumptions!$C$6)</f>
        <v>-19068.237647009599</v>
      </c>
    </row>
    <row r="24" spans="1:7" ht="15.75" thickBot="1" x14ac:dyDescent="0.3">
      <c r="B24" s="242">
        <f t="shared" si="1"/>
        <v>2044</v>
      </c>
      <c r="C24" s="724">
        <f t="shared" si="0"/>
        <v>-90393.55</v>
      </c>
      <c r="D24" s="727">
        <f>C24*(1+0.07)^-(B24-Assumptions!$C$6)</f>
        <v>-17820.782847672523</v>
      </c>
    </row>
    <row r="25" spans="1:7" ht="15.75" thickBot="1" x14ac:dyDescent="0.3">
      <c r="B25" s="32"/>
      <c r="C25" s="32" t="s">
        <v>4</v>
      </c>
      <c r="D25" s="234">
        <f>SUM(D5:D24)</f>
        <v>-730571.76639008615</v>
      </c>
    </row>
    <row r="27" spans="1:7" x14ac:dyDescent="0.25">
      <c r="B27" t="s">
        <v>3</v>
      </c>
    </row>
    <row r="28" spans="1:7" ht="15" customHeight="1" x14ac:dyDescent="0.25">
      <c r="A28" t="s">
        <v>32</v>
      </c>
      <c r="B28" s="612" t="s">
        <v>309</v>
      </c>
      <c r="C28" s="612"/>
      <c r="D28" s="612"/>
      <c r="E28" s="612"/>
      <c r="F28" s="612"/>
      <c r="G28" s="612"/>
    </row>
    <row r="29" spans="1:7" x14ac:dyDescent="0.25">
      <c r="B29" s="612"/>
      <c r="C29" s="612"/>
      <c r="D29" s="612"/>
      <c r="E29" s="612"/>
      <c r="F29" s="612"/>
      <c r="G29" s="612"/>
    </row>
    <row r="30" spans="1:7" x14ac:dyDescent="0.25">
      <c r="B30" s="612"/>
      <c r="C30" s="612"/>
      <c r="D30" s="612"/>
      <c r="E30" s="612"/>
      <c r="F30" s="612"/>
      <c r="G30" s="612"/>
    </row>
  </sheetData>
  <mergeCells count="4">
    <mergeCell ref="B3:B4"/>
    <mergeCell ref="C3:C4"/>
    <mergeCell ref="D3:D4"/>
    <mergeCell ref="B28:G30"/>
  </mergeCells>
  <pageMargins left="0.7" right="0.7" top="0.75" bottom="0.75" header="0.3" footer="0.3"/>
  <pageSetup scale="76"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0" tint="-0.34998626667073579"/>
  </sheetPr>
  <dimension ref="B2:I14"/>
  <sheetViews>
    <sheetView workbookViewId="0">
      <selection activeCell="G6" sqref="G6"/>
    </sheetView>
  </sheetViews>
  <sheetFormatPr defaultColWidth="8.85546875" defaultRowHeight="15" x14ac:dyDescent="0.25"/>
  <cols>
    <col min="2" max="2" width="23.140625" bestFit="1" customWidth="1"/>
    <col min="3" max="3" width="4.42578125" customWidth="1"/>
    <col min="4" max="4" width="20.42578125" customWidth="1"/>
  </cols>
  <sheetData>
    <row r="2" spans="2:9" ht="15.75" thickBot="1" x14ac:dyDescent="0.3">
      <c r="B2" s="5" t="s">
        <v>7</v>
      </c>
      <c r="G2" s="5" t="s">
        <v>33</v>
      </c>
    </row>
    <row r="3" spans="2:9" x14ac:dyDescent="0.25">
      <c r="B3" s="43" t="s">
        <v>8</v>
      </c>
      <c r="C3" s="44" t="s">
        <v>9</v>
      </c>
      <c r="D3" s="45">
        <f>(1+G3)^G4</f>
        <v>3.8696844624861795</v>
      </c>
      <c r="F3" s="50" t="s">
        <v>15</v>
      </c>
      <c r="G3" s="63">
        <v>7.0000000000000007E-2</v>
      </c>
      <c r="I3" t="s">
        <v>10</v>
      </c>
    </row>
    <row r="4" spans="2:9" x14ac:dyDescent="0.25">
      <c r="B4" s="46" t="s">
        <v>11</v>
      </c>
      <c r="C4" s="38" t="s">
        <v>9</v>
      </c>
      <c r="D4" s="47">
        <f>((1+G3)^G5-1)/(G3*(1+G3)^G5)</f>
        <v>11.65358317825372</v>
      </c>
      <c r="F4" s="51" t="s">
        <v>16</v>
      </c>
      <c r="G4" s="64">
        <v>20</v>
      </c>
      <c r="I4" t="s">
        <v>12</v>
      </c>
    </row>
    <row r="5" spans="2:9" ht="15.75" thickBot="1" x14ac:dyDescent="0.3">
      <c r="B5" s="48" t="s">
        <v>13</v>
      </c>
      <c r="C5" s="41" t="s">
        <v>9</v>
      </c>
      <c r="D5" s="49">
        <f>((1+G3)^G4-1)/(G3*(1+G3)^G4)</f>
        <v>10.59401424551616</v>
      </c>
      <c r="F5" s="52" t="s">
        <v>17</v>
      </c>
      <c r="G5" s="65">
        <v>25</v>
      </c>
      <c r="I5" t="s">
        <v>14</v>
      </c>
    </row>
    <row r="6" spans="2:9" ht="15.75" thickBot="1" x14ac:dyDescent="0.3">
      <c r="F6" s="53" t="s">
        <v>18</v>
      </c>
      <c r="G6" s="54">
        <f>D3*(D4-D5)/D4</f>
        <v>0.35184006268551071</v>
      </c>
    </row>
    <row r="9" spans="2:9" x14ac:dyDescent="0.25">
      <c r="E9">
        <v>3</v>
      </c>
      <c r="F9">
        <v>7</v>
      </c>
    </row>
    <row r="10" spans="2:9" x14ac:dyDescent="0.25">
      <c r="D10">
        <v>100</v>
      </c>
      <c r="E10" s="116">
        <v>0.95575347064936278</v>
      </c>
      <c r="F10" s="116">
        <v>0.99668901533542642</v>
      </c>
    </row>
    <row r="11" spans="2:9" x14ac:dyDescent="0.25">
      <c r="D11">
        <v>60</v>
      </c>
      <c r="E11" s="116">
        <v>0.83520510198329501</v>
      </c>
      <c r="F11" s="116">
        <v>0.94960729545289124</v>
      </c>
    </row>
    <row r="12" spans="2:9" x14ac:dyDescent="0.25">
      <c r="D12">
        <v>50</v>
      </c>
      <c r="E12" s="116">
        <v>0.76178084432220416</v>
      </c>
      <c r="F12" s="116">
        <v>0.89915725708762961</v>
      </c>
    </row>
    <row r="13" spans="2:9" x14ac:dyDescent="0.25">
      <c r="D13">
        <v>40</v>
      </c>
      <c r="E13" s="116">
        <v>0.6436349394688875</v>
      </c>
      <c r="F13" s="116">
        <v>0.79464788577092815</v>
      </c>
    </row>
    <row r="14" spans="2:9" x14ac:dyDescent="0.25">
      <c r="D14">
        <v>25</v>
      </c>
      <c r="E14" s="116">
        <v>0.26300283374317435</v>
      </c>
      <c r="F14" s="116">
        <v>0.35184006268551071</v>
      </c>
    </row>
  </sheetData>
  <pageMargins left="0.7" right="0.7" top="0.75" bottom="0.75" header="0.3" footer="0.3"/>
  <pageSetup paperSize="11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Assumptions</vt:lpstr>
      <vt:lpstr>BCA Summary</vt:lpstr>
      <vt:lpstr>Annualized Operations</vt:lpstr>
      <vt:lpstr>VMT-VHT</vt:lpstr>
      <vt:lpstr>Travel Time Cost Savings</vt:lpstr>
      <vt:lpstr>Operating Cost Savings</vt:lpstr>
      <vt:lpstr>Safety Benefits</vt:lpstr>
      <vt:lpstr>Air Quality</vt:lpstr>
      <vt:lpstr>Quality of Life Benefits </vt:lpstr>
      <vt:lpstr>Capital Costs</vt:lpstr>
      <vt:lpstr>Maintenance</vt:lpstr>
      <vt:lpstr>RCV Calculator</vt:lpstr>
      <vt:lpstr>'Air Quality'!Print_Area</vt:lpstr>
      <vt:lpstr>'Annualized Operations'!Print_Area</vt:lpstr>
      <vt:lpstr>Assumptions!Print_Area</vt:lpstr>
      <vt:lpstr>'BCA Summary'!Print_Area</vt:lpstr>
      <vt:lpstr>'Capital Costs'!Print_Area</vt:lpstr>
      <vt:lpstr>Maintenance!Print_Area</vt:lpstr>
      <vt:lpstr>'Operating Cost Savings'!Print_Area</vt:lpstr>
      <vt:lpstr>'Quality of Life Benefits '!Print_Area</vt:lpstr>
      <vt:lpstr>'Safety Benefits'!Print_Area</vt:lpstr>
      <vt:lpstr>'Travel Time Cost Savings'!Print_Area</vt:lpstr>
    </vt:vector>
  </TitlesOfParts>
  <Company>SRF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Loos</dc:creator>
  <cp:lastModifiedBy>Nicole Bitzan</cp:lastModifiedBy>
  <cp:lastPrinted>2019-03-04T18:55:28Z</cp:lastPrinted>
  <dcterms:created xsi:type="dcterms:W3CDTF">2013-05-17T20:57:43Z</dcterms:created>
  <dcterms:modified xsi:type="dcterms:W3CDTF">2022-04-12T18:31:06Z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m_Crash_Cost" linkTarget="Prop_Dam_Crash_Cost">
    <vt:r8>0</vt:r8>
  </property>
</Properties>
</file>