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K:\Trans\Grant Applications\2022 Grants\RAISE\Dakota County\BCA\"/>
    </mc:Choice>
  </mc:AlternateContent>
  <xr:revisionPtr revIDLastSave="0" documentId="13_ncr:1_{A9AB268B-9A85-4768-8B6B-2F48B5F7AC9E}" xr6:coauthVersionLast="47" xr6:coauthVersionMax="47" xr10:uidLastSave="{00000000-0000-0000-0000-000000000000}"/>
  <bookViews>
    <workbookView xWindow="28680" yWindow="-120" windowWidth="29040" windowHeight="15840" tabRatio="913" xr2:uid="{00000000-000D-0000-FFFF-FFFF00000000}"/>
  </bookViews>
  <sheets>
    <sheet name="Assumptions" sheetId="28" r:id="rId1"/>
    <sheet name="BCA Summary " sheetId="46" r:id="rId2"/>
    <sheet name="Travel Time - Interchange" sheetId="36" r:id="rId3"/>
    <sheet name="Air Quality" sheetId="58" r:id="rId4"/>
    <sheet name="Safety Benefits - Mainline" sheetId="30" r:id="rId5"/>
    <sheet name="Safety Benefits - Interchange" sheetId="50" r:id="rId6"/>
    <sheet name="Operating and Maintenance Costs" sheetId="48" r:id="rId7"/>
    <sheet name="Capital Cost and RCV Calc" sheetId="42" r:id="rId8"/>
    <sheet name="Build" sheetId="57" r:id="rId9"/>
    <sheet name="No Build" sheetId="56" r:id="rId10"/>
  </sheets>
  <externalReferences>
    <externalReference r:id="rId11"/>
    <externalReference r:id="rId12"/>
    <externalReference r:id="rId13"/>
    <externalReference r:id="rId14"/>
  </externalReferences>
  <definedNames>
    <definedName name="_xlnm._FilterDatabase" localSheetId="2" hidden="1">'Travel Time - Interchange'!$U$1:$U$94</definedName>
    <definedName name="_ftnref1" localSheetId="5">'Safety Benefits - Interchange'!$B$48</definedName>
    <definedName name="AnalysisPeriod">Assumptions!$K$34</definedName>
    <definedName name="AutoCost" localSheetId="2">[1]Assumptions!#REF!</definedName>
    <definedName name="AutoCost">Assumptions!$K$61</definedName>
    <definedName name="BCAnalysisPeriod" localSheetId="3">[2]Assumptions!#REF!</definedName>
    <definedName name="BCAnalysisPeriod" localSheetId="7">[3]Assumptions!#REF!</definedName>
    <definedName name="BCAnalysisPeriod" localSheetId="6">[3]Assumptions!#REF!</definedName>
    <definedName name="BCAnalysisPeriod" localSheetId="2">[4]Assumptions!#REF!</definedName>
    <definedName name="BCAnalysisPeriod">Assumptions!#REF!</definedName>
    <definedName name="CompositeCost" localSheetId="2">[1]Assumptions!#REF!</definedName>
    <definedName name="CompositeCost">Assumptions!$K$63</definedName>
    <definedName name="Daysinyr" localSheetId="2">[1]Assumptions!#REF!</definedName>
    <definedName name="Daysinyr">Assumptions!$K$57</definedName>
    <definedName name="DiscountRate" localSheetId="2">[1]Assumptions!#REF!</definedName>
    <definedName name="DiscountRate">Assumptions!$K$58</definedName>
    <definedName name="EndYear">Assumptions!$K$37</definedName>
    <definedName name="PeakLngthE">Assumptions!$K$17</definedName>
    <definedName name="PercentAutoW">Assumptions!$L$41</definedName>
    <definedName name="PercentAutoWO">Assumptions!$K$41</definedName>
    <definedName name="PercentTrucksW">Assumptions!$L$43</definedName>
    <definedName name="PercentTrucksWO">Assumptions!$K$43</definedName>
    <definedName name="PercTruckW">Assumptions!$L$43</definedName>
    <definedName name="PerTruckE">Assumptions!$K$43</definedName>
    <definedName name="PerTruckN">Assumptions!$L$43</definedName>
    <definedName name="_xlnm.Print_Area" localSheetId="3">'Air Quality'!$A$1:$AD$52</definedName>
    <definedName name="_xlnm.Print_Area" localSheetId="0">Assumptions!$B$2:$J$45</definedName>
    <definedName name="_xlnm.Print_Area" localSheetId="1">'BCA Summary '!$A$2:$M$85</definedName>
    <definedName name="_xlnm.Print_Area" localSheetId="7">'Capital Cost and RCV Calc'!$A$2:$V$61</definedName>
    <definedName name="_xlnm.Print_Area" localSheetId="6">'Operating and Maintenance Costs'!$A$2:$S$51</definedName>
    <definedName name="_xlnm.Print_Area" localSheetId="5">'Safety Benefits - Interchange'!$A$3:$P$59</definedName>
    <definedName name="_xlnm.Print_Area" localSheetId="4">'Safety Benefits - Mainline'!$A$3:$N$91</definedName>
    <definedName name="_xlnm.Print_Area" localSheetId="2">'Travel Time - Interchange'!$A$2:$R$100</definedName>
    <definedName name="ProjLoc" localSheetId="2">[1]Assumptions!$I$14</definedName>
    <definedName name="ProjLoc">Assumptions!$L$14</definedName>
    <definedName name="Projlocation">Assumptions!$I$15</definedName>
    <definedName name="ProjName">Assumptions!$I$6</definedName>
    <definedName name="solver_typ" localSheetId="7" hidden="1">2</definedName>
    <definedName name="solver_typ" localSheetId="6" hidden="1">2</definedName>
    <definedName name="solver_ver" localSheetId="7" hidden="1">17</definedName>
    <definedName name="solver_ver" localSheetId="6" hidden="1">17</definedName>
    <definedName name="SRFProjectNum">Assumptions!$I$5</definedName>
    <definedName name="StartYear">Assumptions!#REF!</definedName>
    <definedName name="TAccReductPer" localSheetId="2">[1]Assumptions!#REF!</definedName>
    <definedName name="TAccReductPer">Assumptions!$K$62</definedName>
    <definedName name="TAptFW" localSheetId="2">[1]Assumptions!#REF!</definedName>
    <definedName name="TAptFW">Assumptions!$K$57</definedName>
    <definedName name="TPerHwy" localSheetId="2">[1]Assumptions!#REF!</definedName>
    <definedName name="TPerHwy">Assumptions!$K$58</definedName>
    <definedName name="TruckCost" localSheetId="3">[2]Assumptions!#REF!</definedName>
    <definedName name="TruckCost" localSheetId="7">[3]Assumptions!#REF!</definedName>
    <definedName name="TruckCost" localSheetId="6">[3]Assumptions!#REF!</definedName>
    <definedName name="TruckCost" localSheetId="2">[4]Assumptions!#REF!</definedName>
    <definedName name="TruckCost">Assumptions!#REF!</definedName>
    <definedName name="TruckSpeed">Assumptions!$K$44</definedName>
    <definedName name="TVehMiBW" localSheetId="2">[1]Assumptions!#REF!</definedName>
    <definedName name="TVehMiBW">Assumptions!$L$59</definedName>
    <definedName name="TVehMiFW" localSheetId="2">[1]Assumptions!#REF!</definedName>
    <definedName name="TVehMiFW">Assumptions!$L$60</definedName>
    <definedName name="yrofanalysis" localSheetId="3">Assumptions!#REF!</definedName>
    <definedName name="yrofanalysis" localSheetId="2">[1]Assumptions!#REF!</definedName>
    <definedName name="yrofanalysis">Assumptions!#REF!</definedName>
    <definedName name="yrofcurrentdollars" localSheetId="3">Assumptions!#REF!</definedName>
    <definedName name="yrofcurrentdollars" localSheetId="2">[1]Assumptions!#REF!</definedName>
    <definedName name="yrofcurrentdollars">Assumptions!#REF!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5" i="46" l="1"/>
  <c r="L8" i="46"/>
  <c r="L9" i="46"/>
  <c r="L10" i="46"/>
  <c r="L11" i="46"/>
  <c r="L12" i="46"/>
  <c r="L13" i="46"/>
  <c r="L14" i="46"/>
  <c r="L15" i="46"/>
  <c r="L16" i="46"/>
  <c r="L17" i="46"/>
  <c r="L18" i="46"/>
  <c r="L19" i="46"/>
  <c r="L20" i="46"/>
  <c r="L21" i="46"/>
  <c r="L22" i="46"/>
  <c r="L23" i="46"/>
  <c r="L24" i="46"/>
  <c r="L25" i="46"/>
  <c r="L26" i="46"/>
  <c r="L27" i="46"/>
  <c r="L28" i="46"/>
  <c r="L29" i="46"/>
  <c r="L30" i="46"/>
  <c r="L7" i="46"/>
  <c r="K8" i="46"/>
  <c r="K9" i="46"/>
  <c r="K10" i="46"/>
  <c r="K11" i="46"/>
  <c r="K12" i="46"/>
  <c r="K13" i="46"/>
  <c r="K14" i="46"/>
  <c r="K15" i="46"/>
  <c r="K16" i="46"/>
  <c r="K17" i="46"/>
  <c r="K18" i="46"/>
  <c r="K19" i="46"/>
  <c r="K20" i="46"/>
  <c r="K21" i="46"/>
  <c r="K22" i="46"/>
  <c r="K23" i="46"/>
  <c r="K24" i="46"/>
  <c r="K25" i="46"/>
  <c r="K26" i="46"/>
  <c r="K27" i="46"/>
  <c r="K28" i="46"/>
  <c r="K29" i="46"/>
  <c r="K30" i="46"/>
  <c r="K7" i="46"/>
  <c r="J8" i="46"/>
  <c r="J9" i="46"/>
  <c r="J10" i="46"/>
  <c r="J11" i="46"/>
  <c r="J12" i="46"/>
  <c r="J13" i="46"/>
  <c r="J14" i="46"/>
  <c r="J15" i="46"/>
  <c r="J16" i="46"/>
  <c r="J17" i="46"/>
  <c r="J18" i="46"/>
  <c r="J19" i="46"/>
  <c r="J20" i="46"/>
  <c r="J21" i="46"/>
  <c r="J22" i="46"/>
  <c r="J23" i="46"/>
  <c r="J24" i="46"/>
  <c r="J25" i="46"/>
  <c r="J26" i="46"/>
  <c r="J27" i="46"/>
  <c r="J28" i="46"/>
  <c r="J29" i="46"/>
  <c r="J30" i="46"/>
  <c r="J31" i="46"/>
  <c r="J7" i="46"/>
  <c r="I8" i="46" l="1"/>
  <c r="I9" i="46"/>
  <c r="I10" i="46"/>
  <c r="I11" i="46"/>
  <c r="I12" i="46"/>
  <c r="I13" i="46"/>
  <c r="I14" i="46"/>
  <c r="I15" i="46"/>
  <c r="I16" i="46"/>
  <c r="I17" i="46"/>
  <c r="I18" i="46"/>
  <c r="I19" i="46"/>
  <c r="I20" i="46"/>
  <c r="I21" i="46"/>
  <c r="I22" i="46"/>
  <c r="I23" i="46"/>
  <c r="I24" i="46"/>
  <c r="I25" i="46"/>
  <c r="I26" i="46"/>
  <c r="I27" i="46"/>
  <c r="I28" i="46"/>
  <c r="I29" i="46"/>
  <c r="I30" i="46"/>
  <c r="I31" i="46"/>
  <c r="I7" i="46"/>
  <c r="H8" i="46"/>
  <c r="H9" i="46"/>
  <c r="H10" i="46"/>
  <c r="H11" i="46"/>
  <c r="H12" i="46"/>
  <c r="H13" i="46"/>
  <c r="H14" i="46"/>
  <c r="H15" i="46"/>
  <c r="H16" i="46"/>
  <c r="H17" i="46"/>
  <c r="H18" i="46"/>
  <c r="H19" i="46"/>
  <c r="H20" i="46"/>
  <c r="H21" i="46"/>
  <c r="H22" i="46"/>
  <c r="H23" i="46"/>
  <c r="H24" i="46"/>
  <c r="H25" i="46"/>
  <c r="H26" i="46"/>
  <c r="H27" i="46"/>
  <c r="H28" i="46"/>
  <c r="H29" i="46"/>
  <c r="H30" i="46"/>
  <c r="H31" i="46"/>
  <c r="H7" i="46"/>
  <c r="G8" i="46"/>
  <c r="G9" i="46"/>
  <c r="G10" i="46"/>
  <c r="G11" i="46"/>
  <c r="G12" i="46"/>
  <c r="G13" i="46"/>
  <c r="G14" i="46"/>
  <c r="G15" i="46"/>
  <c r="G16" i="46"/>
  <c r="G17" i="46"/>
  <c r="G18" i="46"/>
  <c r="G19" i="46"/>
  <c r="G20" i="46"/>
  <c r="G21" i="46"/>
  <c r="G22" i="46"/>
  <c r="G23" i="46"/>
  <c r="G24" i="46"/>
  <c r="G25" i="46"/>
  <c r="G26" i="46"/>
  <c r="G27" i="46"/>
  <c r="G28" i="46"/>
  <c r="G29" i="46"/>
  <c r="G30" i="46"/>
  <c r="G31" i="46"/>
  <c r="G7" i="46"/>
  <c r="F8" i="46"/>
  <c r="F9" i="46"/>
  <c r="F10" i="46"/>
  <c r="F11" i="46"/>
  <c r="F12" i="46"/>
  <c r="F13" i="46"/>
  <c r="F14" i="46"/>
  <c r="F15" i="46"/>
  <c r="F16" i="46"/>
  <c r="F17" i="46"/>
  <c r="F18" i="46"/>
  <c r="F19" i="46"/>
  <c r="F20" i="46"/>
  <c r="F21" i="46"/>
  <c r="F22" i="46"/>
  <c r="F23" i="46"/>
  <c r="F24" i="46"/>
  <c r="F25" i="46"/>
  <c r="F26" i="46"/>
  <c r="F27" i="46"/>
  <c r="F28" i="46"/>
  <c r="F29" i="46"/>
  <c r="F30" i="46"/>
  <c r="F31" i="46"/>
  <c r="F7" i="46"/>
  <c r="E8" i="46"/>
  <c r="E9" i="46"/>
  <c r="E10" i="46"/>
  <c r="E11" i="46"/>
  <c r="E12" i="46"/>
  <c r="E13" i="46"/>
  <c r="E14" i="46"/>
  <c r="E15" i="46"/>
  <c r="E16" i="46"/>
  <c r="E17" i="46"/>
  <c r="E18" i="46"/>
  <c r="E19" i="46"/>
  <c r="E20" i="46"/>
  <c r="E21" i="46"/>
  <c r="E22" i="46"/>
  <c r="E23" i="46"/>
  <c r="E24" i="46"/>
  <c r="E25" i="46"/>
  <c r="E26" i="46"/>
  <c r="E27" i="46"/>
  <c r="E28" i="46"/>
  <c r="E29" i="46"/>
  <c r="E30" i="46"/>
  <c r="E31" i="46"/>
  <c r="E7" i="46"/>
  <c r="D8" i="46"/>
  <c r="D9" i="46"/>
  <c r="D10" i="46"/>
  <c r="D11" i="46"/>
  <c r="D12" i="46"/>
  <c r="D13" i="46"/>
  <c r="D14" i="46"/>
  <c r="D15" i="46"/>
  <c r="D16" i="46"/>
  <c r="D17" i="46"/>
  <c r="D18" i="46"/>
  <c r="D19" i="46"/>
  <c r="D20" i="46"/>
  <c r="D21" i="46"/>
  <c r="D22" i="46"/>
  <c r="D23" i="46"/>
  <c r="D24" i="46"/>
  <c r="D25" i="46"/>
  <c r="D26" i="46"/>
  <c r="D27" i="46"/>
  <c r="D28" i="46"/>
  <c r="D29" i="46"/>
  <c r="D30" i="46"/>
  <c r="D31" i="46"/>
  <c r="D7" i="46"/>
  <c r="C8" i="46"/>
  <c r="C9" i="46"/>
  <c r="C10" i="46"/>
  <c r="C11" i="46"/>
  <c r="C12" i="46"/>
  <c r="C13" i="46"/>
  <c r="C14" i="46"/>
  <c r="C15" i="46"/>
  <c r="C16" i="46"/>
  <c r="C17" i="46"/>
  <c r="C18" i="46"/>
  <c r="C19" i="46"/>
  <c r="C20" i="46"/>
  <c r="C21" i="46"/>
  <c r="C22" i="46"/>
  <c r="C23" i="46"/>
  <c r="C24" i="46"/>
  <c r="C25" i="46"/>
  <c r="C26" i="46"/>
  <c r="C27" i="46"/>
  <c r="C28" i="46"/>
  <c r="C29" i="46"/>
  <c r="C30" i="46"/>
  <c r="C31" i="46"/>
  <c r="K31" i="46" s="1"/>
  <c r="C7" i="46"/>
  <c r="C5" i="58"/>
  <c r="M24" i="58"/>
  <c r="N24" i="58" s="1"/>
  <c r="P24" i="58" s="1"/>
  <c r="L24" i="58"/>
  <c r="K24" i="58"/>
  <c r="J24" i="58"/>
  <c r="L23" i="58"/>
  <c r="M23" i="58" s="1"/>
  <c r="K23" i="58"/>
  <c r="J23" i="58"/>
  <c r="L22" i="58"/>
  <c r="K22" i="58"/>
  <c r="M22" i="58" s="1"/>
  <c r="J22" i="58"/>
  <c r="L21" i="58"/>
  <c r="K21" i="58"/>
  <c r="J21" i="58"/>
  <c r="M21" i="58" s="1"/>
  <c r="M20" i="58"/>
  <c r="N20" i="58" s="1"/>
  <c r="P20" i="58" s="1"/>
  <c r="L20" i="58"/>
  <c r="K20" i="58"/>
  <c r="J20" i="58"/>
  <c r="L19" i="58"/>
  <c r="M19" i="58" s="1"/>
  <c r="K19" i="58"/>
  <c r="J19" i="58"/>
  <c r="L18" i="58"/>
  <c r="K18" i="58"/>
  <c r="M18" i="58" s="1"/>
  <c r="J18" i="58"/>
  <c r="L17" i="58"/>
  <c r="K17" i="58"/>
  <c r="J17" i="58"/>
  <c r="M17" i="58" s="1"/>
  <c r="M16" i="58"/>
  <c r="O16" i="58" s="1"/>
  <c r="L16" i="58"/>
  <c r="K16" i="58"/>
  <c r="J16" i="58"/>
  <c r="L15" i="58"/>
  <c r="M15" i="58" s="1"/>
  <c r="K15" i="58"/>
  <c r="J15" i="58"/>
  <c r="L14" i="58"/>
  <c r="K14" i="58"/>
  <c r="M14" i="58" s="1"/>
  <c r="J14" i="58"/>
  <c r="L13" i="58"/>
  <c r="K13" i="58"/>
  <c r="J13" i="58"/>
  <c r="M13" i="58" s="1"/>
  <c r="M12" i="58"/>
  <c r="N12" i="58" s="1"/>
  <c r="P12" i="58" s="1"/>
  <c r="L12" i="58"/>
  <c r="K12" i="58"/>
  <c r="J12" i="58"/>
  <c r="L11" i="58"/>
  <c r="M11" i="58" s="1"/>
  <c r="K11" i="58"/>
  <c r="J11" i="58"/>
  <c r="L10" i="58"/>
  <c r="K10" i="58"/>
  <c r="J10" i="58"/>
  <c r="M10" i="58" s="1"/>
  <c r="L9" i="58"/>
  <c r="K9" i="58"/>
  <c r="J9" i="58"/>
  <c r="M9" i="58" s="1"/>
  <c r="M8" i="58"/>
  <c r="O8" i="58" s="1"/>
  <c r="L8" i="58"/>
  <c r="K8" i="58"/>
  <c r="J8" i="58"/>
  <c r="L7" i="58"/>
  <c r="M7" i="58" s="1"/>
  <c r="K7" i="58"/>
  <c r="J7" i="58"/>
  <c r="L6" i="58"/>
  <c r="K6" i="58"/>
  <c r="J6" i="58"/>
  <c r="M6" i="58" s="1"/>
  <c r="K5" i="58"/>
  <c r="I24" i="58"/>
  <c r="H24" i="58"/>
  <c r="G24" i="58"/>
  <c r="I23" i="58"/>
  <c r="H23" i="58"/>
  <c r="G23" i="58"/>
  <c r="I22" i="58"/>
  <c r="H22" i="58"/>
  <c r="G22" i="58"/>
  <c r="I21" i="58"/>
  <c r="H21" i="58"/>
  <c r="G21" i="58"/>
  <c r="I20" i="58"/>
  <c r="H20" i="58"/>
  <c r="G20" i="58"/>
  <c r="I19" i="58"/>
  <c r="H19" i="58"/>
  <c r="G19" i="58"/>
  <c r="I18" i="58"/>
  <c r="H18" i="58"/>
  <c r="G18" i="58"/>
  <c r="I17" i="58"/>
  <c r="H17" i="58"/>
  <c r="G17" i="58"/>
  <c r="I16" i="58"/>
  <c r="H16" i="58"/>
  <c r="G16" i="58"/>
  <c r="I15" i="58"/>
  <c r="H15" i="58"/>
  <c r="G15" i="58"/>
  <c r="I14" i="58"/>
  <c r="H14" i="58"/>
  <c r="G14" i="58"/>
  <c r="I13" i="58"/>
  <c r="H13" i="58"/>
  <c r="G13" i="58"/>
  <c r="I12" i="58"/>
  <c r="H12" i="58"/>
  <c r="G12" i="58"/>
  <c r="I11" i="58"/>
  <c r="H11" i="58"/>
  <c r="G11" i="58"/>
  <c r="I10" i="58"/>
  <c r="H10" i="58"/>
  <c r="G10" i="58"/>
  <c r="I9" i="58"/>
  <c r="H9" i="58"/>
  <c r="G9" i="58"/>
  <c r="I8" i="58"/>
  <c r="H8" i="58"/>
  <c r="G8" i="58"/>
  <c r="I7" i="58"/>
  <c r="H7" i="58"/>
  <c r="G7" i="58"/>
  <c r="I6" i="58"/>
  <c r="H6" i="58"/>
  <c r="G6" i="58"/>
  <c r="I5" i="58"/>
  <c r="H5" i="58"/>
  <c r="G5" i="58"/>
  <c r="P34" i="58"/>
  <c r="P33" i="58"/>
  <c r="P32" i="58"/>
  <c r="P31" i="58"/>
  <c r="P30" i="58"/>
  <c r="P29" i="58"/>
  <c r="P28" i="58"/>
  <c r="P27" i="58"/>
  <c r="P26" i="58"/>
  <c r="Z17" i="58"/>
  <c r="Y17" i="58"/>
  <c r="L31" i="46" l="1"/>
  <c r="N9" i="58"/>
  <c r="P9" i="58" s="1"/>
  <c r="O9" i="58"/>
  <c r="O11" i="58"/>
  <c r="N11" i="58"/>
  <c r="P11" i="58" s="1"/>
  <c r="O13" i="58"/>
  <c r="N13" i="58"/>
  <c r="P13" i="58" s="1"/>
  <c r="N14" i="58"/>
  <c r="P14" i="58" s="1"/>
  <c r="O14" i="58"/>
  <c r="O15" i="58"/>
  <c r="N15" i="58"/>
  <c r="P15" i="58" s="1"/>
  <c r="N6" i="58"/>
  <c r="P6" i="58" s="1"/>
  <c r="O6" i="58"/>
  <c r="O17" i="58"/>
  <c r="N17" i="58"/>
  <c r="P17" i="58" s="1"/>
  <c r="N18" i="58"/>
  <c r="P18" i="58" s="1"/>
  <c r="O18" i="58"/>
  <c r="O19" i="58"/>
  <c r="N19" i="58"/>
  <c r="P19" i="58" s="1"/>
  <c r="O7" i="58"/>
  <c r="N7" i="58"/>
  <c r="P7" i="58" s="1"/>
  <c r="N10" i="58"/>
  <c r="P10" i="58" s="1"/>
  <c r="O10" i="58"/>
  <c r="O21" i="58"/>
  <c r="N21" i="58"/>
  <c r="P21" i="58" s="1"/>
  <c r="N22" i="58"/>
  <c r="P22" i="58" s="1"/>
  <c r="O22" i="58"/>
  <c r="O23" i="58"/>
  <c r="N23" i="58"/>
  <c r="P23" i="58" s="1"/>
  <c r="N8" i="58"/>
  <c r="P8" i="58" s="1"/>
  <c r="N16" i="58"/>
  <c r="P16" i="58" s="1"/>
  <c r="O12" i="58"/>
  <c r="O20" i="58"/>
  <c r="O24" i="58"/>
  <c r="C31" i="48"/>
  <c r="K11" i="42"/>
  <c r="K7" i="42"/>
  <c r="D34" i="48"/>
  <c r="C34" i="48"/>
  <c r="D33" i="48"/>
  <c r="C33" i="48"/>
  <c r="D32" i="48"/>
  <c r="C32" i="48"/>
  <c r="D31" i="48"/>
  <c r="D30" i="48"/>
  <c r="C30" i="48"/>
  <c r="D29" i="48"/>
  <c r="C29" i="48"/>
  <c r="D28" i="48"/>
  <c r="C28" i="48"/>
  <c r="D27" i="48"/>
  <c r="C27" i="48"/>
  <c r="D26" i="48"/>
  <c r="C26" i="48"/>
  <c r="D25" i="48"/>
  <c r="C25" i="48"/>
  <c r="D24" i="48"/>
  <c r="C24" i="48"/>
  <c r="D23" i="48"/>
  <c r="C23" i="48"/>
  <c r="D22" i="48"/>
  <c r="C22" i="48"/>
  <c r="D21" i="48"/>
  <c r="C21" i="48"/>
  <c r="D20" i="48"/>
  <c r="C20" i="48"/>
  <c r="D19" i="48"/>
  <c r="C19" i="48"/>
  <c r="D18" i="48"/>
  <c r="C18" i="48"/>
  <c r="D17" i="48"/>
  <c r="C17" i="48"/>
  <c r="D16" i="48"/>
  <c r="C16" i="48"/>
  <c r="D15" i="48"/>
  <c r="C15" i="48"/>
  <c r="D14" i="48"/>
  <c r="C14" i="48"/>
  <c r="D13" i="48"/>
  <c r="C13" i="48"/>
  <c r="D12" i="48"/>
  <c r="C12" i="48"/>
  <c r="D11" i="48"/>
  <c r="C11" i="48"/>
  <c r="D10" i="48"/>
  <c r="C10" i="48"/>
  <c r="D9" i="48"/>
  <c r="C9" i="48"/>
  <c r="D8" i="48"/>
  <c r="C8" i="48"/>
  <c r="D7" i="48"/>
  <c r="C7" i="48"/>
  <c r="D6" i="48"/>
  <c r="C6" i="48"/>
  <c r="D5" i="48"/>
  <c r="C5" i="48"/>
  <c r="Q11" i="48"/>
  <c r="V44" i="58" l="1"/>
  <c r="V45" i="58" s="1"/>
  <c r="V46" i="58" s="1"/>
  <c r="V47" i="58" s="1"/>
  <c r="V48" i="58" s="1"/>
  <c r="U44" i="58"/>
  <c r="U45" i="58" s="1"/>
  <c r="U46" i="58" s="1"/>
  <c r="U47" i="58" s="1"/>
  <c r="U48" i="58" s="1"/>
  <c r="T44" i="58"/>
  <c r="T45" i="58" s="1"/>
  <c r="T46" i="58" s="1"/>
  <c r="T47" i="58" s="1"/>
  <c r="T48" i="58" s="1"/>
  <c r="S44" i="58"/>
  <c r="S45" i="58" s="1"/>
  <c r="S46" i="58" s="1"/>
  <c r="S47" i="58" s="1"/>
  <c r="S48" i="58" s="1"/>
  <c r="AK26" i="58"/>
  <c r="AJ26" i="58"/>
  <c r="AI26" i="58"/>
  <c r="AH26" i="58"/>
  <c r="AK25" i="58"/>
  <c r="V7" i="58" s="1"/>
  <c r="AJ25" i="58"/>
  <c r="U7" i="58" s="1"/>
  <c r="AI25" i="58"/>
  <c r="T7" i="58" s="1"/>
  <c r="AH25" i="58"/>
  <c r="S7" i="58" s="1"/>
  <c r="Y6" i="58"/>
  <c r="Y13" i="58" s="1"/>
  <c r="Y21" i="58" l="1"/>
  <c r="Z21" i="58"/>
  <c r="C5" i="57" l="1"/>
  <c r="C6" i="57"/>
  <c r="C13" i="57"/>
  <c r="C14" i="57"/>
  <c r="C15" i="57"/>
  <c r="C16" i="57"/>
  <c r="C17" i="57"/>
  <c r="C18" i="57"/>
  <c r="C19" i="57"/>
  <c r="C20" i="57"/>
  <c r="C21" i="57"/>
  <c r="C22" i="57"/>
  <c r="C23" i="57"/>
  <c r="C24" i="57"/>
  <c r="C25" i="57"/>
  <c r="C27" i="57"/>
  <c r="C5" i="56"/>
  <c r="C6" i="56"/>
  <c r="C7" i="56"/>
  <c r="C27" i="56" s="1"/>
  <c r="C10" i="56"/>
  <c r="C11" i="56"/>
  <c r="C12" i="56"/>
  <c r="C13" i="56"/>
  <c r="C14" i="56"/>
  <c r="C15" i="56"/>
  <c r="C16" i="56"/>
  <c r="C17" i="56"/>
  <c r="C18" i="56"/>
  <c r="C21" i="56"/>
  <c r="C22" i="56"/>
  <c r="C23" i="56"/>
  <c r="C24" i="56"/>
  <c r="C25" i="56"/>
  <c r="J6" i="36"/>
  <c r="J5" i="36"/>
  <c r="I10" i="36" s="1"/>
  <c r="J33" i="48"/>
  <c r="J34" i="48"/>
  <c r="J35" i="48"/>
  <c r="J36" i="48"/>
  <c r="E34" i="48"/>
  <c r="F34" i="48" s="1"/>
  <c r="E33" i="48"/>
  <c r="F33" i="48" s="1"/>
  <c r="E32" i="48"/>
  <c r="F32" i="48" s="1"/>
  <c r="E31" i="48"/>
  <c r="F31" i="48" s="1"/>
  <c r="J10" i="36"/>
  <c r="N33" i="48" l="1"/>
  <c r="N34" i="48"/>
  <c r="N35" i="48"/>
  <c r="N36" i="48"/>
  <c r="N32" i="48"/>
  <c r="E30" i="48" l="1"/>
  <c r="F30" i="48" s="1"/>
  <c r="E29" i="48"/>
  <c r="F29" i="48" s="1"/>
  <c r="E28" i="48"/>
  <c r="F28" i="48" s="1"/>
  <c r="E19" i="48"/>
  <c r="E9" i="48"/>
  <c r="E8" i="48"/>
  <c r="F8" i="48" l="1"/>
  <c r="F9" i="48"/>
  <c r="F19" i="48"/>
  <c r="AC9" i="36"/>
  <c r="AC7" i="36"/>
  <c r="J61" i="30" l="1"/>
  <c r="J60" i="30"/>
  <c r="J59" i="30"/>
  <c r="J58" i="30"/>
  <c r="J57" i="30"/>
  <c r="J56" i="30"/>
  <c r="L60" i="30"/>
  <c r="L61" i="30"/>
  <c r="L59" i="30"/>
  <c r="L58" i="30"/>
  <c r="L57" i="30"/>
  <c r="L56" i="30"/>
  <c r="K61" i="30"/>
  <c r="I61" i="30" s="1"/>
  <c r="K60" i="30"/>
  <c r="I60" i="30" s="1"/>
  <c r="K59" i="30"/>
  <c r="I59" i="30" s="1"/>
  <c r="K58" i="30"/>
  <c r="I58" i="30" s="1"/>
  <c r="K57" i="30"/>
  <c r="I57" i="30" s="1"/>
  <c r="K56" i="30"/>
  <c r="I56" i="30" s="1"/>
  <c r="K26" i="30"/>
  <c r="M35" i="30" s="1"/>
  <c r="K25" i="30"/>
  <c r="M34" i="30" s="1"/>
  <c r="K24" i="30"/>
  <c r="M33" i="30" s="1"/>
  <c r="K23" i="30"/>
  <c r="M32" i="30" s="1"/>
  <c r="K22" i="30"/>
  <c r="M31" i="30" s="1"/>
  <c r="K21" i="30"/>
  <c r="M30" i="30" s="1"/>
  <c r="J31" i="30" l="1"/>
  <c r="J32" i="30"/>
  <c r="J33" i="30"/>
  <c r="I35" i="30"/>
  <c r="N35" i="30" s="1"/>
  <c r="J70" i="30" s="1"/>
  <c r="J35" i="30"/>
  <c r="J30" i="30"/>
  <c r="I34" i="30"/>
  <c r="K30" i="30"/>
  <c r="K31" i="30"/>
  <c r="K32" i="30"/>
  <c r="K33" i="30"/>
  <c r="K34" i="30"/>
  <c r="K35" i="30"/>
  <c r="I30" i="30"/>
  <c r="I33" i="30"/>
  <c r="L30" i="30"/>
  <c r="L31" i="30"/>
  <c r="L32" i="30"/>
  <c r="L33" i="30"/>
  <c r="L34" i="30"/>
  <c r="L35" i="30"/>
  <c r="J34" i="30"/>
  <c r="I31" i="30"/>
  <c r="I32" i="30"/>
  <c r="N30" i="30" l="1"/>
  <c r="K65" i="30" s="1"/>
  <c r="L70" i="30"/>
  <c r="I70" i="30"/>
  <c r="L65" i="30"/>
  <c r="N32" i="30"/>
  <c r="N31" i="30"/>
  <c r="N33" i="30"/>
  <c r="N34" i="30"/>
  <c r="K70" i="30"/>
  <c r="I65" i="30"/>
  <c r="J65" i="30" l="1"/>
  <c r="I68" i="30"/>
  <c r="L68" i="30"/>
  <c r="K68" i="30"/>
  <c r="J68" i="30"/>
  <c r="J66" i="30"/>
  <c r="I66" i="30"/>
  <c r="L66" i="30"/>
  <c r="K66" i="30"/>
  <c r="L67" i="30"/>
  <c r="I67" i="30"/>
  <c r="K67" i="30"/>
  <c r="J67" i="30"/>
  <c r="K69" i="30"/>
  <c r="I69" i="30"/>
  <c r="L69" i="30"/>
  <c r="J69" i="30"/>
  <c r="L71" i="30" l="1"/>
  <c r="J71" i="30"/>
  <c r="I71" i="30"/>
  <c r="K71" i="30"/>
  <c r="K29" i="50" l="1"/>
  <c r="K28" i="50"/>
  <c r="I29" i="50"/>
  <c r="I28" i="50"/>
  <c r="K30" i="50" l="1"/>
  <c r="AC36" i="36" l="1"/>
  <c r="AC34" i="36"/>
  <c r="AC30" i="36"/>
  <c r="AC28" i="36"/>
  <c r="AC15" i="36"/>
  <c r="AC13" i="36"/>
  <c r="AA37" i="36"/>
  <c r="X37" i="36" s="1"/>
  <c r="AA36" i="36"/>
  <c r="AA35" i="36"/>
  <c r="AA34" i="36"/>
  <c r="X34" i="36" s="1"/>
  <c r="AA30" i="36"/>
  <c r="AA28" i="36"/>
  <c r="AA16" i="36"/>
  <c r="X16" i="36" s="1"/>
  <c r="AA15" i="36"/>
  <c r="AA14" i="36"/>
  <c r="AA13" i="36"/>
  <c r="AA9" i="36"/>
  <c r="AA7" i="36"/>
  <c r="W40" i="36" l="1"/>
  <c r="X14" i="36"/>
  <c r="M14" i="36"/>
  <c r="X35" i="36"/>
  <c r="M15" i="36"/>
  <c r="L24" i="50" s="1"/>
  <c r="X30" i="36"/>
  <c r="AA31" i="36"/>
  <c r="X31" i="36" s="1"/>
  <c r="AA8" i="36"/>
  <c r="X7" i="36"/>
  <c r="X9" i="36"/>
  <c r="AA10" i="36"/>
  <c r="X10" i="36" s="1"/>
  <c r="AA29" i="36"/>
  <c r="X28" i="36"/>
  <c r="X15" i="36"/>
  <c r="X13" i="36"/>
  <c r="J14" i="36"/>
  <c r="I23" i="50" s="1"/>
  <c r="J15" i="36"/>
  <c r="I24" i="50" s="1"/>
  <c r="X29" i="36" l="1"/>
  <c r="L15" i="36"/>
  <c r="K24" i="50" s="1"/>
  <c r="L29" i="50" s="1"/>
  <c r="X8" i="36"/>
  <c r="L14" i="36"/>
  <c r="N33" i="36" s="1"/>
  <c r="L23" i="50"/>
  <c r="X36" i="36"/>
  <c r="N74" i="36"/>
  <c r="N78" i="36"/>
  <c r="N94" i="36"/>
  <c r="N68" i="36"/>
  <c r="N90" i="36" l="1"/>
  <c r="N50" i="36"/>
  <c r="N86" i="36"/>
  <c r="N40" i="36"/>
  <c r="N36" i="36"/>
  <c r="N39" i="36"/>
  <c r="N82" i="36"/>
  <c r="N67" i="36"/>
  <c r="N66" i="36"/>
  <c r="N93" i="36"/>
  <c r="N89" i="36"/>
  <c r="N85" i="36"/>
  <c r="N81" i="36"/>
  <c r="N77" i="36"/>
  <c r="N73" i="36"/>
  <c r="N64" i="36"/>
  <c r="N70" i="36"/>
  <c r="N92" i="36"/>
  <c r="N88" i="36"/>
  <c r="N84" i="36"/>
  <c r="N80" i="36"/>
  <c r="N76" i="36"/>
  <c r="N72" i="36"/>
  <c r="N31" i="36"/>
  <c r="N69" i="36"/>
  <c r="N65" i="36"/>
  <c r="N91" i="36"/>
  <c r="N87" i="36"/>
  <c r="N83" i="36"/>
  <c r="N79" i="36"/>
  <c r="N75" i="36"/>
  <c r="N71" i="36"/>
  <c r="N32" i="36"/>
  <c r="N48" i="36"/>
  <c r="N42" i="36"/>
  <c r="N47" i="36"/>
  <c r="N56" i="36"/>
  <c r="N53" i="36"/>
  <c r="N52" i="36"/>
  <c r="N59" i="36"/>
  <c r="K23" i="50"/>
  <c r="L28" i="50" s="1"/>
  <c r="L30" i="50" s="1"/>
  <c r="N60" i="36"/>
  <c r="N35" i="36"/>
  <c r="N43" i="36"/>
  <c r="N54" i="36"/>
  <c r="N46" i="36"/>
  <c r="N34" i="36"/>
  <c r="N41" i="36"/>
  <c r="N58" i="36"/>
  <c r="N37" i="36"/>
  <c r="N51" i="36"/>
  <c r="N57" i="36"/>
  <c r="N38" i="36"/>
  <c r="N45" i="36"/>
  <c r="N49" i="36"/>
  <c r="N55" i="36"/>
  <c r="N44" i="36"/>
  <c r="N30" i="36"/>
  <c r="E25" i="48"/>
  <c r="F25" i="48" s="1"/>
  <c r="E24" i="48"/>
  <c r="E23" i="48"/>
  <c r="E22" i="48"/>
  <c r="E21" i="48"/>
  <c r="E18" i="48"/>
  <c r="E17" i="48"/>
  <c r="E16" i="48"/>
  <c r="E15" i="48"/>
  <c r="E14" i="48"/>
  <c r="E13" i="48"/>
  <c r="E12" i="48"/>
  <c r="E11" i="48"/>
  <c r="E10" i="48"/>
  <c r="E7" i="48"/>
  <c r="E6" i="48"/>
  <c r="E5" i="48"/>
  <c r="F6" i="48" l="1"/>
  <c r="F23" i="48"/>
  <c r="F22" i="48"/>
  <c r="F13" i="48"/>
  <c r="F14" i="48"/>
  <c r="F18" i="48"/>
  <c r="F24" i="48"/>
  <c r="F12" i="48"/>
  <c r="F16" i="48"/>
  <c r="F7" i="48"/>
  <c r="F17" i="48"/>
  <c r="F10" i="48"/>
  <c r="F5" i="48"/>
  <c r="F11" i="48"/>
  <c r="F15" i="48"/>
  <c r="F21" i="48"/>
  <c r="J32" i="48"/>
  <c r="E20" i="48"/>
  <c r="B8" i="46"/>
  <c r="B9" i="46" l="1"/>
  <c r="F20" i="48"/>
  <c r="E26" i="48"/>
  <c r="F26" i="48" s="1"/>
  <c r="E27" i="48"/>
  <c r="F27" i="48" s="1"/>
  <c r="K28" i="42"/>
  <c r="L28" i="42" s="1"/>
  <c r="K27" i="42"/>
  <c r="L27" i="42" s="1"/>
  <c r="L23" i="42"/>
  <c r="L22" i="42"/>
  <c r="E5" i="42" l="1"/>
  <c r="B10" i="46"/>
  <c r="F5" i="42"/>
  <c r="G5" i="42" s="1"/>
  <c r="H5" i="42" s="1"/>
  <c r="M28" i="42"/>
  <c r="M27" i="42"/>
  <c r="B11" i="46" l="1"/>
  <c r="B12" i="46" s="1"/>
  <c r="B13" i="46" s="1"/>
  <c r="B14" i="46" s="1"/>
  <c r="B15" i="46" s="1"/>
  <c r="B16" i="46" s="1"/>
  <c r="B17" i="46" s="1"/>
  <c r="B18" i="46" s="1"/>
  <c r="B19" i="46" s="1"/>
  <c r="B20" i="46" s="1"/>
  <c r="B21" i="46" s="1"/>
  <c r="B22" i="46" s="1"/>
  <c r="B23" i="46" s="1"/>
  <c r="B24" i="46" s="1"/>
  <c r="B25" i="46" s="1"/>
  <c r="B26" i="46" s="1"/>
  <c r="B27" i="46" s="1"/>
  <c r="B28" i="46" s="1"/>
  <c r="B29" i="46" s="1"/>
  <c r="B30" i="46" s="1"/>
  <c r="B31" i="46" s="1"/>
  <c r="M16" i="42"/>
  <c r="C6" i="42" s="1"/>
  <c r="M17" i="42"/>
  <c r="C7" i="42" s="1"/>
  <c r="M18" i="42"/>
  <c r="C8" i="42" s="1"/>
  <c r="M15" i="42"/>
  <c r="C5" i="42" s="1"/>
  <c r="D45" i="46" s="1"/>
  <c r="B32" i="46" l="1"/>
  <c r="D5" i="42"/>
  <c r="AC8" i="36"/>
  <c r="AC10" i="36"/>
  <c r="AC37" i="36"/>
  <c r="AC35" i="36"/>
  <c r="AC31" i="36"/>
  <c r="AC29" i="36"/>
  <c r="AC16" i="36"/>
  <c r="AC14" i="36"/>
  <c r="J32" i="46" l="1"/>
  <c r="I32" i="46"/>
  <c r="E32" i="46"/>
  <c r="H32" i="46"/>
  <c r="D32" i="46"/>
  <c r="G32" i="46"/>
  <c r="C32" i="46"/>
  <c r="K32" i="46" s="1"/>
  <c r="F32" i="46"/>
  <c r="L32" i="46" s="1"/>
  <c r="B33" i="46"/>
  <c r="Z16" i="36"/>
  <c r="Y16" i="36" s="1"/>
  <c r="Z14" i="36"/>
  <c r="Y14" i="36" s="1"/>
  <c r="K14" i="36"/>
  <c r="J23" i="50" s="1"/>
  <c r="J28" i="50" s="1"/>
  <c r="K15" i="36"/>
  <c r="J24" i="50" s="1"/>
  <c r="J29" i="50" s="1"/>
  <c r="Z7" i="36"/>
  <c r="Y7" i="36" s="1"/>
  <c r="Z29" i="36"/>
  <c r="Y29" i="36" s="1"/>
  <c r="Z34" i="36"/>
  <c r="Y34" i="36" s="1"/>
  <c r="Z10" i="36"/>
  <c r="Y10" i="36" s="1"/>
  <c r="Z31" i="36"/>
  <c r="Y31" i="36" s="1"/>
  <c r="J33" i="46" l="1"/>
  <c r="F33" i="46"/>
  <c r="L33" i="46" s="1"/>
  <c r="I33" i="46"/>
  <c r="E33" i="46"/>
  <c r="H33" i="46"/>
  <c r="D33" i="46"/>
  <c r="G33" i="46"/>
  <c r="C33" i="46"/>
  <c r="B34" i="46"/>
  <c r="J30" i="50"/>
  <c r="I30" i="50"/>
  <c r="M69" i="36"/>
  <c r="M86" i="36"/>
  <c r="M80" i="36"/>
  <c r="M70" i="36"/>
  <c r="M67" i="36"/>
  <c r="M85" i="36"/>
  <c r="M92" i="36"/>
  <c r="M65" i="36"/>
  <c r="M74" i="36"/>
  <c r="M90" i="36"/>
  <c r="M84" i="36"/>
  <c r="M79" i="36"/>
  <c r="M73" i="36"/>
  <c r="M89" i="36"/>
  <c r="M75" i="36"/>
  <c r="M66" i="36"/>
  <c r="M78" i="36"/>
  <c r="M94" i="36"/>
  <c r="M88" i="36"/>
  <c r="M83" i="36"/>
  <c r="M77" i="36"/>
  <c r="M93" i="36"/>
  <c r="M71" i="36"/>
  <c r="M68" i="36"/>
  <c r="M82" i="36"/>
  <c r="M72" i="36"/>
  <c r="M64" i="36"/>
  <c r="M87" i="36"/>
  <c r="M81" i="36"/>
  <c r="M76" i="36"/>
  <c r="M91" i="36"/>
  <c r="M36" i="36"/>
  <c r="M52" i="36"/>
  <c r="M42" i="36"/>
  <c r="M34" i="36"/>
  <c r="M31" i="36"/>
  <c r="M38" i="36"/>
  <c r="M59" i="36"/>
  <c r="M35" i="36"/>
  <c r="M40" i="36"/>
  <c r="M56" i="36"/>
  <c r="M47" i="36"/>
  <c r="M39" i="36"/>
  <c r="M41" i="36"/>
  <c r="M43" i="36"/>
  <c r="M45" i="36"/>
  <c r="M51" i="36"/>
  <c r="M44" i="36"/>
  <c r="M60" i="36"/>
  <c r="M53" i="36"/>
  <c r="M50" i="36"/>
  <c r="M57" i="36"/>
  <c r="M49" i="36"/>
  <c r="M46" i="36"/>
  <c r="M32" i="36"/>
  <c r="M48" i="36"/>
  <c r="M37" i="36"/>
  <c r="M58" i="36"/>
  <c r="M55" i="36"/>
  <c r="M33" i="36"/>
  <c r="M54" i="36"/>
  <c r="M30" i="36"/>
  <c r="Z36" i="36"/>
  <c r="Y36" i="36" s="1"/>
  <c r="Z15" i="36"/>
  <c r="Y15" i="36" s="1"/>
  <c r="Z30" i="36"/>
  <c r="Y30" i="36" s="1"/>
  <c r="Z35" i="36"/>
  <c r="Y35" i="36" s="1"/>
  <c r="Z8" i="36"/>
  <c r="Y8" i="36" s="1"/>
  <c r="Z9" i="36"/>
  <c r="Y9" i="36" s="1"/>
  <c r="Z28" i="36"/>
  <c r="Y28" i="36" s="1"/>
  <c r="Z37" i="36"/>
  <c r="Y37" i="36" s="1"/>
  <c r="Z13" i="36"/>
  <c r="Y13" i="36" s="1"/>
  <c r="J34" i="46" l="1"/>
  <c r="G34" i="46"/>
  <c r="C34" i="46"/>
  <c r="F34" i="46"/>
  <c r="I34" i="46"/>
  <c r="E34" i="46"/>
  <c r="H34" i="46"/>
  <c r="D34" i="46"/>
  <c r="K33" i="46"/>
  <c r="B35" i="46"/>
  <c r="W7" i="36"/>
  <c r="K34" i="46" l="1"/>
  <c r="J35" i="46"/>
  <c r="H35" i="46"/>
  <c r="D35" i="46"/>
  <c r="G35" i="46"/>
  <c r="C35" i="46"/>
  <c r="F35" i="46"/>
  <c r="L35" i="46" s="1"/>
  <c r="I35" i="46"/>
  <c r="E35" i="46"/>
  <c r="L34" i="46"/>
  <c r="B36" i="46"/>
  <c r="W14" i="36"/>
  <c r="W29" i="36"/>
  <c r="W34" i="36"/>
  <c r="W36" i="36"/>
  <c r="W31" i="36"/>
  <c r="W10" i="36"/>
  <c r="W16" i="36"/>
  <c r="W28" i="36"/>
  <c r="W13" i="36"/>
  <c r="W8" i="36"/>
  <c r="W35" i="36"/>
  <c r="W37" i="36"/>
  <c r="W30" i="36"/>
  <c r="W9" i="36"/>
  <c r="W15" i="36"/>
  <c r="J36" i="46" l="1"/>
  <c r="I36" i="46"/>
  <c r="E36" i="46"/>
  <c r="H36" i="46"/>
  <c r="D36" i="46"/>
  <c r="G36" i="46"/>
  <c r="C36" i="46"/>
  <c r="K36" i="46" s="1"/>
  <c r="F36" i="46"/>
  <c r="L36" i="46" s="1"/>
  <c r="K35" i="46"/>
  <c r="B37" i="46"/>
  <c r="L19" i="36"/>
  <c r="L24" i="36" s="1"/>
  <c r="K19" i="36"/>
  <c r="K24" i="36" s="1"/>
  <c r="M20" i="36"/>
  <c r="M25" i="36" s="1"/>
  <c r="J19" i="36"/>
  <c r="J24" i="36" s="1"/>
  <c r="L20" i="36"/>
  <c r="L25" i="36" s="1"/>
  <c r="J20" i="36"/>
  <c r="J25" i="36" s="1"/>
  <c r="K20" i="36"/>
  <c r="K25" i="36" s="1"/>
  <c r="M19" i="36"/>
  <c r="M24" i="36" s="1"/>
  <c r="J37" i="46" l="1"/>
  <c r="F37" i="46"/>
  <c r="L37" i="46" s="1"/>
  <c r="I37" i="46"/>
  <c r="E37" i="46"/>
  <c r="H37" i="46"/>
  <c r="D37" i="46"/>
  <c r="G37" i="46"/>
  <c r="C37" i="46"/>
  <c r="B38" i="46"/>
  <c r="J30" i="36"/>
  <c r="J32" i="36"/>
  <c r="J55" i="36"/>
  <c r="J41" i="36"/>
  <c r="J58" i="36"/>
  <c r="J44" i="36"/>
  <c r="J31" i="36"/>
  <c r="J52" i="36"/>
  <c r="J36" i="36"/>
  <c r="J39" i="36"/>
  <c r="J53" i="36"/>
  <c r="J42" i="36"/>
  <c r="J54" i="36"/>
  <c r="J40" i="36"/>
  <c r="J56" i="36"/>
  <c r="J50" i="36"/>
  <c r="J34" i="36"/>
  <c r="J48" i="36"/>
  <c r="J51" i="36"/>
  <c r="J37" i="36"/>
  <c r="J49" i="36"/>
  <c r="J38" i="36"/>
  <c r="J59" i="36"/>
  <c r="J45" i="36"/>
  <c r="J46" i="36"/>
  <c r="J60" i="36"/>
  <c r="J35" i="36"/>
  <c r="J33" i="36"/>
  <c r="J43" i="36"/>
  <c r="J57" i="36"/>
  <c r="J47" i="36"/>
  <c r="J69" i="36"/>
  <c r="J70" i="36"/>
  <c r="J66" i="36"/>
  <c r="J67" i="36"/>
  <c r="J72" i="36"/>
  <c r="J76" i="36"/>
  <c r="J80" i="36"/>
  <c r="J84" i="36"/>
  <c r="J88" i="36"/>
  <c r="J92" i="36"/>
  <c r="J64" i="36"/>
  <c r="J78" i="36"/>
  <c r="J82" i="36"/>
  <c r="J94" i="36"/>
  <c r="J73" i="36"/>
  <c r="J77" i="36"/>
  <c r="J71" i="36"/>
  <c r="J75" i="36"/>
  <c r="J79" i="36"/>
  <c r="J83" i="36"/>
  <c r="J87" i="36"/>
  <c r="J91" i="36"/>
  <c r="J65" i="36"/>
  <c r="J74" i="36"/>
  <c r="J86" i="36"/>
  <c r="J90" i="36"/>
  <c r="J81" i="36"/>
  <c r="J93" i="36"/>
  <c r="J68" i="36"/>
  <c r="J85" i="36"/>
  <c r="J89" i="36"/>
  <c r="K67" i="36"/>
  <c r="K68" i="36"/>
  <c r="K64" i="36"/>
  <c r="K73" i="36"/>
  <c r="K77" i="36"/>
  <c r="K81" i="36"/>
  <c r="K85" i="36"/>
  <c r="K89" i="36"/>
  <c r="K93" i="36"/>
  <c r="K70" i="36"/>
  <c r="K75" i="36"/>
  <c r="K87" i="36"/>
  <c r="K91" i="36"/>
  <c r="K65" i="36"/>
  <c r="K90" i="36"/>
  <c r="K94" i="36"/>
  <c r="K66" i="36"/>
  <c r="K72" i="36"/>
  <c r="L72" i="36" s="1"/>
  <c r="K76" i="36"/>
  <c r="L76" i="36" s="1"/>
  <c r="K80" i="36"/>
  <c r="L80" i="36" s="1"/>
  <c r="K84" i="36"/>
  <c r="L84" i="36" s="1"/>
  <c r="K88" i="36"/>
  <c r="L88" i="36" s="1"/>
  <c r="K92" i="36"/>
  <c r="K71" i="36"/>
  <c r="K79" i="36"/>
  <c r="K83" i="36"/>
  <c r="K69" i="36"/>
  <c r="K86" i="36"/>
  <c r="K74" i="36"/>
  <c r="K78" i="36"/>
  <c r="K82" i="36"/>
  <c r="K41" i="36"/>
  <c r="K33" i="36"/>
  <c r="K45" i="36"/>
  <c r="K50" i="36"/>
  <c r="K34" i="36"/>
  <c r="K51" i="36"/>
  <c r="L51" i="36" s="1"/>
  <c r="K35" i="36"/>
  <c r="K52" i="36"/>
  <c r="K36" i="36"/>
  <c r="K53" i="36"/>
  <c r="K46" i="36"/>
  <c r="K30" i="36"/>
  <c r="L30" i="36" s="1"/>
  <c r="K47" i="36"/>
  <c r="K31" i="36"/>
  <c r="L31" i="36" s="1"/>
  <c r="K48" i="36"/>
  <c r="K32" i="36"/>
  <c r="K37" i="36"/>
  <c r="K58" i="36"/>
  <c r="K42" i="36"/>
  <c r="L42" i="36" s="1"/>
  <c r="K59" i="36"/>
  <c r="K43" i="36"/>
  <c r="K60" i="36"/>
  <c r="K44" i="36"/>
  <c r="K38" i="36"/>
  <c r="K39" i="36"/>
  <c r="K56" i="36"/>
  <c r="L56" i="36" s="1"/>
  <c r="K49" i="36"/>
  <c r="K57" i="36"/>
  <c r="K54" i="36"/>
  <c r="K55" i="36"/>
  <c r="L55" i="36" s="1"/>
  <c r="K40" i="36"/>
  <c r="J38" i="46" l="1"/>
  <c r="G38" i="46"/>
  <c r="C38" i="46"/>
  <c r="F38" i="46"/>
  <c r="L38" i="46" s="1"/>
  <c r="I38" i="46"/>
  <c r="E38" i="46"/>
  <c r="H38" i="46"/>
  <c r="D38" i="46"/>
  <c r="K37" i="46"/>
  <c r="L66" i="36"/>
  <c r="B39" i="46"/>
  <c r="L50" i="36"/>
  <c r="L92" i="36"/>
  <c r="L74" i="36"/>
  <c r="L82" i="36"/>
  <c r="L90" i="36"/>
  <c r="P91" i="36"/>
  <c r="O91" i="36"/>
  <c r="O92" i="36"/>
  <c r="P92" i="36"/>
  <c r="O68" i="36"/>
  <c r="P68" i="36"/>
  <c r="O86" i="36"/>
  <c r="P86" i="36"/>
  <c r="P87" i="36"/>
  <c r="O87" i="36"/>
  <c r="P71" i="36"/>
  <c r="O71" i="36"/>
  <c r="O82" i="36"/>
  <c r="P82" i="36"/>
  <c r="O88" i="36"/>
  <c r="P88" i="36"/>
  <c r="O72" i="36"/>
  <c r="P72" i="36"/>
  <c r="P69" i="36"/>
  <c r="O69" i="36"/>
  <c r="P85" i="36"/>
  <c r="O85" i="36"/>
  <c r="P75" i="36"/>
  <c r="O75" i="36"/>
  <c r="O76" i="36"/>
  <c r="P76" i="36"/>
  <c r="L68" i="36"/>
  <c r="P93" i="36"/>
  <c r="O93" i="36"/>
  <c r="O74" i="36"/>
  <c r="P74" i="36"/>
  <c r="P83" i="36"/>
  <c r="O83" i="36"/>
  <c r="P77" i="36"/>
  <c r="O77" i="36"/>
  <c r="O78" i="36"/>
  <c r="P78" i="36"/>
  <c r="O84" i="36"/>
  <c r="P84" i="36"/>
  <c r="P67" i="36"/>
  <c r="O67" i="36"/>
  <c r="O90" i="36"/>
  <c r="P90" i="36"/>
  <c r="O94" i="36"/>
  <c r="P94" i="36"/>
  <c r="O70" i="36"/>
  <c r="P70" i="36"/>
  <c r="L70" i="36"/>
  <c r="L86" i="36"/>
  <c r="L94" i="36"/>
  <c r="P89" i="36"/>
  <c r="O89" i="36"/>
  <c r="P81" i="36"/>
  <c r="O81" i="36"/>
  <c r="P65" i="36"/>
  <c r="O65" i="36"/>
  <c r="P79" i="36"/>
  <c r="O79" i="36"/>
  <c r="P73" i="36"/>
  <c r="O73" i="36"/>
  <c r="O64" i="36"/>
  <c r="P64" i="36"/>
  <c r="O80" i="36"/>
  <c r="P80" i="36"/>
  <c r="O66" i="36"/>
  <c r="P66" i="36"/>
  <c r="L58" i="36"/>
  <c r="L43" i="36"/>
  <c r="L34" i="36"/>
  <c r="O30" i="36"/>
  <c r="P30" i="36"/>
  <c r="O35" i="36"/>
  <c r="P35" i="36"/>
  <c r="O51" i="36"/>
  <c r="P51" i="36"/>
  <c r="O56" i="36"/>
  <c r="P56" i="36"/>
  <c r="P31" i="36"/>
  <c r="O31" i="36"/>
  <c r="P57" i="36"/>
  <c r="O57" i="36"/>
  <c r="O60" i="36"/>
  <c r="P60" i="36"/>
  <c r="O48" i="36"/>
  <c r="P48" i="36"/>
  <c r="P39" i="36"/>
  <c r="O39" i="36"/>
  <c r="O44" i="36"/>
  <c r="P44" i="36"/>
  <c r="L32" i="36"/>
  <c r="P43" i="36"/>
  <c r="O43" i="36"/>
  <c r="P46" i="36"/>
  <c r="O46" i="36"/>
  <c r="P49" i="36"/>
  <c r="O49" i="36"/>
  <c r="P34" i="36"/>
  <c r="O34" i="36"/>
  <c r="P54" i="36"/>
  <c r="O54" i="36"/>
  <c r="O36" i="36"/>
  <c r="P36" i="36"/>
  <c r="P58" i="36"/>
  <c r="O58" i="36"/>
  <c r="P47" i="36"/>
  <c r="O47" i="36"/>
  <c r="O59" i="36"/>
  <c r="P59" i="36"/>
  <c r="P53" i="36"/>
  <c r="O53" i="36"/>
  <c r="P55" i="36"/>
  <c r="O55" i="36"/>
  <c r="P38" i="36"/>
  <c r="O38" i="36"/>
  <c r="O40" i="36"/>
  <c r="P40" i="36"/>
  <c r="O32" i="36"/>
  <c r="P32" i="36"/>
  <c r="L44" i="36"/>
  <c r="L48" i="36"/>
  <c r="P33" i="36"/>
  <c r="O33" i="36"/>
  <c r="P45" i="36"/>
  <c r="O45" i="36"/>
  <c r="P37" i="36"/>
  <c r="O37" i="36"/>
  <c r="P50" i="36"/>
  <c r="O50" i="36"/>
  <c r="P42" i="36"/>
  <c r="O42" i="36"/>
  <c r="O52" i="36"/>
  <c r="P52" i="36"/>
  <c r="P41" i="36"/>
  <c r="O41" i="36"/>
  <c r="L83" i="36"/>
  <c r="L67" i="36"/>
  <c r="L35" i="36"/>
  <c r="L78" i="36"/>
  <c r="L87" i="36"/>
  <c r="L71" i="36"/>
  <c r="L69" i="36"/>
  <c r="L33" i="36"/>
  <c r="L45" i="36"/>
  <c r="L37" i="36"/>
  <c r="L52" i="36"/>
  <c r="L41" i="36"/>
  <c r="L89" i="36"/>
  <c r="L79" i="36"/>
  <c r="L64" i="36"/>
  <c r="L60" i="36"/>
  <c r="L40" i="36"/>
  <c r="L39" i="36"/>
  <c r="L93" i="36"/>
  <c r="L77" i="36"/>
  <c r="L47" i="36"/>
  <c r="L53" i="36"/>
  <c r="L81" i="36"/>
  <c r="L65" i="36"/>
  <c r="L73" i="36"/>
  <c r="L57" i="36"/>
  <c r="L38" i="36"/>
  <c r="L59" i="36"/>
  <c r="L85" i="36"/>
  <c r="L91" i="36"/>
  <c r="L75" i="36"/>
  <c r="L46" i="36"/>
  <c r="L49" i="36"/>
  <c r="L54" i="36"/>
  <c r="L36" i="36"/>
  <c r="K38" i="46" l="1"/>
  <c r="J39" i="46"/>
  <c r="H39" i="46"/>
  <c r="D39" i="46"/>
  <c r="G39" i="46"/>
  <c r="C39" i="46"/>
  <c r="F39" i="46"/>
  <c r="L39" i="46" s="1"/>
  <c r="I39" i="46"/>
  <c r="E39" i="46"/>
  <c r="Q79" i="36"/>
  <c r="Q81" i="36"/>
  <c r="Q85" i="36"/>
  <c r="Q87" i="36"/>
  <c r="Q91" i="36"/>
  <c r="Q57" i="36"/>
  <c r="Q67" i="36"/>
  <c r="Q83" i="36"/>
  <c r="Q93" i="36"/>
  <c r="Q80" i="36"/>
  <c r="Q77" i="36"/>
  <c r="Q88" i="36"/>
  <c r="Q86" i="36"/>
  <c r="Q92" i="36"/>
  <c r="Q70" i="36"/>
  <c r="Q90" i="36"/>
  <c r="Q84" i="36"/>
  <c r="Q74" i="36"/>
  <c r="Q66" i="36"/>
  <c r="Q76" i="36"/>
  <c r="Q72" i="36"/>
  <c r="Q82" i="36"/>
  <c r="Q68" i="36"/>
  <c r="Q64" i="36"/>
  <c r="Q73" i="36"/>
  <c r="Q65" i="36"/>
  <c r="Q89" i="36"/>
  <c r="Q94" i="36"/>
  <c r="Q78" i="36"/>
  <c r="Q75" i="36"/>
  <c r="Q69" i="36"/>
  <c r="Q71" i="36"/>
  <c r="Q52" i="36"/>
  <c r="Q39" i="36"/>
  <c r="Q31" i="36"/>
  <c r="Q40" i="36"/>
  <c r="Q59" i="36"/>
  <c r="Q41" i="36"/>
  <c r="Q42" i="36"/>
  <c r="Q37" i="36"/>
  <c r="Q33" i="36"/>
  <c r="Q38" i="36"/>
  <c r="Q53" i="36"/>
  <c r="Q47" i="36"/>
  <c r="Q34" i="36"/>
  <c r="Q46" i="36"/>
  <c r="Q30" i="36"/>
  <c r="Q60" i="36"/>
  <c r="Q32" i="36"/>
  <c r="Q36" i="36"/>
  <c r="Q51" i="36"/>
  <c r="Q50" i="36"/>
  <c r="Q45" i="36"/>
  <c r="Q55" i="36"/>
  <c r="Q58" i="36"/>
  <c r="Q54" i="36"/>
  <c r="Q49" i="36"/>
  <c r="Q43" i="36"/>
  <c r="Q44" i="36"/>
  <c r="Q48" i="36"/>
  <c r="Q56" i="36"/>
  <c r="Q35" i="36"/>
  <c r="K39" i="46" l="1"/>
  <c r="C35" i="48"/>
  <c r="E14" i="28" l="1"/>
  <c r="D14" i="28"/>
  <c r="D35" i="48" l="1"/>
  <c r="B46" i="46" l="1"/>
  <c r="B6" i="42" l="1"/>
  <c r="C46" i="46" l="1"/>
  <c r="D46" i="46" s="1"/>
  <c r="F6" i="42"/>
  <c r="E6" i="42"/>
  <c r="D6" i="42"/>
  <c r="B7" i="42"/>
  <c r="G6" i="42" l="1"/>
  <c r="H6" i="42" s="1"/>
  <c r="F7" i="42"/>
  <c r="E7" i="42"/>
  <c r="C38" i="42"/>
  <c r="B8" i="42"/>
  <c r="G7" i="42" l="1"/>
  <c r="H7" i="42" s="1"/>
  <c r="D8" i="42"/>
  <c r="E8" i="42"/>
  <c r="F8" i="42"/>
  <c r="B9" i="42"/>
  <c r="D7" i="42"/>
  <c r="G8" i="42" l="1"/>
  <c r="H8" i="42" s="1"/>
  <c r="E9" i="42"/>
  <c r="F9" i="42"/>
  <c r="B10" i="42"/>
  <c r="D9" i="42"/>
  <c r="G9" i="42" l="1"/>
  <c r="F10" i="42"/>
  <c r="E10" i="42"/>
  <c r="B11" i="42"/>
  <c r="D10" i="42"/>
  <c r="H9" i="42" l="1"/>
  <c r="G10" i="42"/>
  <c r="H10" i="42" s="1"/>
  <c r="F11" i="42"/>
  <c r="E11" i="42"/>
  <c r="D11" i="42"/>
  <c r="B12" i="42"/>
  <c r="G11" i="42" l="1"/>
  <c r="H11" i="42" s="1"/>
  <c r="E12" i="42"/>
  <c r="F12" i="42"/>
  <c r="B13" i="42"/>
  <c r="D12" i="42"/>
  <c r="G12" i="42" l="1"/>
  <c r="H12" i="42" s="1"/>
  <c r="F13" i="42"/>
  <c r="E13" i="42"/>
  <c r="B14" i="42"/>
  <c r="D13" i="42"/>
  <c r="G13" i="42" l="1"/>
  <c r="H13" i="42" s="1"/>
  <c r="F14" i="42"/>
  <c r="E14" i="42"/>
  <c r="D14" i="42"/>
  <c r="B15" i="42"/>
  <c r="D23" i="28"/>
  <c r="D8" i="28"/>
  <c r="B5" i="58" l="1"/>
  <c r="F5" i="58" s="1"/>
  <c r="B7" i="50"/>
  <c r="G14" i="42"/>
  <c r="H14" i="42" s="1"/>
  <c r="F15" i="42"/>
  <c r="E15" i="42"/>
  <c r="B16" i="42"/>
  <c r="D15" i="42"/>
  <c r="B6" i="36"/>
  <c r="D9" i="28"/>
  <c r="B7" i="30"/>
  <c r="D7" i="50" l="1"/>
  <c r="C7" i="50"/>
  <c r="B8" i="50"/>
  <c r="B6" i="58"/>
  <c r="F6" i="58" s="1"/>
  <c r="G15" i="42"/>
  <c r="H15" i="42" s="1"/>
  <c r="D6" i="36"/>
  <c r="C6" i="36"/>
  <c r="D7" i="30"/>
  <c r="C7" i="30"/>
  <c r="E16" i="42"/>
  <c r="F16" i="42"/>
  <c r="G16" i="42" s="1"/>
  <c r="H16" i="42" s="1"/>
  <c r="B17" i="42"/>
  <c r="D16" i="42"/>
  <c r="B6" i="48"/>
  <c r="B7" i="36"/>
  <c r="B47" i="46"/>
  <c r="E7" i="50" l="1"/>
  <c r="B9" i="50"/>
  <c r="D8" i="50"/>
  <c r="C8" i="50"/>
  <c r="F7" i="50"/>
  <c r="B7" i="58"/>
  <c r="F7" i="58" s="1"/>
  <c r="D7" i="36"/>
  <c r="C7" i="36"/>
  <c r="F17" i="42"/>
  <c r="E17" i="42"/>
  <c r="D17" i="42"/>
  <c r="B18" i="42"/>
  <c r="B48" i="46"/>
  <c r="C48" i="46" s="1"/>
  <c r="D48" i="46" s="1"/>
  <c r="C47" i="46"/>
  <c r="B7" i="48"/>
  <c r="B8" i="36"/>
  <c r="E8" i="50" l="1"/>
  <c r="C6" i="58"/>
  <c r="D6" i="58" s="1"/>
  <c r="B8" i="58"/>
  <c r="F8" i="58" s="1"/>
  <c r="B10" i="50"/>
  <c r="D9" i="50"/>
  <c r="C9" i="50"/>
  <c r="G17" i="42"/>
  <c r="H17" i="42" s="1"/>
  <c r="D47" i="46"/>
  <c r="C8" i="36"/>
  <c r="D8" i="36"/>
  <c r="F18" i="42"/>
  <c r="E18" i="42"/>
  <c r="B9" i="36"/>
  <c r="B19" i="42"/>
  <c r="D18" i="42"/>
  <c r="B49" i="46"/>
  <c r="C49" i="46" s="1"/>
  <c r="D49" i="46" s="1"/>
  <c r="B8" i="48"/>
  <c r="E9" i="50" l="1"/>
  <c r="F9" i="50"/>
  <c r="B9" i="58"/>
  <c r="F9" i="58" s="1"/>
  <c r="E6" i="58"/>
  <c r="F8" i="50"/>
  <c r="C10" i="50"/>
  <c r="D10" i="50"/>
  <c r="B11" i="50"/>
  <c r="C7" i="58"/>
  <c r="D7" i="58" s="1"/>
  <c r="G18" i="42"/>
  <c r="H18" i="42" s="1"/>
  <c r="D9" i="36"/>
  <c r="C9" i="36"/>
  <c r="F19" i="42"/>
  <c r="E19" i="42"/>
  <c r="B10" i="36"/>
  <c r="D19" i="42"/>
  <c r="B20" i="42"/>
  <c r="B50" i="46"/>
  <c r="C50" i="46" s="1"/>
  <c r="D50" i="46" s="1"/>
  <c r="B9" i="48"/>
  <c r="E10" i="50" l="1"/>
  <c r="F10" i="50"/>
  <c r="C8" i="58"/>
  <c r="D8" i="58" s="1"/>
  <c r="B10" i="58"/>
  <c r="F10" i="58" s="1"/>
  <c r="E7" i="58"/>
  <c r="C11" i="50"/>
  <c r="B12" i="50"/>
  <c r="D11" i="50"/>
  <c r="G19" i="42"/>
  <c r="H19" i="42" s="1"/>
  <c r="C10" i="36"/>
  <c r="D10" i="36"/>
  <c r="E20" i="42"/>
  <c r="F20" i="42"/>
  <c r="G20" i="42" s="1"/>
  <c r="H20" i="42" s="1"/>
  <c r="B11" i="36"/>
  <c r="D20" i="42"/>
  <c r="B21" i="42"/>
  <c r="B51" i="46"/>
  <c r="C51" i="46" s="1"/>
  <c r="D51" i="46" s="1"/>
  <c r="B10" i="48"/>
  <c r="B13" i="50" l="1"/>
  <c r="D12" i="50"/>
  <c r="C12" i="50"/>
  <c r="E8" i="58"/>
  <c r="C9" i="58"/>
  <c r="D9" i="58" s="1"/>
  <c r="E11" i="50"/>
  <c r="B11" i="58"/>
  <c r="F11" i="58" s="1"/>
  <c r="C11" i="36"/>
  <c r="D11" i="36"/>
  <c r="E21" i="42"/>
  <c r="F21" i="42"/>
  <c r="B12" i="36"/>
  <c r="D21" i="42"/>
  <c r="B22" i="42"/>
  <c r="B52" i="46"/>
  <c r="B53" i="46" s="1"/>
  <c r="B54" i="46" s="1"/>
  <c r="B55" i="46" s="1"/>
  <c r="B56" i="46" s="1"/>
  <c r="B57" i="46" s="1"/>
  <c r="B58" i="46" s="1"/>
  <c r="B59" i="46" s="1"/>
  <c r="B60" i="46" s="1"/>
  <c r="B61" i="46" s="1"/>
  <c r="B62" i="46" s="1"/>
  <c r="B63" i="46" s="1"/>
  <c r="B64" i="46" s="1"/>
  <c r="B11" i="48"/>
  <c r="G21" i="42" l="1"/>
  <c r="H21" i="42" s="1"/>
  <c r="C13" i="50"/>
  <c r="B14" i="50"/>
  <c r="D13" i="50"/>
  <c r="B12" i="58"/>
  <c r="F12" i="58" s="1"/>
  <c r="F11" i="50"/>
  <c r="C10" i="58"/>
  <c r="D10" i="58" s="1"/>
  <c r="E9" i="58"/>
  <c r="E12" i="50"/>
  <c r="D12" i="36"/>
  <c r="C12" i="36"/>
  <c r="F22" i="42"/>
  <c r="E22" i="42"/>
  <c r="B13" i="36"/>
  <c r="B65" i="46"/>
  <c r="B23" i="42"/>
  <c r="D22" i="42"/>
  <c r="B12" i="48"/>
  <c r="E13" i="50" l="1"/>
  <c r="B15" i="50"/>
  <c r="D14" i="50"/>
  <c r="C14" i="50"/>
  <c r="F13" i="50"/>
  <c r="E10" i="58"/>
  <c r="C11" i="58"/>
  <c r="D11" i="58" s="1"/>
  <c r="F12" i="50"/>
  <c r="B13" i="58"/>
  <c r="F13" i="58" s="1"/>
  <c r="G22" i="42"/>
  <c r="H22" i="42" s="1"/>
  <c r="D13" i="36"/>
  <c r="C13" i="36"/>
  <c r="F23" i="42"/>
  <c r="E23" i="42"/>
  <c r="B14" i="36"/>
  <c r="B66" i="46"/>
  <c r="B24" i="42"/>
  <c r="D23" i="42"/>
  <c r="B13" i="48"/>
  <c r="G23" i="42" l="1"/>
  <c r="H23" i="42" s="1"/>
  <c r="E11" i="58"/>
  <c r="C15" i="50"/>
  <c r="B16" i="50"/>
  <c r="D15" i="50"/>
  <c r="B14" i="58"/>
  <c r="F14" i="58" s="1"/>
  <c r="C12" i="58"/>
  <c r="D12" i="58" s="1"/>
  <c r="E14" i="50"/>
  <c r="C14" i="36"/>
  <c r="D14" i="36"/>
  <c r="E24" i="42"/>
  <c r="F24" i="42"/>
  <c r="G24" i="42" s="1"/>
  <c r="H24" i="42" s="1"/>
  <c r="B67" i="46"/>
  <c r="B25" i="42"/>
  <c r="D24" i="42"/>
  <c r="B14" i="48"/>
  <c r="B15" i="58" l="1"/>
  <c r="F15" i="58" s="1"/>
  <c r="E15" i="50"/>
  <c r="E12" i="58"/>
  <c r="F14" i="50"/>
  <c r="C13" i="58"/>
  <c r="D13" i="58" s="1"/>
  <c r="B17" i="50"/>
  <c r="D16" i="50"/>
  <c r="C16" i="50"/>
  <c r="F25" i="42"/>
  <c r="E25" i="42"/>
  <c r="B68" i="46"/>
  <c r="D25" i="42"/>
  <c r="B26" i="42"/>
  <c r="B15" i="48"/>
  <c r="E16" i="50" l="1"/>
  <c r="C17" i="50"/>
  <c r="B18" i="50"/>
  <c r="D17" i="50"/>
  <c r="F15" i="50"/>
  <c r="F16" i="50"/>
  <c r="C14" i="58"/>
  <c r="D14" i="58" s="1"/>
  <c r="E13" i="58"/>
  <c r="B16" i="58"/>
  <c r="F16" i="58" s="1"/>
  <c r="G25" i="42"/>
  <c r="H25" i="42" s="1"/>
  <c r="F26" i="42"/>
  <c r="E26" i="42"/>
  <c r="B69" i="46"/>
  <c r="D26" i="42"/>
  <c r="B27" i="42"/>
  <c r="B16" i="48"/>
  <c r="B17" i="58" l="1"/>
  <c r="F17" i="58" s="1"/>
  <c r="B19" i="50"/>
  <c r="D18" i="50"/>
  <c r="C18" i="50"/>
  <c r="C15" i="58"/>
  <c r="D15" i="58" s="1"/>
  <c r="E14" i="58"/>
  <c r="E17" i="50"/>
  <c r="G26" i="42"/>
  <c r="H26" i="42" s="1"/>
  <c r="F27" i="42"/>
  <c r="E27" i="42"/>
  <c r="B70" i="46"/>
  <c r="D27" i="42"/>
  <c r="B28" i="42"/>
  <c r="B17" i="48"/>
  <c r="C16" i="58" l="1"/>
  <c r="D16" i="58" s="1"/>
  <c r="E15" i="58"/>
  <c r="C19" i="50"/>
  <c r="B20" i="50"/>
  <c r="D19" i="50"/>
  <c r="B18" i="58"/>
  <c r="F18" i="58" s="1"/>
  <c r="F17" i="50"/>
  <c r="E18" i="50"/>
  <c r="G27" i="42"/>
  <c r="H27" i="42" s="1"/>
  <c r="E28" i="42"/>
  <c r="F28" i="42"/>
  <c r="B71" i="46"/>
  <c r="D28" i="42"/>
  <c r="B29" i="42"/>
  <c r="B18" i="48"/>
  <c r="E16" i="58" l="1"/>
  <c r="B21" i="50"/>
  <c r="D20" i="50"/>
  <c r="C20" i="50"/>
  <c r="B19" i="58"/>
  <c r="F19" i="58" s="1"/>
  <c r="F18" i="50"/>
  <c r="C17" i="58"/>
  <c r="D17" i="58" s="1"/>
  <c r="E19" i="50"/>
  <c r="G28" i="42"/>
  <c r="H28" i="42" s="1"/>
  <c r="F29" i="42"/>
  <c r="E29" i="42"/>
  <c r="B72" i="46"/>
  <c r="B73" i="46" s="1"/>
  <c r="B74" i="46" s="1"/>
  <c r="B75" i="46" s="1"/>
  <c r="B76" i="46" s="1"/>
  <c r="B77" i="46" s="1"/>
  <c r="B30" i="42"/>
  <c r="D29" i="42"/>
  <c r="B19" i="48"/>
  <c r="G29" i="42" l="1"/>
  <c r="H29" i="42" s="1"/>
  <c r="E20" i="50"/>
  <c r="C18" i="58"/>
  <c r="D18" i="58" s="1"/>
  <c r="B22" i="50"/>
  <c r="D21" i="50"/>
  <c r="C21" i="50"/>
  <c r="E17" i="58"/>
  <c r="F19" i="50"/>
  <c r="B20" i="58"/>
  <c r="F20" i="58" s="1"/>
  <c r="F30" i="42"/>
  <c r="E30" i="42"/>
  <c r="B31" i="42"/>
  <c r="D30" i="42"/>
  <c r="B20" i="48"/>
  <c r="F20" i="50" l="1"/>
  <c r="E21" i="50"/>
  <c r="C19" i="58"/>
  <c r="D19" i="58" s="1"/>
  <c r="E18" i="58"/>
  <c r="B21" i="58"/>
  <c r="F21" i="58" s="1"/>
  <c r="B23" i="50"/>
  <c r="D22" i="50"/>
  <c r="C22" i="50"/>
  <c r="G30" i="42"/>
  <c r="H30" i="42" s="1"/>
  <c r="F31" i="42"/>
  <c r="E31" i="42"/>
  <c r="B32" i="42"/>
  <c r="D31" i="42"/>
  <c r="B21" i="48"/>
  <c r="F21" i="50" l="1"/>
  <c r="B22" i="58"/>
  <c r="F22" i="58" s="1"/>
  <c r="E19" i="58"/>
  <c r="D23" i="50"/>
  <c r="B24" i="50"/>
  <c r="C23" i="50"/>
  <c r="E22" i="50"/>
  <c r="C20" i="58"/>
  <c r="D20" i="58" s="1"/>
  <c r="G31" i="42"/>
  <c r="H31" i="42" s="1"/>
  <c r="D32" i="42"/>
  <c r="E32" i="42"/>
  <c r="F32" i="42"/>
  <c r="B33" i="42"/>
  <c r="B34" i="42" s="1"/>
  <c r="B22" i="48"/>
  <c r="E23" i="50" l="1"/>
  <c r="F22" i="50"/>
  <c r="B25" i="50"/>
  <c r="D24" i="50"/>
  <c r="C24" i="50"/>
  <c r="C21" i="58"/>
  <c r="D21" i="58" s="1"/>
  <c r="E20" i="58"/>
  <c r="B23" i="58"/>
  <c r="F23" i="58" s="1"/>
  <c r="G32" i="42"/>
  <c r="H32" i="42" s="1"/>
  <c r="F34" i="42"/>
  <c r="E34" i="42"/>
  <c r="F33" i="42"/>
  <c r="E33" i="42"/>
  <c r="D33" i="42"/>
  <c r="D34" i="42"/>
  <c r="B35" i="42"/>
  <c r="B23" i="48"/>
  <c r="F23" i="50" l="1"/>
  <c r="E24" i="50"/>
  <c r="G34" i="42"/>
  <c r="H34" i="42" s="1"/>
  <c r="B24" i="58"/>
  <c r="F24" i="58" s="1"/>
  <c r="B26" i="50"/>
  <c r="D25" i="50"/>
  <c r="C25" i="50"/>
  <c r="F24" i="50"/>
  <c r="C22" i="58"/>
  <c r="D22" i="58" s="1"/>
  <c r="E21" i="58"/>
  <c r="G33" i="42"/>
  <c r="H33" i="42" s="1"/>
  <c r="D35" i="42"/>
  <c r="F35" i="42"/>
  <c r="E35" i="42"/>
  <c r="B15" i="36"/>
  <c r="B36" i="42"/>
  <c r="B24" i="48"/>
  <c r="E22" i="58" l="1"/>
  <c r="C26" i="50"/>
  <c r="D26" i="50"/>
  <c r="C23" i="58"/>
  <c r="D23" i="58" s="1"/>
  <c r="E25" i="50"/>
  <c r="B25" i="58"/>
  <c r="G35" i="42"/>
  <c r="H35" i="42" s="1"/>
  <c r="C15" i="36"/>
  <c r="D15" i="36"/>
  <c r="E36" i="42"/>
  <c r="F36" i="42"/>
  <c r="G36" i="42" s="1"/>
  <c r="H36" i="42" s="1"/>
  <c r="B16" i="36"/>
  <c r="D36" i="42"/>
  <c r="B37" i="42"/>
  <c r="B25" i="48"/>
  <c r="C24" i="58" l="1"/>
  <c r="D24" i="58" s="1"/>
  <c r="E23" i="58"/>
  <c r="B26" i="58"/>
  <c r="F25" i="50"/>
  <c r="E26" i="50"/>
  <c r="C55" i="46"/>
  <c r="D55" i="46" s="1"/>
  <c r="C77" i="46"/>
  <c r="D77" i="46" s="1"/>
  <c r="C68" i="46"/>
  <c r="D68" i="46" s="1"/>
  <c r="C56" i="46"/>
  <c r="D56" i="46" s="1"/>
  <c r="C62" i="46"/>
  <c r="D62" i="46" s="1"/>
  <c r="C74" i="46"/>
  <c r="D74" i="46" s="1"/>
  <c r="C73" i="46"/>
  <c r="D73" i="46" s="1"/>
  <c r="C69" i="46"/>
  <c r="D69" i="46" s="1"/>
  <c r="C52" i="46"/>
  <c r="C58" i="46"/>
  <c r="D58" i="46" s="1"/>
  <c r="C71" i="46"/>
  <c r="D71" i="46" s="1"/>
  <c r="C72" i="46"/>
  <c r="D72" i="46" s="1"/>
  <c r="C61" i="46"/>
  <c r="D61" i="46" s="1"/>
  <c r="C53" i="46"/>
  <c r="D53" i="46" s="1"/>
  <c r="C64" i="46"/>
  <c r="D64" i="46" s="1"/>
  <c r="C70" i="46"/>
  <c r="D70" i="46" s="1"/>
  <c r="C65" i="46"/>
  <c r="D65" i="46" s="1"/>
  <c r="C57" i="46"/>
  <c r="D57" i="46" s="1"/>
  <c r="C63" i="46"/>
  <c r="D63" i="46" s="1"/>
  <c r="C66" i="46"/>
  <c r="D66" i="46" s="1"/>
  <c r="C59" i="46"/>
  <c r="D59" i="46" s="1"/>
  <c r="C75" i="46"/>
  <c r="D75" i="46" s="1"/>
  <c r="C54" i="46"/>
  <c r="D54" i="46" s="1"/>
  <c r="C76" i="46"/>
  <c r="D76" i="46" s="1"/>
  <c r="C67" i="46"/>
  <c r="D67" i="46" s="1"/>
  <c r="C60" i="46"/>
  <c r="D60" i="46" s="1"/>
  <c r="C16" i="36"/>
  <c r="D16" i="36"/>
  <c r="F37" i="42"/>
  <c r="E37" i="42"/>
  <c r="B17" i="36"/>
  <c r="D37" i="42"/>
  <c r="D38" i="42" s="1"/>
  <c r="B26" i="48"/>
  <c r="F26" i="50" l="1"/>
  <c r="F27" i="50" s="1"/>
  <c r="E24" i="58"/>
  <c r="B27" i="58"/>
  <c r="G37" i="42"/>
  <c r="H37" i="42" s="1"/>
  <c r="H38" i="42" s="1"/>
  <c r="D52" i="46"/>
  <c r="C78" i="46"/>
  <c r="C17" i="36"/>
  <c r="D17" i="36"/>
  <c r="B18" i="36"/>
  <c r="B27" i="48"/>
  <c r="B28" i="58" l="1"/>
  <c r="D18" i="36"/>
  <c r="C18" i="36"/>
  <c r="B19" i="36"/>
  <c r="B28" i="48"/>
  <c r="B29" i="58" l="1"/>
  <c r="P25" i="58"/>
  <c r="D19" i="36"/>
  <c r="C19" i="36"/>
  <c r="B20" i="36"/>
  <c r="B29" i="48"/>
  <c r="B8" i="30"/>
  <c r="B30" i="58" l="1"/>
  <c r="C20" i="36"/>
  <c r="D20" i="36"/>
  <c r="D8" i="30"/>
  <c r="C8" i="30"/>
  <c r="B21" i="36"/>
  <c r="B30" i="48"/>
  <c r="B9" i="30"/>
  <c r="B31" i="58" l="1"/>
  <c r="D21" i="36"/>
  <c r="C21" i="36"/>
  <c r="D9" i="30"/>
  <c r="C9" i="30"/>
  <c r="B22" i="36"/>
  <c r="B10" i="30"/>
  <c r="B31" i="48"/>
  <c r="B32" i="58" l="1"/>
  <c r="D22" i="36"/>
  <c r="C22" i="36"/>
  <c r="D10" i="30"/>
  <c r="C10" i="30"/>
  <c r="B11" i="30"/>
  <c r="B23" i="36"/>
  <c r="B32" i="48"/>
  <c r="B33" i="58" l="1"/>
  <c r="D23" i="36"/>
  <c r="C23" i="36"/>
  <c r="D11" i="30"/>
  <c r="C11" i="30"/>
  <c r="B12" i="30"/>
  <c r="B13" i="30" s="1"/>
  <c r="B24" i="36"/>
  <c r="B33" i="48"/>
  <c r="B34" i="58" l="1"/>
  <c r="C24" i="36"/>
  <c r="D24" i="36"/>
  <c r="D13" i="30"/>
  <c r="C13" i="30"/>
  <c r="D12" i="30"/>
  <c r="C12" i="30"/>
  <c r="B14" i="30"/>
  <c r="B25" i="36"/>
  <c r="B34" i="48"/>
  <c r="F35" i="48" s="1"/>
  <c r="C25" i="36" l="1"/>
  <c r="D25" i="36"/>
  <c r="C14" i="30"/>
  <c r="D14" i="30"/>
  <c r="B15" i="30"/>
  <c r="C15" i="30" l="1"/>
  <c r="D15" i="30"/>
  <c r="B16" i="30"/>
  <c r="C16" i="30" l="1"/>
  <c r="D16" i="30"/>
  <c r="B17" i="30"/>
  <c r="D78" i="46"/>
  <c r="C83" i="46" s="1"/>
  <c r="D17" i="30" l="1"/>
  <c r="C17" i="30"/>
  <c r="B18" i="30"/>
  <c r="D18" i="30" l="1"/>
  <c r="C18" i="30"/>
  <c r="B19" i="30"/>
  <c r="C19" i="30" l="1"/>
  <c r="D19" i="30"/>
  <c r="B20" i="30"/>
  <c r="B21" i="30"/>
  <c r="D21" i="30" l="1"/>
  <c r="C21" i="30"/>
  <c r="D20" i="30"/>
  <c r="C20" i="30"/>
  <c r="B22" i="30"/>
  <c r="D22" i="30" l="1"/>
  <c r="C22" i="30"/>
  <c r="E18" i="36"/>
  <c r="E25" i="36"/>
  <c r="E21" i="36"/>
  <c r="E17" i="36"/>
  <c r="E13" i="36"/>
  <c r="E11" i="36"/>
  <c r="E7" i="36"/>
  <c r="E6" i="36"/>
  <c r="E24" i="36"/>
  <c r="E20" i="36"/>
  <c r="E16" i="36"/>
  <c r="E12" i="36"/>
  <c r="E10" i="36"/>
  <c r="E8" i="36"/>
  <c r="E14" i="36"/>
  <c r="E23" i="36"/>
  <c r="E19" i="36"/>
  <c r="E15" i="36"/>
  <c r="E9" i="36"/>
  <c r="E22" i="36"/>
  <c r="B23" i="30"/>
  <c r="C23" i="30" l="1"/>
  <c r="D23" i="30"/>
  <c r="F16" i="36"/>
  <c r="F22" i="36"/>
  <c r="F23" i="36"/>
  <c r="F20" i="36"/>
  <c r="F19" i="36"/>
  <c r="F14" i="36"/>
  <c r="F8" i="36"/>
  <c r="F17" i="36"/>
  <c r="F10" i="36"/>
  <c r="F6" i="36"/>
  <c r="F21" i="36"/>
  <c r="F13" i="36"/>
  <c r="F25" i="36"/>
  <c r="F9" i="36"/>
  <c r="F7" i="36"/>
  <c r="F18" i="36"/>
  <c r="F24" i="36"/>
  <c r="F15" i="36"/>
  <c r="F12" i="36"/>
  <c r="F11" i="36"/>
  <c r="B24" i="30"/>
  <c r="F26" i="36" l="1"/>
  <c r="D24" i="30"/>
  <c r="C24" i="30"/>
  <c r="B25" i="30"/>
  <c r="D25" i="30" l="1"/>
  <c r="C25" i="30"/>
  <c r="B26" i="30"/>
  <c r="D26" i="30" l="1"/>
  <c r="C26" i="30"/>
  <c r="E10" i="30" l="1"/>
  <c r="E7" i="30"/>
  <c r="E8" i="30"/>
  <c r="E9" i="30"/>
  <c r="E12" i="30"/>
  <c r="E11" i="30"/>
  <c r="E13" i="30"/>
  <c r="E14" i="30"/>
  <c r="E16" i="30"/>
  <c r="E17" i="30"/>
  <c r="E18" i="30"/>
  <c r="E19" i="30"/>
  <c r="E20" i="30"/>
  <c r="E21" i="30"/>
  <c r="E22" i="30"/>
  <c r="E23" i="30"/>
  <c r="E24" i="30"/>
  <c r="E25" i="30"/>
  <c r="E26" i="30"/>
  <c r="E15" i="30"/>
  <c r="F19" i="30" l="1"/>
  <c r="F14" i="30"/>
  <c r="F25" i="30"/>
  <c r="F17" i="30"/>
  <c r="F8" i="30"/>
  <c r="F23" i="30"/>
  <c r="F24" i="30"/>
  <c r="F20" i="30"/>
  <c r="F16" i="30"/>
  <c r="F9" i="30"/>
  <c r="F21" i="30"/>
  <c r="F13" i="30"/>
  <c r="F11" i="30"/>
  <c r="F12" i="30"/>
  <c r="F10" i="30"/>
  <c r="F7" i="30"/>
  <c r="F15" i="30"/>
  <c r="F22" i="30"/>
  <c r="F26" i="30"/>
  <c r="F18" i="30"/>
  <c r="F27" i="30" l="1"/>
  <c r="L5" i="58"/>
  <c r="J5" i="58"/>
  <c r="D5" i="58"/>
  <c r="D35" i="58" s="1"/>
  <c r="M5" i="58" l="1"/>
  <c r="E5" i="58"/>
  <c r="E35" i="58" s="1"/>
  <c r="O5" i="58"/>
  <c r="O35" i="58" s="1"/>
  <c r="N5" i="58"/>
  <c r="P5" i="58" l="1"/>
  <c r="P35" i="58" s="1"/>
  <c r="N35" i="58"/>
  <c r="K40" i="46" l="1"/>
  <c r="L40" i="46"/>
  <c r="C82" i="46" s="1"/>
  <c r="C84" i="46" s="1"/>
  <c r="C85" i="46" l="1"/>
</calcChain>
</file>

<file path=xl/sharedStrings.xml><?xml version="1.0" encoding="utf-8"?>
<sst xmlns="http://schemas.openxmlformats.org/spreadsheetml/2006/main" count="744" uniqueCount="333">
  <si>
    <t>Analysis Year</t>
  </si>
  <si>
    <t>7% Discount</t>
  </si>
  <si>
    <t>Total Benefit</t>
  </si>
  <si>
    <t>NOTES:</t>
  </si>
  <si>
    <t>Total</t>
  </si>
  <si>
    <t>RCV</t>
  </si>
  <si>
    <t>N/A</t>
  </si>
  <si>
    <t>STATE OF GOOD REPIAR - CAPITAL COST AND RESIDUAL PROJECT VALUE</t>
  </si>
  <si>
    <t>BENEFITS</t>
  </si>
  <si>
    <t>COSTS</t>
  </si>
  <si>
    <t>Economic Competitiveness</t>
  </si>
  <si>
    <t>Safety</t>
  </si>
  <si>
    <t>Benefits</t>
  </si>
  <si>
    <t>Costs</t>
  </si>
  <si>
    <t>B/C Ratio</t>
  </si>
  <si>
    <r>
      <t>Base Capital Cost in Constant Dollars</t>
    </r>
    <r>
      <rPr>
        <vertAlign val="superscript"/>
        <sz val="9"/>
        <color theme="1"/>
        <rFont val="Calibri"/>
        <family val="2"/>
        <scheme val="minor"/>
      </rPr>
      <t>1</t>
    </r>
  </si>
  <si>
    <t>SUMMARY</t>
  </si>
  <si>
    <t>No Build</t>
  </si>
  <si>
    <t>Build</t>
  </si>
  <si>
    <t>Service Life</t>
  </si>
  <si>
    <t>Table 1 - Analysis Timeframe Assumptions</t>
  </si>
  <si>
    <r>
      <t xml:space="preserve">Year of Construction </t>
    </r>
    <r>
      <rPr>
        <vertAlign val="superscript"/>
        <sz val="9"/>
        <rFont val="Calibri"/>
        <family val="2"/>
        <scheme val="minor"/>
      </rPr>
      <t>(1)</t>
    </r>
  </si>
  <si>
    <r>
      <t xml:space="preserve">Duration of Construction </t>
    </r>
    <r>
      <rPr>
        <vertAlign val="superscript"/>
        <sz val="9"/>
        <rFont val="Calibri"/>
        <family val="2"/>
        <scheme val="minor"/>
      </rPr>
      <t>(1)</t>
    </r>
  </si>
  <si>
    <r>
      <t xml:space="preserve">Benefit-Cost First Year of Benefit </t>
    </r>
    <r>
      <rPr>
        <vertAlign val="superscript"/>
        <sz val="9"/>
        <rFont val="Calibri"/>
        <family val="2"/>
        <scheme val="minor"/>
      </rPr>
      <t>(1)</t>
    </r>
  </si>
  <si>
    <t>Benefit-Cost Final Year of Benefit</t>
  </si>
  <si>
    <t>Table 2 - Network Assumptions</t>
  </si>
  <si>
    <t>Table 3 - Global Assumptions and Factors</t>
  </si>
  <si>
    <t>1)</t>
  </si>
  <si>
    <t>SAFETY - CRASH SAVINGS</t>
  </si>
  <si>
    <t>K</t>
  </si>
  <si>
    <t>A</t>
  </si>
  <si>
    <t>B</t>
  </si>
  <si>
    <t>C</t>
  </si>
  <si>
    <t>PDO</t>
  </si>
  <si>
    <t>2)</t>
  </si>
  <si>
    <t>3)</t>
  </si>
  <si>
    <t>4)</t>
  </si>
  <si>
    <t>5)</t>
  </si>
  <si>
    <t>Composite Cost per Hour</t>
  </si>
  <si>
    <t>Years of Benefit-Cost Analysis Period</t>
  </si>
  <si>
    <t>Truck Vehicle Occupancy</t>
  </si>
  <si>
    <t>Travel Time Cost Savings</t>
  </si>
  <si>
    <t>Forecast Traffic Year</t>
  </si>
  <si>
    <r>
      <t xml:space="preserve">Percent Autos </t>
    </r>
    <r>
      <rPr>
        <vertAlign val="superscript"/>
        <sz val="9"/>
        <rFont val="Calibri"/>
        <family val="2"/>
        <scheme val="minor"/>
      </rPr>
      <t>(2)</t>
    </r>
  </si>
  <si>
    <r>
      <t xml:space="preserve">Percent Trucks </t>
    </r>
    <r>
      <rPr>
        <vertAlign val="superscript"/>
        <sz val="9"/>
        <rFont val="Calibri"/>
        <family val="2"/>
        <scheme val="minor"/>
      </rPr>
      <t>(2)</t>
    </r>
  </si>
  <si>
    <r>
      <t xml:space="preserve">Auto Occupancy </t>
    </r>
    <r>
      <rPr>
        <vertAlign val="superscript"/>
        <sz val="9"/>
        <rFont val="Calibri"/>
        <family val="2"/>
        <scheme val="minor"/>
      </rPr>
      <t>(3)</t>
    </r>
  </si>
  <si>
    <r>
      <t xml:space="preserve">Truck Occupancy </t>
    </r>
    <r>
      <rPr>
        <vertAlign val="superscript"/>
        <sz val="9"/>
        <rFont val="Calibri"/>
        <family val="2"/>
        <scheme val="minor"/>
      </rPr>
      <t>(3)</t>
    </r>
  </si>
  <si>
    <t>Passenger Vehicle Occupancy</t>
  </si>
  <si>
    <t>Base Year</t>
  </si>
  <si>
    <t>Total (7% Discount)</t>
  </si>
  <si>
    <t>ENVIRONMENTAL SUSTAINABILITY - AIR QUALITY</t>
  </si>
  <si>
    <t>Change in Annual Network VMT</t>
  </si>
  <si>
    <r>
      <t>Change in PM
($)</t>
    </r>
    <r>
      <rPr>
        <vertAlign val="superscript"/>
        <sz val="9"/>
        <color theme="1"/>
        <rFont val="Calibri"/>
        <family val="2"/>
        <scheme val="minor"/>
      </rPr>
      <t>(2)</t>
    </r>
  </si>
  <si>
    <t>Mode</t>
  </si>
  <si>
    <t>Automobile</t>
  </si>
  <si>
    <t>Trucks</t>
  </si>
  <si>
    <t>Environmental Sustainability</t>
  </si>
  <si>
    <r>
      <t xml:space="preserve">Cost per Mile </t>
    </r>
    <r>
      <rPr>
        <vertAlign val="superscript"/>
        <sz val="9"/>
        <rFont val="Calibri"/>
        <family val="2"/>
        <scheme val="minor"/>
      </rPr>
      <t>(6)</t>
    </r>
    <r>
      <rPr>
        <sz val="9"/>
        <rFont val="Calibri"/>
        <family val="2"/>
        <scheme val="minor"/>
      </rPr>
      <t xml:space="preserve"> - Auto</t>
    </r>
  </si>
  <si>
    <r>
      <t xml:space="preserve">Cost per Mile </t>
    </r>
    <r>
      <rPr>
        <vertAlign val="superscript"/>
        <sz val="9"/>
        <rFont val="Calibri"/>
        <family val="2"/>
        <scheme val="minor"/>
      </rPr>
      <t>(6)</t>
    </r>
    <r>
      <rPr>
        <sz val="9"/>
        <rFont val="Calibri"/>
        <family val="2"/>
        <scheme val="minor"/>
      </rPr>
      <t xml:space="preserve"> - Truck</t>
    </r>
  </si>
  <si>
    <t>Year</t>
  </si>
  <si>
    <r>
      <t xml:space="preserve">Table 1 - Pollution Emission by Mode (g/VMT) </t>
    </r>
    <r>
      <rPr>
        <b/>
        <vertAlign val="superscript"/>
        <sz val="11"/>
        <color theme="1"/>
        <rFont val="Calibri"/>
        <family val="2"/>
        <scheme val="minor"/>
      </rPr>
      <t>(1)</t>
    </r>
  </si>
  <si>
    <t>NPV</t>
  </si>
  <si>
    <t xml:space="preserve">Capital Costs    </t>
  </si>
  <si>
    <t>No-Build</t>
  </si>
  <si>
    <r>
      <t xml:space="preserve">Yearly Emissions Savings in Current Dollars ($) </t>
    </r>
    <r>
      <rPr>
        <vertAlign val="superscript"/>
        <sz val="9"/>
        <color theme="1"/>
        <rFont val="Calibri"/>
        <family val="2"/>
        <scheme val="minor"/>
      </rPr>
      <t>(2)</t>
    </r>
  </si>
  <si>
    <t>CO2 Savings Estimations</t>
  </si>
  <si>
    <t>Other Emissions Cost Savings</t>
  </si>
  <si>
    <t>Total (Carbon + Other Emissions)</t>
  </si>
  <si>
    <t xml:space="preserve"> 7%Discounted</t>
  </si>
  <si>
    <t>Subtotal</t>
  </si>
  <si>
    <t>Segment</t>
  </si>
  <si>
    <r>
      <t>Change in C02</t>
    </r>
    <r>
      <rPr>
        <vertAlign val="superscript"/>
        <sz val="9"/>
        <color theme="1"/>
        <rFont val="Calibri"/>
        <family val="2"/>
        <scheme val="minor"/>
      </rPr>
      <t>3</t>
    </r>
    <r>
      <rPr>
        <sz val="9"/>
        <color theme="1"/>
        <rFont val="Calibri"/>
        <family val="2"/>
        <scheme val="minor"/>
      </rPr>
      <t xml:space="preserve"> (metric tons)</t>
    </r>
  </si>
  <si>
    <t>Assumed a 365-day year to account for benefits incurred on weekends and recreational peaks in the project area.</t>
  </si>
  <si>
    <t>Reduction in the Annual Cost of Crashes</t>
  </si>
  <si>
    <t>NOX</t>
  </si>
  <si>
    <t>SO2</t>
  </si>
  <si>
    <t>PM2.5</t>
  </si>
  <si>
    <t>CO2</t>
  </si>
  <si>
    <t>3% Discount</t>
  </si>
  <si>
    <r>
      <t>Air quality (no CO</t>
    </r>
    <r>
      <rPr>
        <vertAlign val="subscript"/>
        <sz val="9"/>
        <color theme="1"/>
        <rFont val="Calibri"/>
        <family val="2"/>
        <scheme val="minor"/>
      </rPr>
      <t>2</t>
    </r>
    <r>
      <rPr>
        <sz val="9"/>
        <color theme="1"/>
        <rFont val="Calibri"/>
        <family val="2"/>
        <scheme val="minor"/>
      </rPr>
      <t>)</t>
    </r>
  </si>
  <si>
    <r>
      <t>CO</t>
    </r>
    <r>
      <rPr>
        <vertAlign val="subscript"/>
        <sz val="9"/>
        <color theme="1"/>
        <rFont val="Calibri"/>
        <family val="2"/>
        <scheme val="minor"/>
      </rPr>
      <t>2</t>
    </r>
    <r>
      <rPr>
        <sz val="9"/>
        <color theme="1"/>
        <rFont val="Calibri"/>
        <family val="2"/>
        <scheme val="minor"/>
      </rPr>
      <t xml:space="preserve"> Discounted at 3%</t>
    </r>
  </si>
  <si>
    <r>
      <t>Change in NOx 
(metric tons)</t>
    </r>
    <r>
      <rPr>
        <vertAlign val="superscript"/>
        <sz val="9"/>
        <color theme="1"/>
        <rFont val="Calibri"/>
        <family val="2"/>
        <scheme val="minor"/>
      </rPr>
      <t>1</t>
    </r>
  </si>
  <si>
    <r>
      <t>Change in SO2
(metric tons)</t>
    </r>
    <r>
      <rPr>
        <vertAlign val="superscript"/>
        <sz val="9"/>
        <color theme="1"/>
        <rFont val="Calibri"/>
        <family val="2"/>
        <scheme val="minor"/>
      </rPr>
      <t>1</t>
    </r>
  </si>
  <si>
    <r>
      <t>Change in PM
(metric tons)</t>
    </r>
    <r>
      <rPr>
        <vertAlign val="superscript"/>
        <sz val="9"/>
        <color theme="1"/>
        <rFont val="Calibri"/>
        <family val="2"/>
        <scheme val="minor"/>
      </rPr>
      <t>1</t>
    </r>
  </si>
  <si>
    <t>Source Type</t>
  </si>
  <si>
    <t>HPMS Description</t>
  </si>
  <si>
    <t>Auto/Truck</t>
  </si>
  <si>
    <t>Motorcycle</t>
  </si>
  <si>
    <t>Auto</t>
  </si>
  <si>
    <t>Light-Duty Vehicle</t>
  </si>
  <si>
    <t>Buses</t>
  </si>
  <si>
    <t>Truck</t>
  </si>
  <si>
    <t>Single-Unit Truck</t>
  </si>
  <si>
    <t>Combination Truck</t>
  </si>
  <si>
    <r>
      <t xml:space="preserve">Table 2 - Damage Costs for Emissions per metric ton </t>
    </r>
    <r>
      <rPr>
        <b/>
        <vertAlign val="superscript"/>
        <sz val="11"/>
        <color theme="1"/>
        <rFont val="Calibri"/>
        <family val="2"/>
        <scheme val="minor"/>
      </rPr>
      <t>(2)</t>
    </r>
  </si>
  <si>
    <t>*Damage costs for emissions in years beyond 2050 assume costs provided for year 2050.</t>
  </si>
  <si>
    <t>Average emission rates per vehicle type were obtained from the Environmental Protection Agency’s Motor Vehicle Emission Simulator (MOVES) version 3. The change in VMT between No Build and Build conditions was obtained from the microsimulation model and applied to emission rates by vehicle type. Similar adjustments to estimate daily VMT from the peak hour analyses discussed in the Operation Benefits section were applied in the Air Quality analysis.</t>
  </si>
  <si>
    <t>No Build Annual Crash Cost</t>
  </si>
  <si>
    <t>Build Annual Crash Cost</t>
  </si>
  <si>
    <t>Improvement</t>
  </si>
  <si>
    <t>Location</t>
  </si>
  <si>
    <t>52 NB Ramp Terminal</t>
  </si>
  <si>
    <t>52 SB Ramp Terminal</t>
  </si>
  <si>
    <r>
      <t xml:space="preserve">Table 3 - Crash Modification Factor (CMF) Summary </t>
    </r>
    <r>
      <rPr>
        <b/>
        <vertAlign val="superscript"/>
        <sz val="11"/>
        <color theme="1"/>
        <rFont val="Calibri"/>
        <family val="2"/>
        <scheme val="minor"/>
      </rPr>
      <t>2</t>
    </r>
  </si>
  <si>
    <t>Convert Intersection to RAB</t>
  </si>
  <si>
    <t>CMF</t>
  </si>
  <si>
    <t>Applicable to Crashes (Type/Severity)</t>
  </si>
  <si>
    <t>CMF Clearing House Star Rating</t>
  </si>
  <si>
    <t>All/K</t>
  </si>
  <si>
    <t>5 of 5</t>
  </si>
  <si>
    <t>All/A,B,C</t>
  </si>
  <si>
    <t>Table 5 - No Build Annual Crash Cost</t>
  </si>
  <si>
    <t>Interchange Crash Summary</t>
  </si>
  <si>
    <t>Mainline Improvements</t>
  </si>
  <si>
    <t>NB Ramp Terminal</t>
  </si>
  <si>
    <t>SB Ramp Terminal</t>
  </si>
  <si>
    <t>Peak</t>
  </si>
  <si>
    <t>Total Cost of Delay Per Year</t>
  </si>
  <si>
    <t>All Vehicle Delay (Hours Per Year)</t>
  </si>
  <si>
    <t>Auto Delay (Hours Per Year)</t>
  </si>
  <si>
    <t>Truck Delay (Hours Per Year)</t>
  </si>
  <si>
    <t>Total Entering Volume</t>
  </si>
  <si>
    <t>Delay/Vehicle (Seconds)</t>
  </si>
  <si>
    <t>Percent Heavy Vehicles</t>
  </si>
  <si>
    <t>Movement</t>
  </si>
  <si>
    <t>EBL</t>
  </si>
  <si>
    <t>EBT</t>
  </si>
  <si>
    <t>EBR</t>
  </si>
  <si>
    <t>WBL</t>
  </si>
  <si>
    <t>WBT</t>
  </si>
  <si>
    <t>WBR</t>
  </si>
  <si>
    <t>NBL</t>
  </si>
  <si>
    <t>NBT</t>
  </si>
  <si>
    <t>NBR</t>
  </si>
  <si>
    <t>SBL</t>
  </si>
  <si>
    <t>SBT</t>
  </si>
  <si>
    <t>SBR</t>
  </si>
  <si>
    <t>AM</t>
  </si>
  <si>
    <t>Turning Movement Volume</t>
  </si>
  <si>
    <t>% Heavy vehicles</t>
  </si>
  <si>
    <t>PM</t>
  </si>
  <si>
    <t>All Vehicle Delay (Hours)</t>
  </si>
  <si>
    <t>Auto Delay (Autos)</t>
  </si>
  <si>
    <t>Truck Delay (Hours)</t>
  </si>
  <si>
    <t>Delay</t>
  </si>
  <si>
    <t>Northbound Ramp Terminal Build</t>
  </si>
  <si>
    <t>Southbound Ramp Terminal Build</t>
  </si>
  <si>
    <t>Table 2 - Hourly Delay Cost</t>
  </si>
  <si>
    <t>Table 1 - Vehicle Occupancy</t>
  </si>
  <si>
    <t>Table 3 - Peak Hour Entering Volume</t>
  </si>
  <si>
    <r>
      <t>Table 4 - Annual Cost of Delay</t>
    </r>
    <r>
      <rPr>
        <b/>
        <vertAlign val="superscript"/>
        <sz val="11"/>
        <color theme="1"/>
        <rFont val="Calibri"/>
        <family val="2"/>
        <scheme val="minor"/>
      </rPr>
      <t xml:space="preserve"> 4</t>
    </r>
  </si>
  <si>
    <t>Passenger Vehicle</t>
  </si>
  <si>
    <t>Project Costs</t>
  </si>
  <si>
    <t>Low</t>
  </si>
  <si>
    <t>High</t>
  </si>
  <si>
    <t>Average</t>
  </si>
  <si>
    <t>RCV - Mainline Improvements</t>
  </si>
  <si>
    <t>RCV - Interchange Improvements</t>
  </si>
  <si>
    <t>Phase</t>
  </si>
  <si>
    <t>First Year of Benefits</t>
  </si>
  <si>
    <t>Cost</t>
  </si>
  <si>
    <t>% Life Remaining</t>
  </si>
  <si>
    <t>Interchange</t>
  </si>
  <si>
    <t>End Year of Benefit</t>
  </si>
  <si>
    <r>
      <t xml:space="preserve">Table 1 - KABCO Cost </t>
    </r>
    <r>
      <rPr>
        <b/>
        <vertAlign val="superscript"/>
        <sz val="11"/>
        <rFont val="Calibri"/>
        <family val="2"/>
        <scheme val="minor"/>
      </rPr>
      <t>1</t>
    </r>
  </si>
  <si>
    <t>RCV - Total</t>
  </si>
  <si>
    <t>CP 99-013 - CSAH 46 Expansion</t>
  </si>
  <si>
    <t>Maintenance Type</t>
  </si>
  <si>
    <t>Cost/year</t>
  </si>
  <si>
    <t>Patching</t>
  </si>
  <si>
    <t>2" Mill &amp; Overlay</t>
  </si>
  <si>
    <t>Crackseal</t>
  </si>
  <si>
    <t>Crack sealing/patching</t>
  </si>
  <si>
    <t>2040 Build Turning Movement Volume</t>
  </si>
  <si>
    <t>AM 2040 No-Build Turning Movement Volume</t>
  </si>
  <si>
    <t>PM 2040 No-Build Turning Movement Volume</t>
  </si>
  <si>
    <t>http://www.cmfclearinghouse.org/detail.cfm?facid=9156</t>
  </si>
  <si>
    <t>http://www.cmfclearinghouse.org/detail.cfm?facid=9157</t>
  </si>
  <si>
    <t>Existing</t>
  </si>
  <si>
    <t>Scenario</t>
  </si>
  <si>
    <t>Average User Cost No Build</t>
  </si>
  <si>
    <t>Average User Cost Build</t>
  </si>
  <si>
    <t># No Build Users</t>
  </si>
  <si>
    <t>Change in User Cost</t>
  </si>
  <si>
    <t>Number of Build Users</t>
  </si>
  <si>
    <t>Table 6 - NB Ramp  Terminal</t>
  </si>
  <si>
    <t>Table 6 - SB Ramp  Terminal</t>
  </si>
  <si>
    <t>Existing User Annual Benefit</t>
  </si>
  <si>
    <t>Additional User Added Benefit</t>
  </si>
  <si>
    <t>Total User Benefit</t>
  </si>
  <si>
    <t>Table 5 - Average Annual Cost of Delay Per User</t>
  </si>
  <si>
    <t>Table 4 - Peak Hour Entering Volume(AM+PM)</t>
  </si>
  <si>
    <t>Table 2 - Existing Crash History (2013-2021)</t>
  </si>
  <si>
    <t>Length (miles)</t>
  </si>
  <si>
    <t>9 Year VMT</t>
  </si>
  <si>
    <t>Table 3 - Segment Traffic Data (2013-2021)</t>
  </si>
  <si>
    <t>Near CSAH 46 SB Ramp Terminal</t>
  </si>
  <si>
    <t>Near CSAH 46 NB Ramp Terminal</t>
  </si>
  <si>
    <t>Average AADT</t>
  </si>
  <si>
    <t>Segment and Modification</t>
  </si>
  <si>
    <t>CMF Applied</t>
  </si>
  <si>
    <t>2 Lane to 4 Lane</t>
  </si>
  <si>
    <t>2 Lane+TWLTL to 4 Lane</t>
  </si>
  <si>
    <t>http://www.cmfclearinghouse.org/detail.cfm?facid=7566</t>
  </si>
  <si>
    <t>Derivation of CMF for conversion of a 2-Lane + TWLTL to a 4-Lane Divide:</t>
  </si>
  <si>
    <t>https://www.cmfclearinghouse.org/detail.cfm?facid=2337</t>
  </si>
  <si>
    <t>Source 1:</t>
  </si>
  <si>
    <t>Source 2:</t>
  </si>
  <si>
    <t>Table 5 - Segment CMFs</t>
  </si>
  <si>
    <t>Link:</t>
  </si>
  <si>
    <t>https://www.co.dakota.mn.us/Transportation/PlanningPrograms/Documents/2040TransportationPlan.pdf</t>
  </si>
  <si>
    <t>CSHA 46 West of Capitol Hwy</t>
  </si>
  <si>
    <t>CSHA 46 East of Capitol Hwy to East of Interchange</t>
  </si>
  <si>
    <t>Refer to Documentation (Right)</t>
  </si>
  <si>
    <t>Table 7 - Annual VMT By Segment</t>
  </si>
  <si>
    <t>Table 8 - Annual Crash Costs By Segment</t>
  </si>
  <si>
    <t>Table 4 - Annual Average Crashes And Crash Cost per VMT</t>
  </si>
  <si>
    <t>Total:</t>
  </si>
  <si>
    <t>2040 No-Build TMV</t>
  </si>
  <si>
    <t>The CMF Convert Intersection to RAB was obtained from CMF Clearing House: http://www.cmfclearinghouse.org/detail.cfm?facid=9156</t>
  </si>
  <si>
    <t>The CMF Convert Intersection to RAB was obtained from CMF Clearing House: http://www.cmfclearinghouse.org/detail.cfm?facid=9157</t>
  </si>
  <si>
    <t>Build Volume Data Shown in Red (Dakota County 2040 Transportation Plan)</t>
  </si>
  <si>
    <t>2040 No Build Volumes</t>
  </si>
  <si>
    <t>Source:</t>
  </si>
  <si>
    <t>CSAH 46 From TH 3 to US Highway 52 Preliminary Through 30% Final Design Traffic Forecasts  (April 27, 2021)</t>
  </si>
  <si>
    <r>
      <t>Table 6 - AADT Data</t>
    </r>
    <r>
      <rPr>
        <b/>
        <vertAlign val="superscript"/>
        <sz val="11"/>
        <color theme="1"/>
        <rFont val="Calibri"/>
        <family val="2"/>
        <scheme val="minor"/>
      </rPr>
      <t>1,2</t>
    </r>
  </si>
  <si>
    <t>Mainline</t>
  </si>
  <si>
    <t>Figure 1 - Typical Section - Build Conditions:</t>
  </si>
  <si>
    <t>Figure 1 - Proposed Interchange Improvements - Build Conditions:</t>
  </si>
  <si>
    <t xml:space="preserve"> BCA SUMMARY - Dakota County CSAH 46</t>
  </si>
  <si>
    <t>Under construction</t>
  </si>
  <si>
    <t>Construction complete</t>
  </si>
  <si>
    <t>Table 1 - Maintenance Costs for No-Build Conditions</t>
  </si>
  <si>
    <t>Extrapolation</t>
  </si>
  <si>
    <t>Table 2 - Maintenance Costs for No-Build Conditions</t>
  </si>
  <si>
    <t>Maintenance Costs for No-Build Conditions</t>
  </si>
  <si>
    <t>Maintenance Costs for Build Conditions</t>
  </si>
  <si>
    <t>CSAH 46 Mainline Crash Savings</t>
  </si>
  <si>
    <t>CSHA 46 and TH 52 Interchange Crash Savings</t>
  </si>
  <si>
    <t>STATE OF GOOD REPIAR</t>
  </si>
  <si>
    <t>Operation and Maintenance Savings</t>
  </si>
  <si>
    <t>Maintenance Cost Savomgs for Build Conditions</t>
  </si>
  <si>
    <t>7% Discount Total (Carbon discounted at 3%)</t>
  </si>
  <si>
    <t>Remaining Capital Value</t>
  </si>
  <si>
    <t>Total Cost Savings
($2020 - Undiscounted)</t>
  </si>
  <si>
    <t>Total Cost:</t>
  </si>
  <si>
    <t>ECONOMIC COMPETITIVENESS - USER BENEFIT CALCULATION OF REGIONAL TRAVEL TIME CHANGE (Mainline)</t>
  </si>
  <si>
    <t>Full Depth Reclamation</t>
  </si>
  <si>
    <t>Maintenance Costs - No Build</t>
  </si>
  <si>
    <t>Maintenance Costs - Build 4-lane expansion</t>
  </si>
  <si>
    <t>Change in NOx 
($)(2)</t>
  </si>
  <si>
    <r>
      <t>Change in SO2
($)</t>
    </r>
    <r>
      <rPr>
        <vertAlign val="superscript"/>
        <sz val="9"/>
        <color theme="1"/>
        <rFont val="Calibri"/>
        <family val="2"/>
        <scheme val="minor"/>
      </rPr>
      <t>(2)</t>
    </r>
  </si>
  <si>
    <t>MOVES Model Output (grams per VMT)</t>
  </si>
  <si>
    <t>Automobile (gallons per hour)</t>
  </si>
  <si>
    <t>Source: U.S. Department of Energy</t>
  </si>
  <si>
    <t>*Note conservative estimate does not include trucks which  reflects an undercount in benefits.</t>
  </si>
  <si>
    <t>U.S. Department of Energy, Vehicle Technology Office</t>
  </si>
  <si>
    <t>Table 5 - Average MPG for VMT Equivalent</t>
  </si>
  <si>
    <t>Fact of the Week # 861</t>
  </si>
  <si>
    <t>Type</t>
  </si>
  <si>
    <t>Average MPG</t>
  </si>
  <si>
    <t>Idle Consumption at Idle for Selected Gasoline and Diesel Vehicles</t>
  </si>
  <si>
    <t>Vehicle Type</t>
  </si>
  <si>
    <t>Fuel Type</t>
  </si>
  <si>
    <t>Engine Size (liter)</t>
  </si>
  <si>
    <t>Gross Vehicle Weight (GVW) (lb)</t>
  </si>
  <si>
    <t>Idling fuel use (Gal/hr with no load)</t>
  </si>
  <si>
    <t>Table 6 - VMT Equivalent</t>
  </si>
  <si>
    <t>Tractor-Semitrailer</t>
  </si>
  <si>
    <t>Diesel</t>
  </si>
  <si>
    <t>-</t>
  </si>
  <si>
    <t>1 hour of delay is equivalent to</t>
  </si>
  <si>
    <t>VMT</t>
  </si>
  <si>
    <t>Bucket Truck</t>
  </si>
  <si>
    <t>Transit Bus</t>
  </si>
  <si>
    <t>Medium Heavy Truck</t>
  </si>
  <si>
    <t>6-10</t>
  </si>
  <si>
    <t>23,000-33,000</t>
  </si>
  <si>
    <t>Tow Truck</t>
  </si>
  <si>
    <t>Delivery Truck</t>
  </si>
  <si>
    <t>Gas</t>
  </si>
  <si>
    <t>5-7</t>
  </si>
  <si>
    <t>19,700-26,000</t>
  </si>
  <si>
    <t>Compact Sedan</t>
  </si>
  <si>
    <t>Network</t>
  </si>
  <si>
    <t>Large Sedan</t>
  </si>
  <si>
    <t xml:space="preserve">Source: Argonne National Laboratory, Idling Reduction Savings Calculator, </t>
  </si>
  <si>
    <t>http://www.transportation.anl.gov/pdfs/idling_worksheet.pdf</t>
  </si>
  <si>
    <t>Table 3 - Inflation Adjustments - GDP Deflator</t>
  </si>
  <si>
    <t>Convert Year $2021 to $2020</t>
  </si>
  <si>
    <t>2020 Dollars</t>
  </si>
  <si>
    <t>Table 1 - Inflation Adjustments - GDP Deflator</t>
  </si>
  <si>
    <t>Table 2 - Total Project Cost</t>
  </si>
  <si>
    <t>Table 3 - Capital Cost Breakdown By Year</t>
  </si>
  <si>
    <t>2021 Dollars</t>
  </si>
  <si>
    <t>Table 3 - Average Gallons of Fuel Consumed Per Hour Idle</t>
  </si>
  <si>
    <t>Table 6 - Annual Time Spend Idling</t>
  </si>
  <si>
    <t>Table 6 - Annual  VMT Equivalent of Time Spend Idling</t>
  </si>
  <si>
    <t>CSAH 46 &amp; TH 52 Interchange Delay</t>
  </si>
  <si>
    <t>Delay in Hours</t>
  </si>
  <si>
    <t>Assumed Truck Percentage</t>
  </si>
  <si>
    <t>This analysis assumed that the Build Alternative would be constructed over a two-year period starting, starting in year 2025, with completion in year 2027. An additional two-year period is assumed for project planning and design between year 2023 and 2025. Year 2025 was assumed to be the first full year that most benefits will be accrued from the entirety of the project. The present value of all benefits and costs was calculated using 2020 as the year of current dollars.</t>
  </si>
  <si>
    <t>The present value of all benefits and costs was calculated using 2020 as the year of current dollars.</t>
  </si>
  <si>
    <t>Value of time, vehicle operating costs, emissions costs, and cost of crashes were obtained from the Benefit Cost Analysis Guidance for Discretionary Grant Programs, dated March 2022 (Revised) .  The analysis was completed using an assumed discount rate of seven percent.</t>
  </si>
  <si>
    <t>1.075 Growth Factor Applied to Account For Additional Users in 2018 Build AM/PM. Refer to Attachment D for detailes on modeled volumes.</t>
  </si>
  <si>
    <t>The analysis primarily focused on annual benefits for the twenty-year period from 2028 to 2047.</t>
  </si>
  <si>
    <t>HCM analysis was also conducted to evaluate the change in operations at the proposed CSAH 46 &amp; TH 52 interchange. Synchro/HCS models were developed for morning and afternoon peak hours to evaluate total user travel time under each operating condition</t>
  </si>
  <si>
    <t>Year 2019 and year 2040 volumes were developed for both the No Build and Build Alternatives based on travel pattern shifts from the regional travel demand model.</t>
  </si>
  <si>
    <t xml:space="preserve">Benefits for the years between 2019 and 2040 were interpolated based on model results using an annual growth rate. VMT and VHT for years beyond year 2040 were extrapolated using the same annual growth rate. Savings due to reduction of VMT and VHT were calculated using costs per mile and per hour that account for vehicle occupancy and different vehicle types. </t>
  </si>
  <si>
    <r>
      <t>Air quality  CO</t>
    </r>
    <r>
      <rPr>
        <vertAlign val="subscript"/>
        <sz val="9"/>
        <color theme="1"/>
        <rFont val="Calibri"/>
        <family val="2"/>
        <scheme val="minor"/>
      </rPr>
      <t>2'</t>
    </r>
  </si>
  <si>
    <r>
      <t>Table 4 - Project Schedule</t>
    </r>
    <r>
      <rPr>
        <b/>
        <vertAlign val="superscript"/>
        <sz val="11"/>
        <color theme="1"/>
        <rFont val="Calibri"/>
        <family val="2"/>
        <scheme val="minor"/>
      </rPr>
      <t>1</t>
    </r>
  </si>
  <si>
    <r>
      <t>Table 5 - Service Life and RCV Assumptions</t>
    </r>
    <r>
      <rPr>
        <b/>
        <vertAlign val="superscript"/>
        <sz val="11"/>
        <color theme="1"/>
        <rFont val="Calibri"/>
        <family val="2"/>
        <scheme val="minor"/>
      </rPr>
      <t>2</t>
    </r>
  </si>
  <si>
    <t>The value of emissions costs were obtained from the Benefit Cost Analysis Guidance for Discretionary Grant Programs, dated March 2022 (Revised) .  The analysis was completed using an assumed discount rate of seven percent. https://www.transportation.gov/sites/dot.gov/files/2022-03/Benefit%20Cost%20Analysis%20Guidance%202022%20%28Revised%29.pdf</t>
  </si>
  <si>
    <t>Changes in annual roadway maintenance costs are expected due to intensified maintenance that will be required to keep the No Build Alternative serviceable compared to what will be required on new infrastructure under the Build. Anticipated costs for the No Build and Build Alternatives were provided by MnDOT.</t>
  </si>
  <si>
    <t>The crash modification factor for the treatment Convert Two-Lane Undivided to Four-Lane Divided   was obtained from the CMF Clearinghouse database.  The crash modification factor was applied to all crashes that occurred in two-lane sections of CSAH  46.</t>
  </si>
  <si>
    <t>Crash data from 2013-2021 was obtained from a MnDOT crash database  to determine average annual number of crashes by severity. Reductions in crashes along the CSAH 46 corridor were estimated using crash modification factors for the CSAH 46 mainline and ramp terminal improvements.</t>
  </si>
  <si>
    <t>The crash modification factor for the treatment Install Two-Way Left-Turn Lane on Two Lane Road  was obtained from the CMF Clearinghouse database. This CMF along with the CMF Convert Two-Lane Undivided to Four-Lane Divided was used to derive the CMF for Convert Two-Lane with Two-Way Left-Turn Lane (TWTL) to Four-Lane Divided. Refer to the attached documentation which displays this derivation. The crash modification factor was applied to all crashes that occurred in TWLTL sections of CSAH  46.</t>
  </si>
  <si>
    <t>The assumed service life for the Build Alternative was 30 years, which was provided through coordination with MnDOT staff. In determining the remaining capital value of the Build Alternative, project components were assumed to have a linear depreciation from the time each phase was completed to the end of the benefit-cost analysis period. The remaining capital value quantities were discounted and attributed to other project benefits for the Build Alternative.</t>
  </si>
  <si>
    <t>Truck emissions were not quantified in this analysis.</t>
  </si>
  <si>
    <t>Annual delay is expected to be reduced by capacity expansion along. The change in equivalent VHT between No Build and Build conditions was obtained by applying an equivalent VHT to VMT factor  to quantify the environmental impacts of idling vehicles at the CSAH 46 &amp; TH 52 Interchange</t>
  </si>
  <si>
    <t>[1]Argonne National Laboratory, Idling Reduction Savings Calculator http://www.transportation.anl.gov/pdfs/idling_worksheet.pdf</t>
  </si>
  <si>
    <t>The truck percentage used in the analysis was 11.5 percent, based on a weighted average of year 2018 vehicle turning movement counts performed at the CSAH 46 and TH 52 Ramp Terminals.</t>
  </si>
  <si>
    <t>6)</t>
  </si>
  <si>
    <r>
      <t xml:space="preserve">Number of Days in a Year </t>
    </r>
    <r>
      <rPr>
        <vertAlign val="superscript"/>
        <sz val="9"/>
        <rFont val="Calibri"/>
        <family val="2"/>
        <scheme val="minor"/>
      </rPr>
      <t>(5)</t>
    </r>
  </si>
  <si>
    <r>
      <t xml:space="preserve">Value of Time </t>
    </r>
    <r>
      <rPr>
        <vertAlign val="superscript"/>
        <sz val="9"/>
        <rFont val="Calibri"/>
        <family val="2"/>
        <scheme val="minor"/>
      </rPr>
      <t>(6)</t>
    </r>
    <r>
      <rPr>
        <sz val="9"/>
        <rFont val="Calibri"/>
        <family val="2"/>
        <scheme val="minor"/>
      </rPr>
      <t xml:space="preserve"> - All-Purpose Travel</t>
    </r>
  </si>
  <si>
    <r>
      <t xml:space="preserve">Value of Time </t>
    </r>
    <r>
      <rPr>
        <vertAlign val="superscript"/>
        <sz val="9"/>
        <rFont val="Calibri"/>
        <family val="2"/>
        <scheme val="minor"/>
      </rPr>
      <t>(6)</t>
    </r>
    <r>
      <rPr>
        <sz val="9"/>
        <rFont val="Calibri"/>
        <family val="2"/>
        <scheme val="minor"/>
      </rPr>
      <t xml:space="preserve"> - Truck Travel</t>
    </r>
  </si>
  <si>
    <r>
      <t xml:space="preserve">Yearly Emissions Savings Carbon in Current Dollars ($) </t>
    </r>
    <r>
      <rPr>
        <vertAlign val="superscript"/>
        <sz val="9"/>
        <color theme="1"/>
        <rFont val="Calibri"/>
        <family val="2"/>
        <scheme val="minor"/>
      </rPr>
      <t>2</t>
    </r>
  </si>
  <si>
    <t>AADT Data for Build Conditions volumes was obtained from the Dakota County 2040 Transportation Plan: https://www.co.dakota.mn.us/Transportation/PlanningPrograms/Documents/2040TransportationPlan.pdf</t>
  </si>
  <si>
    <t>The Crash Modification factor for the  treatment Convert Intersection to RAB    was obtained from the CMF Clearinghouse database.  These crash modification factors were applied to appropriate severity types at crashes on the CSAH  46 &amp; TH 52 interchange ramp terminals.</t>
  </si>
  <si>
    <t>Table 2 - Existing Crash Data by Severity from  year 2013-2021</t>
  </si>
  <si>
    <t>Table 1 - KABCO Cost</t>
  </si>
  <si>
    <t>The value of crashes were obtained from the Benefit Cost Analysis Guidance for Discretionary Grant Programs, dated March 2022 (Revised) .  The analysis was completed using an assumed discount rate of seven percent.</t>
  </si>
  <si>
    <t>2040 No-Build Volumes were obtained from Traffic Forecast Memorandum: CSAH 46 From TH 3 to US Highway 52 Preliminary Through 30% Final Design Traffic Forecasts  (April 27,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</si>
</sst>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4" formatCode="_(&quot;$&quot;* #,##0.00_);_(&quot;$&quot;* \(#,##0.00\);_(&quot;$&quot;* &quot;-&quot;??_);_(@_)"/>
    <numFmt numFmtId="43" formatCode="_(* #,##0.00_);_(* \(#,##0.00\);_(* &quot;-&quot;??_);_(@_)"/>
    <numFmt numFmtId="164" formatCode="&quot;$&quot;#,##0"/>
    <numFmt numFmtId="165" formatCode="_(&quot;$&quot;* #,##0_);_(&quot;$&quot;* \(#,##0\);_(&quot;$&quot;* &quot;-&quot;??_);_(@_)"/>
    <numFmt numFmtId="166" formatCode="&quot;$&quot;#,##0\ ;\(&quot;$&quot;#,##0\)"/>
    <numFmt numFmtId="167" formatCode="0.00000"/>
    <numFmt numFmtId="168" formatCode="#,##0_);\(#,##0_)"/>
    <numFmt numFmtId="169" formatCode="_(* #,##0_);_(* \(#,##0\);_(* &quot;-&quot;??_);_(@_)"/>
    <numFmt numFmtId="170" formatCode="_(* #,##0.000_);_(* \(#,##0.000\);_(* &quot;-&quot;??_);_(@_)"/>
    <numFmt numFmtId="171" formatCode="&quot;$&quot;#,##0.00"/>
    <numFmt numFmtId="172" formatCode="0.0000"/>
    <numFmt numFmtId="173" formatCode="0.000"/>
    <numFmt numFmtId="174" formatCode="_(* #,##0.0000_);_(* \(#,##0.0000\);_(* &quot;-&quot;??_);_(@_)"/>
    <numFmt numFmtId="175" formatCode="0.0%"/>
    <numFmt numFmtId="176" formatCode="0.0"/>
    <numFmt numFmtId="177" formatCode="#,##0.000"/>
    <numFmt numFmtId="178" formatCode="#,##0.0_);\(#,##0.0\)"/>
    <numFmt numFmtId="179" formatCode="&quot;$&quot;#,##0.000_);[Red]\(&quot;$&quot;#,##0.000\)"/>
  </numFmts>
  <fonts count="44"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1"/>
      <color rgb="FFFF0000"/>
      <name val="Calibri"/>
      <family val="2"/>
      <scheme val="minor"/>
    </font>
    <font>
      <b/>
      <sz val="11"/>
      <color theme="1"/>
      <name val="Calibri"/>
      <family val="2"/>
      <scheme val="minor"/>
    </font>
    <font>
      <vertAlign val="superscript"/>
      <sz val="9"/>
      <color theme="1"/>
      <name val="Calibri"/>
      <family val="2"/>
      <scheme val="minor"/>
    </font>
    <font>
      <sz val="11"/>
      <name val="Calibri"/>
      <family val="2"/>
      <scheme val="minor"/>
    </font>
    <font>
      <sz val="10"/>
      <name val="Arial"/>
      <family val="2"/>
    </font>
    <font>
      <b/>
      <sz val="9"/>
      <name val="Calibri"/>
      <family val="2"/>
      <scheme val="minor"/>
    </font>
    <font>
      <sz val="9"/>
      <name val="Calibri"/>
      <family val="2"/>
      <scheme val="minor"/>
    </font>
    <font>
      <b/>
      <i/>
      <sz val="9"/>
      <name val="Calibri"/>
      <family val="2"/>
      <scheme val="minor"/>
    </font>
    <font>
      <b/>
      <sz val="12"/>
      <color theme="1"/>
      <name val="Calibri"/>
      <family val="2"/>
      <scheme val="minor"/>
    </font>
    <font>
      <sz val="11"/>
      <color theme="0" tint="-0.249977111117893"/>
      <name val="Calibri"/>
      <family val="2"/>
      <scheme val="minor"/>
    </font>
    <font>
      <sz val="9"/>
      <color theme="0" tint="-0.249977111117893"/>
      <name val="Calibri"/>
      <family val="2"/>
      <scheme val="minor"/>
    </font>
    <font>
      <sz val="11"/>
      <name val="Arial Narrow"/>
      <family val="2"/>
    </font>
    <font>
      <b/>
      <sz val="11"/>
      <name val="Calibri"/>
      <family val="2"/>
      <scheme val="minor"/>
    </font>
    <font>
      <b/>
      <sz val="18"/>
      <color theme="1"/>
      <name val="Calibri"/>
      <family val="2"/>
      <scheme val="minor"/>
    </font>
    <font>
      <sz val="9"/>
      <name val="Arial"/>
      <family val="2"/>
    </font>
    <font>
      <i/>
      <sz val="9"/>
      <name val="Calibri"/>
      <family val="2"/>
      <scheme val="minor"/>
    </font>
    <font>
      <b/>
      <sz val="11"/>
      <color rgb="FFFF0000"/>
      <name val="Calibri"/>
      <family val="2"/>
      <scheme val="minor"/>
    </font>
    <font>
      <vertAlign val="superscript"/>
      <sz val="9"/>
      <name val="Calibri"/>
      <family val="2"/>
      <scheme val="minor"/>
    </font>
    <font>
      <b/>
      <sz val="18"/>
      <color rgb="FFFF0000"/>
      <name val="Calibri"/>
      <family val="2"/>
      <scheme val="minor"/>
    </font>
    <font>
      <sz val="9"/>
      <color rgb="FFFF0000"/>
      <name val="Calibri"/>
      <family val="2"/>
      <scheme val="minor"/>
    </font>
    <font>
      <b/>
      <vertAlign val="superscript"/>
      <sz val="11"/>
      <color theme="1"/>
      <name val="Calibri"/>
      <family val="2"/>
      <scheme val="minor"/>
    </font>
    <font>
      <b/>
      <vertAlign val="superscript"/>
      <sz val="11"/>
      <name val="Calibri"/>
      <family val="2"/>
      <scheme val="minor"/>
    </font>
    <font>
      <u/>
      <sz val="11"/>
      <color theme="10"/>
      <name val="Calibri"/>
      <family val="2"/>
      <scheme val="minor"/>
    </font>
    <font>
      <b/>
      <sz val="11"/>
      <color rgb="FF000000"/>
      <name val="Calibri"/>
      <family val="2"/>
    </font>
    <font>
      <sz val="11"/>
      <color rgb="FF000000"/>
      <name val="Calibri"/>
      <family val="2"/>
    </font>
    <font>
      <sz val="9"/>
      <color theme="1"/>
      <name val="Franklin Gothic Medium"/>
      <family val="2"/>
    </font>
    <font>
      <sz val="9"/>
      <color theme="1"/>
      <name val="Garamond"/>
      <family val="1"/>
    </font>
    <font>
      <sz val="11"/>
      <color theme="0" tint="-0.499984740745262"/>
      <name val="Calibri"/>
      <family val="2"/>
      <scheme val="minor"/>
    </font>
    <font>
      <vertAlign val="subscript"/>
      <sz val="9"/>
      <color theme="1"/>
      <name val="Calibri"/>
      <family val="2"/>
      <scheme val="minor"/>
    </font>
    <font>
      <sz val="10"/>
      <name val="Arial"/>
      <family val="2"/>
    </font>
    <font>
      <b/>
      <u/>
      <sz val="11"/>
      <color theme="1"/>
      <name val="Calibri"/>
      <family val="2"/>
      <scheme val="minor"/>
    </font>
    <font>
      <u/>
      <sz val="11"/>
      <color theme="1"/>
      <name val="Calibri"/>
      <family val="2"/>
      <scheme val="minor"/>
    </font>
    <font>
      <sz val="8"/>
      <name val="Calibri"/>
      <family val="2"/>
      <scheme val="minor"/>
    </font>
    <font>
      <sz val="11"/>
      <color theme="0"/>
      <name val="Calibri"/>
      <family val="2"/>
      <scheme val="minor"/>
    </font>
    <font>
      <sz val="11"/>
      <color rgb="FF9C0006"/>
      <name val="Calibri"/>
      <family val="2"/>
      <scheme val="minor"/>
    </font>
    <font>
      <sz val="12"/>
      <name val="Arial"/>
      <family val="2"/>
    </font>
    <font>
      <u/>
      <sz val="10"/>
      <color indexed="12"/>
      <name val="Arial"/>
      <family val="2"/>
    </font>
    <font>
      <u/>
      <sz val="12"/>
      <color indexed="12"/>
      <name val="Arial"/>
      <family val="2"/>
    </font>
    <font>
      <b/>
      <sz val="12"/>
      <name val="Arial"/>
      <family val="2"/>
    </font>
    <font>
      <sz val="11"/>
      <color theme="4"/>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rgb="FFFFC7CE"/>
      </patternFill>
    </fill>
    <fill>
      <patternFill patternType="solid">
        <fgColor theme="8"/>
      </patternFill>
    </fill>
    <fill>
      <patternFill patternType="solid">
        <fgColor theme="0" tint="-0.14999847407452621"/>
        <bgColor indexed="64"/>
      </patternFill>
    </fill>
    <fill>
      <patternFill patternType="solid">
        <fgColor theme="8"/>
        <bgColor indexed="64"/>
      </patternFill>
    </fill>
    <fill>
      <patternFill patternType="solid">
        <fgColor theme="0" tint="-0.34998626667073579"/>
        <bgColor indexed="64"/>
      </patternFill>
    </fill>
    <fill>
      <patternFill patternType="solid">
        <fgColor theme="0"/>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bottom style="double">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s>
  <cellStyleXfs count="143">
    <xf numFmtId="0" fontId="0" fillId="0" borderId="0"/>
    <xf numFmtId="44"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3" fontId="8" fillId="0" borderId="0" applyFont="0" applyFill="0" applyBorder="0" applyAlignment="0" applyProtection="0"/>
    <xf numFmtId="166"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0" fontId="1" fillId="0" borderId="0"/>
    <xf numFmtId="0" fontId="15" fillId="0" borderId="0"/>
    <xf numFmtId="9" fontId="1"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 fillId="0" borderId="0" applyFont="0" applyFill="0" applyBorder="0" applyAlignment="0" applyProtection="0"/>
    <xf numFmtId="9" fontId="1" fillId="0" borderId="0" applyFont="0" applyFill="0" applyBorder="0" applyAlignment="0" applyProtection="0"/>
    <xf numFmtId="0" fontId="26" fillId="0" borderId="0" applyNumberFormat="0" applyFill="0" applyBorder="0" applyAlignment="0" applyProtection="0"/>
    <xf numFmtId="0" fontId="33" fillId="0" borderId="0"/>
    <xf numFmtId="0" fontId="38" fillId="3" borderId="0" applyNumberFormat="0" applyBorder="0" applyAlignment="0" applyProtection="0"/>
    <xf numFmtId="0" fontId="37" fillId="4" borderId="0" applyNumberFormat="0" applyBorder="0" applyAlignment="0" applyProtection="0"/>
    <xf numFmtId="0" fontId="40" fillId="0" borderId="0" applyNumberFormat="0" applyFill="0" applyBorder="0" applyAlignment="0" applyProtection="0">
      <alignment vertical="top"/>
      <protection locked="0"/>
    </xf>
  </cellStyleXfs>
  <cellXfs count="557">
    <xf numFmtId="0" fontId="0" fillId="0" borderId="0" xfId="0"/>
    <xf numFmtId="0" fontId="2" fillId="0" borderId="1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0" xfId="0" applyFont="1"/>
    <xf numFmtId="0" fontId="3" fillId="0" borderId="0" xfId="0" applyFont="1"/>
    <xf numFmtId="164" fontId="2" fillId="0" borderId="0" xfId="0" applyNumberFormat="1" applyFont="1" applyAlignment="1">
      <alignment horizontal="center"/>
    </xf>
    <xf numFmtId="164" fontId="2" fillId="0" borderId="19" xfId="0" applyNumberFormat="1" applyFont="1" applyBorder="1" applyAlignment="1">
      <alignment horizontal="center"/>
    </xf>
    <xf numFmtId="164" fontId="2" fillId="0" borderId="20" xfId="0" applyNumberFormat="1" applyFont="1" applyBorder="1" applyAlignment="1">
      <alignment horizontal="center"/>
    </xf>
    <xf numFmtId="164" fontId="2" fillId="0" borderId="2" xfId="0" applyNumberFormat="1" applyFont="1" applyBorder="1" applyAlignment="1">
      <alignment horizontal="center"/>
    </xf>
    <xf numFmtId="0" fontId="5" fillId="0" borderId="0" xfId="0" applyFont="1"/>
    <xf numFmtId="0" fontId="0" fillId="0" borderId="0" xfId="0" applyAlignment="1">
      <alignment horizontal="right"/>
    </xf>
    <xf numFmtId="0" fontId="9" fillId="0" borderId="0" xfId="0" applyFont="1" applyFill="1" applyBorder="1" applyAlignment="1">
      <alignment horizontal="left"/>
    </xf>
    <xf numFmtId="164" fontId="2" fillId="0" borderId="18" xfId="0" applyNumberFormat="1" applyFont="1" applyBorder="1" applyAlignment="1">
      <alignment horizontal="center" vertical="center"/>
    </xf>
    <xf numFmtId="0" fontId="0" fillId="0" borderId="0" xfId="0" applyAlignment="1">
      <alignment horizontal="center"/>
    </xf>
    <xf numFmtId="164" fontId="2" fillId="0" borderId="0" xfId="0" applyNumberFormat="1" applyFont="1" applyBorder="1" applyAlignment="1">
      <alignment horizontal="center"/>
    </xf>
    <xf numFmtId="165" fontId="2" fillId="0" borderId="0" xfId="0" applyNumberFormat="1" applyFont="1"/>
    <xf numFmtId="164" fontId="2" fillId="0" borderId="10" xfId="0" applyNumberFormat="1" applyFont="1" applyBorder="1" applyAlignment="1">
      <alignment horizontal="center"/>
    </xf>
    <xf numFmtId="0" fontId="2" fillId="0" borderId="0" xfId="0" applyFont="1" applyBorder="1" applyAlignment="1">
      <alignment horizontal="center"/>
    </xf>
    <xf numFmtId="1" fontId="2" fillId="0" borderId="0" xfId="0" applyNumberFormat="1" applyFont="1" applyBorder="1" applyAlignment="1">
      <alignment horizontal="center"/>
    </xf>
    <xf numFmtId="0" fontId="12" fillId="0" borderId="0" xfId="0" applyFont="1" applyBorder="1" applyAlignment="1">
      <alignment horizontal="center"/>
    </xf>
    <xf numFmtId="0" fontId="12" fillId="0" borderId="0" xfId="0" applyFont="1" applyAlignment="1">
      <alignment horizontal="center"/>
    </xf>
    <xf numFmtId="0" fontId="13" fillId="0" borderId="0" xfId="0" applyFont="1"/>
    <xf numFmtId="164" fontId="14" fillId="0" borderId="0" xfId="0" applyNumberFormat="1" applyFont="1" applyFill="1" applyBorder="1" applyAlignment="1">
      <alignment horizontal="center"/>
    </xf>
    <xf numFmtId="0" fontId="0" fillId="0" borderId="38" xfId="0" applyBorder="1"/>
    <xf numFmtId="0" fontId="5" fillId="2" borderId="41" xfId="0" applyFont="1" applyFill="1" applyBorder="1"/>
    <xf numFmtId="0" fontId="5" fillId="2" borderId="40" xfId="0" applyFont="1" applyFill="1" applyBorder="1"/>
    <xf numFmtId="9" fontId="5" fillId="2" borderId="36" xfId="0" applyNumberFormat="1" applyFont="1" applyFill="1" applyBorder="1" applyAlignment="1">
      <alignment horizontal="center"/>
    </xf>
    <xf numFmtId="0" fontId="0" fillId="0" borderId="0" xfId="0" applyFill="1"/>
    <xf numFmtId="0" fontId="0" fillId="0" borderId="0" xfId="0" applyFill="1" applyAlignment="1"/>
    <xf numFmtId="0" fontId="5" fillId="0" borderId="0" xfId="0" applyFont="1" applyFill="1"/>
    <xf numFmtId="0" fontId="2" fillId="0" borderId="14" xfId="0" applyFont="1" applyFill="1" applyBorder="1" applyAlignment="1">
      <alignment horizontal="center"/>
    </xf>
    <xf numFmtId="0" fontId="2" fillId="0" borderId="15" xfId="0" applyFont="1" applyFill="1" applyBorder="1" applyAlignment="1">
      <alignment horizontal="center"/>
    </xf>
    <xf numFmtId="0" fontId="2" fillId="0" borderId="0" xfId="0" applyFont="1" applyFill="1"/>
    <xf numFmtId="0" fontId="0" fillId="0" borderId="0" xfId="0" applyFill="1" applyAlignment="1">
      <alignment horizontal="right"/>
    </xf>
    <xf numFmtId="0" fontId="0" fillId="0" borderId="0" xfId="0" applyFill="1" applyBorder="1"/>
    <xf numFmtId="0" fontId="0" fillId="0" borderId="0" xfId="0" applyFill="1" applyAlignment="1">
      <alignment vertical="top" wrapText="1"/>
    </xf>
    <xf numFmtId="0" fontId="0" fillId="0" borderId="0" xfId="0" applyBorder="1"/>
    <xf numFmtId="1" fontId="0" fillId="0" borderId="0" xfId="0" applyNumberFormat="1" applyFill="1" applyBorder="1"/>
    <xf numFmtId="0" fontId="0" fillId="0" borderId="0" xfId="0" applyFont="1" applyFill="1"/>
    <xf numFmtId="0" fontId="0" fillId="0" borderId="0" xfId="0" applyBorder="1" applyAlignment="1">
      <alignment horizontal="center"/>
    </xf>
    <xf numFmtId="0" fontId="17" fillId="0" borderId="0" xfId="0" applyFont="1"/>
    <xf numFmtId="168" fontId="19" fillId="0" borderId="0" xfId="2" applyNumberFormat="1" applyFont="1" applyFill="1" applyBorder="1" applyAlignment="1">
      <alignment horizontal="left" vertical="center"/>
    </xf>
    <xf numFmtId="0" fontId="10" fillId="0" borderId="0" xfId="2" applyFont="1" applyFill="1" applyBorder="1" applyAlignment="1">
      <alignment horizontal="left"/>
    </xf>
    <xf numFmtId="0" fontId="10" fillId="0" borderId="0" xfId="2" applyFont="1" applyFill="1" applyBorder="1" applyAlignment="1">
      <alignment horizontal="left" vertical="center"/>
    </xf>
    <xf numFmtId="167" fontId="10" fillId="0" borderId="0" xfId="2" applyNumberFormat="1" applyFont="1" applyFill="1" applyBorder="1" applyAlignment="1">
      <alignment horizontal="left"/>
    </xf>
    <xf numFmtId="0" fontId="9" fillId="0" borderId="0" xfId="2" applyFont="1" applyFill="1" applyBorder="1" applyAlignment="1">
      <alignment horizontal="left"/>
    </xf>
    <xf numFmtId="170" fontId="18" fillId="0" borderId="0" xfId="7" applyNumberFormat="1" applyFont="1" applyFill="1" applyAlignment="1">
      <alignment horizontal="center"/>
    </xf>
    <xf numFmtId="0" fontId="2" fillId="0" borderId="44" xfId="0" applyFont="1" applyFill="1" applyBorder="1" applyAlignment="1">
      <alignment horizontal="center"/>
    </xf>
    <xf numFmtId="6" fontId="2" fillId="0" borderId="0" xfId="0" applyNumberFormat="1" applyFont="1" applyFill="1" applyBorder="1" applyAlignment="1">
      <alignment horizontal="right" indent="1"/>
    </xf>
    <xf numFmtId="0" fontId="18" fillId="0" borderId="0" xfId="0" applyFont="1" applyFill="1" applyAlignment="1">
      <alignment horizontal="right"/>
    </xf>
    <xf numFmtId="0" fontId="20" fillId="0" borderId="0" xfId="0" applyFont="1" applyAlignment="1">
      <alignment horizontal="center"/>
    </xf>
    <xf numFmtId="0" fontId="9" fillId="0" borderId="0" xfId="2" applyFont="1" applyFill="1" applyBorder="1" applyAlignment="1">
      <alignment horizontal="left" vertical="center"/>
    </xf>
    <xf numFmtId="0" fontId="10" fillId="0" borderId="26" xfId="2" applyFont="1" applyFill="1" applyBorder="1" applyAlignment="1">
      <alignment horizontal="left" vertical="center"/>
    </xf>
    <xf numFmtId="0" fontId="11" fillId="0" borderId="0" xfId="2" applyFont="1" applyFill="1" applyBorder="1" applyAlignment="1">
      <alignment horizontal="left"/>
    </xf>
    <xf numFmtId="0" fontId="9" fillId="0" borderId="26" xfId="2" applyFont="1" applyFill="1" applyBorder="1" applyAlignment="1">
      <alignment horizontal="center" vertical="center"/>
    </xf>
    <xf numFmtId="0" fontId="7" fillId="0" borderId="0" xfId="0" applyFont="1" applyFill="1" applyBorder="1" applyAlignment="1">
      <alignment horizontal="left" vertical="center" wrapText="1"/>
    </xf>
    <xf numFmtId="0" fontId="5" fillId="0" borderId="26" xfId="0" applyFont="1" applyFill="1" applyBorder="1" applyAlignment="1">
      <alignment horizontal="center"/>
    </xf>
    <xf numFmtId="0" fontId="0" fillId="0" borderId="0" xfId="0" applyFill="1" applyAlignment="1">
      <alignment vertical="top"/>
    </xf>
    <xf numFmtId="0" fontId="20" fillId="0" borderId="0" xfId="0" applyFont="1" applyFill="1" applyAlignment="1">
      <alignment horizontal="center"/>
    </xf>
    <xf numFmtId="0" fontId="5" fillId="0" borderId="0" xfId="0" applyFont="1" applyFill="1" applyBorder="1" applyAlignment="1">
      <alignment horizontal="center"/>
    </xf>
    <xf numFmtId="2" fontId="0" fillId="0" borderId="0" xfId="0" applyNumberFormat="1" applyFill="1" applyBorder="1" applyAlignment="1">
      <alignment horizontal="center"/>
    </xf>
    <xf numFmtId="0" fontId="4" fillId="0" borderId="0" xfId="0" applyFont="1" applyFill="1"/>
    <xf numFmtId="0" fontId="0" fillId="0" borderId="0" xfId="0" applyFont="1" applyFill="1" applyAlignment="1">
      <alignment vertical="top" wrapText="1"/>
    </xf>
    <xf numFmtId="0" fontId="7" fillId="0" borderId="0" xfId="0" applyFont="1" applyFill="1" applyBorder="1" applyAlignment="1">
      <alignment horizontal="right"/>
    </xf>
    <xf numFmtId="0" fontId="16" fillId="0" borderId="0" xfId="0" applyFont="1" applyFill="1" applyBorder="1" applyAlignment="1">
      <alignment horizontal="right"/>
    </xf>
    <xf numFmtId="0" fontId="7" fillId="0" borderId="0" xfId="2" applyFont="1" applyFill="1" applyBorder="1" applyAlignment="1">
      <alignment horizontal="right"/>
    </xf>
    <xf numFmtId="0" fontId="10" fillId="0" borderId="0" xfId="2" applyFont="1" applyFill="1" applyBorder="1" applyAlignment="1">
      <alignment horizontal="right"/>
    </xf>
    <xf numFmtId="0" fontId="7" fillId="0" borderId="0" xfId="2" applyFont="1" applyFill="1" applyBorder="1" applyAlignment="1">
      <alignment vertical="top" wrapText="1"/>
    </xf>
    <xf numFmtId="0" fontId="23" fillId="0" borderId="0" xfId="2" applyFont="1" applyFill="1" applyBorder="1" applyAlignment="1">
      <alignment horizontal="left"/>
    </xf>
    <xf numFmtId="0" fontId="10" fillId="0" borderId="0" xfId="2" applyFont="1" applyFill="1" applyBorder="1" applyAlignment="1">
      <alignment horizontal="right" vertical="center"/>
    </xf>
    <xf numFmtId="0" fontId="4" fillId="0" borderId="0" xfId="0" applyFont="1"/>
    <xf numFmtId="0" fontId="0" fillId="0" borderId="26" xfId="0" applyFill="1" applyBorder="1" applyAlignment="1">
      <alignment horizontal="left"/>
    </xf>
    <xf numFmtId="10" fontId="10" fillId="0" borderId="0" xfId="2" applyNumberFormat="1" applyFont="1" applyFill="1" applyBorder="1" applyAlignment="1">
      <alignment horizontal="center" vertical="center"/>
    </xf>
    <xf numFmtId="173" fontId="0" fillId="0" borderId="0" xfId="0" applyNumberFormat="1" applyFill="1" applyBorder="1" applyAlignment="1">
      <alignment horizontal="center"/>
    </xf>
    <xf numFmtId="0" fontId="0" fillId="0" borderId="0" xfId="0" applyFont="1" applyFill="1" applyBorder="1"/>
    <xf numFmtId="0" fontId="0" fillId="0" borderId="0" xfId="0" applyFont="1" applyFill="1" applyBorder="1" applyAlignment="1">
      <alignment horizontal="center"/>
    </xf>
    <xf numFmtId="164" fontId="0" fillId="0" borderId="0" xfId="0" applyNumberFormat="1" applyFont="1" applyFill="1" applyBorder="1" applyAlignment="1">
      <alignment horizontal="center"/>
    </xf>
    <xf numFmtId="0" fontId="0" fillId="0" borderId="0" xfId="0" applyFill="1" applyAlignment="1">
      <alignment horizontal="center"/>
    </xf>
    <xf numFmtId="0" fontId="0" fillId="0" borderId="0" xfId="0" applyAlignment="1">
      <alignment vertical="top" wrapText="1"/>
    </xf>
    <xf numFmtId="0" fontId="0" fillId="0" borderId="0" xfId="0" applyBorder="1" applyAlignment="1">
      <alignment vertical="top" wrapText="1"/>
    </xf>
    <xf numFmtId="0" fontId="0" fillId="0" borderId="0" xfId="0" applyAlignment="1">
      <alignment horizontal="left"/>
    </xf>
    <xf numFmtId="0" fontId="0" fillId="0" borderId="0" xfId="0" applyFill="1" applyBorder="1" applyAlignment="1">
      <alignment horizontal="left"/>
    </xf>
    <xf numFmtId="3" fontId="0" fillId="0" borderId="0" xfId="137" applyNumberFormat="1" applyFont="1" applyFill="1" applyBorder="1" applyAlignment="1">
      <alignment horizontal="center"/>
    </xf>
    <xf numFmtId="171" fontId="0" fillId="0" borderId="0" xfId="1" applyNumberFormat="1" applyFont="1" applyFill="1" applyBorder="1" applyAlignment="1">
      <alignment horizontal="center"/>
    </xf>
    <xf numFmtId="1" fontId="0" fillId="0" borderId="0" xfId="0" applyNumberFormat="1"/>
    <xf numFmtId="174" fontId="0" fillId="0" borderId="0" xfId="0" applyNumberFormat="1" applyFill="1" applyBorder="1"/>
    <xf numFmtId="164" fontId="0" fillId="0" borderId="0" xfId="0" applyNumberFormat="1" applyFill="1" applyBorder="1"/>
    <xf numFmtId="6" fontId="2" fillId="0" borderId="45" xfId="0" applyNumberFormat="1" applyFont="1" applyFill="1" applyBorder="1" applyAlignment="1">
      <alignment horizontal="right" indent="1"/>
    </xf>
    <xf numFmtId="0" fontId="5" fillId="0" borderId="0" xfId="0" applyFont="1" applyAlignment="1">
      <alignment horizontal="right"/>
    </xf>
    <xf numFmtId="0" fontId="0" fillId="0" borderId="0" xfId="0" applyFill="1" applyAlignment="1">
      <alignment horizontal="left" vertical="top" wrapText="1"/>
    </xf>
    <xf numFmtId="0" fontId="7" fillId="0" borderId="0" xfId="0" applyFont="1" applyFill="1" applyBorder="1" applyAlignment="1">
      <alignment vertical="top" wrapText="1"/>
    </xf>
    <xf numFmtId="0" fontId="0" fillId="0" borderId="0" xfId="0"/>
    <xf numFmtId="6" fontId="3" fillId="0" borderId="0" xfId="0" applyNumberFormat="1" applyFont="1" applyFill="1" applyAlignment="1">
      <alignment horizontal="right"/>
    </xf>
    <xf numFmtId="164" fontId="0" fillId="2" borderId="43" xfId="0" applyNumberFormat="1" applyFill="1" applyBorder="1" applyAlignment="1">
      <alignment horizontal="center"/>
    </xf>
    <xf numFmtId="164" fontId="0" fillId="2" borderId="39" xfId="0" applyNumberFormat="1" applyFill="1" applyBorder="1" applyAlignment="1">
      <alignment horizontal="center"/>
    </xf>
    <xf numFmtId="0" fontId="2" fillId="0" borderId="5" xfId="0" applyFont="1" applyBorder="1" applyAlignment="1">
      <alignment horizontal="center"/>
    </xf>
    <xf numFmtId="0" fontId="2" fillId="0" borderId="7" xfId="0" applyFont="1" applyBorder="1" applyAlignment="1">
      <alignment horizontal="center"/>
    </xf>
    <xf numFmtId="0" fontId="2" fillId="0" borderId="9" xfId="0" applyFont="1" applyBorder="1" applyAlignment="1">
      <alignment horizontal="center"/>
    </xf>
    <xf numFmtId="0" fontId="5" fillId="0" borderId="26" xfId="0" applyFont="1" applyBorder="1"/>
    <xf numFmtId="0" fontId="5" fillId="0" borderId="26" xfId="0" applyFont="1" applyBorder="1" applyAlignment="1">
      <alignment horizontal="center"/>
    </xf>
    <xf numFmtId="165" fontId="2" fillId="0" borderId="0" xfId="0" applyNumberFormat="1" applyFont="1" applyAlignment="1">
      <alignment horizontal="center"/>
    </xf>
    <xf numFmtId="0" fontId="0" fillId="0" borderId="0" xfId="0" applyAlignment="1">
      <alignment wrapText="1"/>
    </xf>
    <xf numFmtId="171" fontId="10" fillId="0" borderId="0" xfId="2" applyNumberFormat="1" applyFont="1" applyFill="1" applyBorder="1" applyAlignment="1">
      <alignment horizontal="left" vertical="center"/>
    </xf>
    <xf numFmtId="0" fontId="26" fillId="0" borderId="0" xfId="138" applyFill="1"/>
    <xf numFmtId="0" fontId="5" fillId="0" borderId="27" xfId="0" applyFont="1" applyBorder="1" applyAlignment="1">
      <alignment horizontal="left"/>
    </xf>
    <xf numFmtId="6" fontId="2" fillId="0" borderId="26" xfId="0" applyNumberFormat="1" applyFont="1" applyBorder="1" applyAlignment="1">
      <alignment horizontal="center"/>
    </xf>
    <xf numFmtId="6" fontId="2" fillId="0" borderId="19" xfId="0" applyNumberFormat="1" applyFont="1" applyBorder="1" applyAlignment="1">
      <alignment horizontal="center"/>
    </xf>
    <xf numFmtId="0" fontId="23" fillId="0" borderId="0" xfId="0" applyFont="1"/>
    <xf numFmtId="6" fontId="3" fillId="0" borderId="0" xfId="0" applyNumberFormat="1" applyFont="1"/>
    <xf numFmtId="0" fontId="0" fillId="0" borderId="0" xfId="0" applyAlignment="1">
      <alignment vertical="top"/>
    </xf>
    <xf numFmtId="6" fontId="2" fillId="0" borderId="43" xfId="0" applyNumberFormat="1" applyFont="1" applyBorder="1" applyAlignment="1">
      <alignment horizontal="center"/>
    </xf>
    <xf numFmtId="6" fontId="2" fillId="0" borderId="14" xfId="0" applyNumberFormat="1" applyFont="1" applyBorder="1" applyAlignment="1">
      <alignment horizontal="center"/>
    </xf>
    <xf numFmtId="0" fontId="10" fillId="0" borderId="26" xfId="2" applyFont="1" applyBorder="1" applyAlignment="1">
      <alignment horizontal="left" vertical="center"/>
    </xf>
    <xf numFmtId="171" fontId="10" fillId="0" borderId="26" xfId="2" applyNumberFormat="1" applyFont="1" applyBorder="1" applyAlignment="1">
      <alignment horizontal="left" vertical="center"/>
    </xf>
    <xf numFmtId="0" fontId="10" fillId="0" borderId="26" xfId="2" applyFont="1" applyFill="1" applyBorder="1" applyAlignment="1">
      <alignment horizontal="center" vertical="center"/>
    </xf>
    <xf numFmtId="2" fontId="10" fillId="0" borderId="26" xfId="2" applyNumberFormat="1" applyFont="1" applyFill="1" applyBorder="1" applyAlignment="1">
      <alignment horizontal="center" vertical="center"/>
    </xf>
    <xf numFmtId="6" fontId="2" fillId="0" borderId="14" xfId="0" applyNumberFormat="1" applyFont="1" applyFill="1" applyBorder="1" applyAlignment="1">
      <alignment horizontal="right" indent="1"/>
    </xf>
    <xf numFmtId="6" fontId="2" fillId="0" borderId="15" xfId="0" applyNumberFormat="1" applyFont="1" applyFill="1" applyBorder="1" applyAlignment="1">
      <alignment horizontal="right" inden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xf>
    <xf numFmtId="0" fontId="2" fillId="0" borderId="9" xfId="0" applyFont="1" applyFill="1" applyBorder="1" applyAlignment="1">
      <alignment horizontal="center"/>
    </xf>
    <xf numFmtId="6" fontId="2" fillId="0" borderId="44" xfId="0" applyNumberFormat="1" applyFont="1" applyFill="1" applyBorder="1" applyAlignment="1">
      <alignment horizontal="right" indent="1"/>
    </xf>
    <xf numFmtId="6" fontId="2" fillId="0" borderId="12" xfId="0" applyNumberFormat="1" applyFont="1" applyFill="1" applyBorder="1" applyAlignment="1">
      <alignment horizontal="right" indent="1"/>
    </xf>
    <xf numFmtId="6" fontId="2" fillId="0" borderId="18" xfId="0" applyNumberFormat="1" applyFont="1" applyFill="1" applyBorder="1" applyAlignment="1">
      <alignment horizontal="right"/>
    </xf>
    <xf numFmtId="6" fontId="2" fillId="0" borderId="19" xfId="0" applyNumberFormat="1" applyFont="1" applyFill="1" applyBorder="1" applyAlignment="1">
      <alignment horizontal="right"/>
    </xf>
    <xf numFmtId="6" fontId="2" fillId="0" borderId="20" xfId="0" applyNumberFormat="1" applyFont="1" applyFill="1" applyBorder="1" applyAlignment="1">
      <alignment horizontal="right"/>
    </xf>
    <xf numFmtId="0" fontId="22" fillId="0" borderId="0" xfId="2" applyFont="1" applyFill="1" applyBorder="1" applyAlignment="1"/>
    <xf numFmtId="171" fontId="10" fillId="0" borderId="26" xfId="2" applyNumberFormat="1" applyFont="1" applyFill="1" applyBorder="1" applyAlignment="1">
      <alignment horizontal="left" vertical="center"/>
    </xf>
    <xf numFmtId="6" fontId="2" fillId="0" borderId="41" xfId="0" applyNumberFormat="1" applyFont="1" applyFill="1" applyBorder="1" applyAlignment="1">
      <alignment horizontal="right" indent="1"/>
    </xf>
    <xf numFmtId="6" fontId="2" fillId="0" borderId="7" xfId="0" applyNumberFormat="1" applyFont="1" applyFill="1" applyBorder="1" applyAlignment="1">
      <alignment horizontal="right" indent="1"/>
    </xf>
    <xf numFmtId="6" fontId="2" fillId="0" borderId="9" xfId="0" applyNumberFormat="1" applyFont="1" applyFill="1" applyBorder="1" applyAlignment="1">
      <alignment horizontal="right" indent="1"/>
    </xf>
    <xf numFmtId="6" fontId="0" fillId="0" borderId="0" xfId="0" applyNumberFormat="1" applyBorder="1"/>
    <xf numFmtId="164" fontId="2" fillId="0" borderId="13" xfId="0" applyNumberFormat="1" applyFont="1" applyFill="1" applyBorder="1" applyAlignment="1">
      <alignment horizontal="center"/>
    </xf>
    <xf numFmtId="164" fontId="2" fillId="0" borderId="14" xfId="0" applyNumberFormat="1" applyFont="1" applyFill="1" applyBorder="1" applyAlignment="1">
      <alignment horizontal="center"/>
    </xf>
    <xf numFmtId="164" fontId="2" fillId="0" borderId="15" xfId="0" applyNumberFormat="1" applyFont="1" applyFill="1" applyBorder="1" applyAlignment="1">
      <alignment horizontal="center"/>
    </xf>
    <xf numFmtId="0" fontId="0" fillId="0" borderId="0" xfId="0" applyFill="1" applyBorder="1" applyAlignment="1">
      <alignment horizontal="center"/>
    </xf>
    <xf numFmtId="0" fontId="0" fillId="0" borderId="26" xfId="0" applyFont="1" applyFill="1" applyBorder="1" applyAlignment="1">
      <alignment horizontal="center"/>
    </xf>
    <xf numFmtId="164" fontId="2" fillId="0" borderId="44" xfId="0" applyNumberFormat="1" applyFont="1" applyFill="1" applyBorder="1" applyAlignment="1">
      <alignment horizontal="center"/>
    </xf>
    <xf numFmtId="6" fontId="2" fillId="0" borderId="26" xfId="136" applyNumberFormat="1" applyFont="1" applyFill="1" applyBorder="1" applyAlignment="1">
      <alignment horizontal="right"/>
    </xf>
    <xf numFmtId="6" fontId="2" fillId="0" borderId="33" xfId="136" applyNumberFormat="1" applyFont="1" applyFill="1" applyBorder="1" applyAlignment="1">
      <alignment horizontal="right"/>
    </xf>
    <xf numFmtId="6" fontId="2" fillId="0" borderId="49" xfId="136" applyNumberFormat="1" applyFont="1" applyFill="1" applyBorder="1" applyAlignment="1">
      <alignment horizontal="right"/>
    </xf>
    <xf numFmtId="6" fontId="2" fillId="0" borderId="51" xfId="136" applyNumberFormat="1" applyFont="1" applyFill="1" applyBorder="1" applyAlignment="1">
      <alignment horizontal="right"/>
    </xf>
    <xf numFmtId="6" fontId="2" fillId="0" borderId="34" xfId="136" applyNumberFormat="1" applyFont="1" applyFill="1" applyBorder="1" applyAlignment="1">
      <alignment horizontal="right"/>
    </xf>
    <xf numFmtId="6" fontId="2" fillId="0" borderId="50" xfId="136" applyNumberFormat="1" applyFont="1" applyFill="1" applyBorder="1" applyAlignment="1">
      <alignment horizontal="right"/>
    </xf>
    <xf numFmtId="164" fontId="0" fillId="0" borderId="26" xfId="0" applyNumberFormat="1" applyFont="1" applyFill="1" applyBorder="1" applyAlignment="1">
      <alignment horizontal="center"/>
    </xf>
    <xf numFmtId="169" fontId="0" fillId="0" borderId="0" xfId="136" applyNumberFormat="1" applyFont="1" applyFill="1" applyBorder="1"/>
    <xf numFmtId="2" fontId="0" fillId="0" borderId="26" xfId="137" applyNumberFormat="1" applyFont="1" applyFill="1" applyBorder="1" applyAlignment="1">
      <alignment horizontal="center"/>
    </xf>
    <xf numFmtId="171" fontId="0" fillId="0" borderId="26" xfId="1" applyNumberFormat="1" applyFont="1" applyFill="1" applyBorder="1" applyAlignment="1">
      <alignment horizontal="center"/>
    </xf>
    <xf numFmtId="6" fontId="2" fillId="0" borderId="50" xfId="0" applyNumberFormat="1" applyFont="1" applyBorder="1" applyAlignment="1">
      <alignment horizontal="center"/>
    </xf>
    <xf numFmtId="6" fontId="2" fillId="0" borderId="20" xfId="0" applyNumberFormat="1" applyFont="1" applyBorder="1" applyAlignment="1">
      <alignment horizontal="center"/>
    </xf>
    <xf numFmtId="6" fontId="2" fillId="0" borderId="15" xfId="0" applyNumberFormat="1" applyFont="1" applyBorder="1" applyAlignment="1">
      <alignment horizontal="center"/>
    </xf>
    <xf numFmtId="6" fontId="2" fillId="0" borderId="56" xfId="0" applyNumberFormat="1" applyFont="1" applyBorder="1" applyAlignment="1">
      <alignment horizontal="center"/>
    </xf>
    <xf numFmtId="6" fontId="2" fillId="0" borderId="57" xfId="0" applyNumberFormat="1" applyFont="1" applyBorder="1" applyAlignment="1">
      <alignment horizontal="center"/>
    </xf>
    <xf numFmtId="0" fontId="5" fillId="2" borderId="58" xfId="0" applyFont="1" applyFill="1" applyBorder="1"/>
    <xf numFmtId="0" fontId="5" fillId="2" borderId="34" xfId="0" applyFont="1" applyFill="1" applyBorder="1"/>
    <xf numFmtId="164" fontId="0" fillId="0" borderId="20" xfId="0" applyNumberFormat="1" applyFill="1" applyBorder="1" applyAlignment="1">
      <alignment horizontal="center"/>
    </xf>
    <xf numFmtId="176" fontId="2" fillId="0" borderId="41" xfId="0" applyNumberFormat="1" applyFont="1" applyBorder="1" applyAlignment="1">
      <alignment horizontal="center"/>
    </xf>
    <xf numFmtId="6" fontId="2" fillId="0" borderId="42" xfId="0" applyNumberFormat="1" applyFont="1" applyBorder="1" applyAlignment="1">
      <alignment horizontal="center"/>
    </xf>
    <xf numFmtId="176" fontId="2" fillId="0" borderId="9" xfId="0" applyNumberFormat="1" applyFont="1" applyBorder="1" applyAlignment="1">
      <alignment horizontal="center"/>
    </xf>
    <xf numFmtId="6" fontId="2" fillId="0" borderId="34" xfId="0" applyNumberFormat="1" applyFont="1" applyBorder="1" applyAlignment="1">
      <alignment horizontal="center"/>
    </xf>
    <xf numFmtId="6" fontId="2" fillId="0" borderId="0" xfId="0" applyNumberFormat="1" applyFont="1" applyAlignment="1">
      <alignment horizontal="center"/>
    </xf>
    <xf numFmtId="0" fontId="0" fillId="0" borderId="47" xfId="0" applyBorder="1" applyAlignment="1"/>
    <xf numFmtId="0" fontId="2" fillId="0" borderId="0" xfId="0" applyFont="1" applyBorder="1"/>
    <xf numFmtId="0" fontId="5" fillId="0" borderId="0" xfId="0" applyFont="1" applyBorder="1" applyAlignment="1">
      <alignment horizontal="center"/>
    </xf>
    <xf numFmtId="164" fontId="0" fillId="0" borderId="0" xfId="0" applyNumberFormat="1" applyBorder="1"/>
    <xf numFmtId="0" fontId="0" fillId="0" borderId="26" xfId="0" applyFill="1" applyBorder="1" applyAlignment="1">
      <alignment horizontal="center" vertical="center"/>
    </xf>
    <xf numFmtId="3" fontId="2" fillId="0" borderId="13" xfId="0" applyNumberFormat="1" applyFont="1" applyBorder="1" applyAlignment="1">
      <alignment horizontal="center"/>
    </xf>
    <xf numFmtId="3" fontId="2" fillId="0" borderId="14" xfId="0" applyNumberFormat="1" applyFont="1" applyBorder="1" applyAlignment="1">
      <alignment horizontal="center"/>
    </xf>
    <xf numFmtId="3" fontId="2" fillId="0" borderId="15" xfId="0" applyNumberFormat="1" applyFont="1" applyBorder="1" applyAlignment="1">
      <alignment horizontal="center"/>
    </xf>
    <xf numFmtId="177" fontId="2" fillId="0" borderId="51" xfId="0" applyNumberFormat="1" applyFont="1" applyBorder="1" applyAlignment="1">
      <alignment horizontal="center"/>
    </xf>
    <xf numFmtId="177" fontId="2" fillId="0" borderId="26" xfId="0" applyNumberFormat="1" applyFont="1" applyBorder="1" applyAlignment="1">
      <alignment horizontal="center"/>
    </xf>
    <xf numFmtId="177" fontId="2" fillId="0" borderId="19" xfId="0" applyNumberFormat="1" applyFont="1" applyBorder="1" applyAlignment="1">
      <alignment horizontal="center"/>
    </xf>
    <xf numFmtId="176" fontId="2" fillId="0" borderId="5" xfId="0" applyNumberFormat="1" applyFont="1" applyBorder="1" applyAlignment="1">
      <alignment horizontal="center"/>
    </xf>
    <xf numFmtId="6" fontId="2" fillId="0" borderId="33" xfId="0" applyNumberFormat="1" applyFont="1" applyBorder="1" applyAlignment="1">
      <alignment horizontal="center"/>
    </xf>
    <xf numFmtId="6" fontId="2" fillId="0" borderId="18" xfId="0" applyNumberFormat="1" applyFont="1" applyBorder="1" applyAlignment="1">
      <alignment horizontal="center"/>
    </xf>
    <xf numFmtId="177" fontId="2" fillId="0" borderId="33" xfId="0" applyNumberFormat="1" applyFont="1" applyBorder="1" applyAlignment="1">
      <alignment horizontal="center"/>
    </xf>
    <xf numFmtId="177" fontId="2" fillId="0" borderId="49" xfId="0" applyNumberFormat="1" applyFont="1" applyBorder="1" applyAlignment="1">
      <alignment horizontal="center"/>
    </xf>
    <xf numFmtId="177" fontId="2" fillId="0" borderId="18" xfId="0" applyNumberFormat="1" applyFont="1" applyBorder="1" applyAlignment="1">
      <alignment horizontal="center"/>
    </xf>
    <xf numFmtId="6" fontId="2" fillId="0" borderId="54" xfId="0" applyNumberFormat="1" applyFont="1" applyBorder="1" applyAlignment="1">
      <alignment horizontal="center"/>
    </xf>
    <xf numFmtId="6" fontId="2" fillId="0" borderId="13" xfId="0" applyNumberFormat="1" applyFont="1" applyBorder="1" applyAlignment="1">
      <alignment horizontal="center"/>
    </xf>
    <xf numFmtId="6" fontId="2" fillId="0" borderId="6" xfId="0" applyNumberFormat="1" applyFont="1" applyBorder="1" applyAlignment="1">
      <alignment horizontal="center"/>
    </xf>
    <xf numFmtId="6" fontId="2" fillId="0" borderId="8" xfId="0" applyNumberFormat="1" applyFont="1" applyBorder="1" applyAlignment="1">
      <alignment horizontal="center"/>
    </xf>
    <xf numFmtId="6" fontId="2" fillId="0" borderId="10" xfId="0" applyNumberFormat="1" applyFont="1" applyBorder="1" applyAlignment="1">
      <alignment horizontal="center"/>
    </xf>
    <xf numFmtId="6" fontId="2" fillId="0" borderId="51" xfId="0" applyNumberFormat="1" applyFont="1" applyBorder="1" applyAlignment="1">
      <alignment horizontal="center"/>
    </xf>
    <xf numFmtId="3" fontId="0" fillId="0" borderId="26" xfId="0" applyNumberFormat="1" applyFill="1" applyBorder="1" applyAlignment="1">
      <alignment horizontal="center"/>
    </xf>
    <xf numFmtId="175" fontId="10" fillId="0" borderId="26" xfId="2" applyNumberFormat="1" applyFont="1" applyFill="1" applyBorder="1" applyAlignment="1">
      <alignment horizontal="center" vertical="center"/>
    </xf>
    <xf numFmtId="0" fontId="0" fillId="0" borderId="26" xfId="0" applyFont="1" applyFill="1" applyBorder="1" applyAlignment="1">
      <alignment horizontal="center"/>
    </xf>
    <xf numFmtId="0" fontId="5" fillId="0" borderId="0" xfId="0" applyFont="1" applyFill="1" applyBorder="1" applyAlignment="1">
      <alignment horizontal="center" vertical="top" wrapText="1"/>
    </xf>
    <xf numFmtId="164" fontId="2" fillId="0" borderId="8" xfId="0" applyNumberFormat="1" applyFont="1" applyBorder="1" applyAlignment="1">
      <alignment horizontal="center"/>
    </xf>
    <xf numFmtId="0" fontId="0" fillId="0" borderId="26" xfId="0" applyBorder="1"/>
    <xf numFmtId="0" fontId="2" fillId="0" borderId="13" xfId="0" applyFont="1" applyBorder="1" applyAlignment="1">
      <alignment horizontal="center" vertical="center" wrapText="1"/>
    </xf>
    <xf numFmtId="6" fontId="31" fillId="0" borderId="0" xfId="0" applyNumberFormat="1" applyFont="1"/>
    <xf numFmtId="0" fontId="2" fillId="0" borderId="44" xfId="0" applyFont="1" applyBorder="1" applyAlignment="1">
      <alignment horizontal="center"/>
    </xf>
    <xf numFmtId="164" fontId="2" fillId="0" borderId="43" xfId="0" applyNumberFormat="1" applyFont="1" applyBorder="1" applyAlignment="1">
      <alignment horizontal="center"/>
    </xf>
    <xf numFmtId="164" fontId="2" fillId="0" borderId="27" xfId="0" applyNumberFormat="1" applyFont="1" applyBorder="1" applyAlignment="1">
      <alignment horizontal="center"/>
    </xf>
    <xf numFmtId="164" fontId="2" fillId="0" borderId="6" xfId="0" applyNumberFormat="1"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0" fillId="0" borderId="26" xfId="0" applyBorder="1" applyAlignment="1">
      <alignment horizontal="center"/>
    </xf>
    <xf numFmtId="0" fontId="7" fillId="0" borderId="0" xfId="0" applyFont="1" applyAlignment="1">
      <alignment horizontal="center" vertical="center"/>
    </xf>
    <xf numFmtId="0" fontId="7" fillId="0" borderId="0" xfId="0" applyFont="1" applyAlignment="1">
      <alignment horizontal="center"/>
    </xf>
    <xf numFmtId="0" fontId="16" fillId="0" borderId="0" xfId="0" applyFont="1" applyAlignment="1">
      <alignment horizontal="center"/>
    </xf>
    <xf numFmtId="172" fontId="0" fillId="0" borderId="26" xfId="0" applyNumberFormat="1" applyBorder="1" applyAlignment="1">
      <alignment horizontal="center" vertical="center"/>
    </xf>
    <xf numFmtId="164" fontId="2" fillId="0" borderId="19" xfId="0" applyNumberFormat="1" applyFont="1" applyBorder="1" applyAlignment="1">
      <alignment horizontal="center" vertical="center"/>
    </xf>
    <xf numFmtId="6" fontId="0" fillId="0" borderId="0" xfId="0" applyNumberFormat="1"/>
    <xf numFmtId="6" fontId="5" fillId="0" borderId="0" xfId="0" applyNumberFormat="1" applyFont="1"/>
    <xf numFmtId="164" fontId="2" fillId="0" borderId="13" xfId="0" applyNumberFormat="1" applyFont="1" applyFill="1" applyBorder="1" applyAlignment="1">
      <alignment horizontal="right"/>
    </xf>
    <xf numFmtId="164" fontId="2" fillId="0" borderId="14" xfId="0" applyNumberFormat="1" applyFont="1" applyFill="1" applyBorder="1" applyAlignment="1">
      <alignment horizontal="right"/>
    </xf>
    <xf numFmtId="164" fontId="2" fillId="0" borderId="15" xfId="0" applyNumberFormat="1" applyFont="1" applyFill="1" applyBorder="1" applyAlignment="1">
      <alignment horizontal="right"/>
    </xf>
    <xf numFmtId="0" fontId="29" fillId="0" borderId="0" xfId="0" applyFont="1" applyBorder="1" applyAlignment="1">
      <alignment horizontal="center" vertical="center" wrapText="1"/>
    </xf>
    <xf numFmtId="164" fontId="30" fillId="0" borderId="0" xfId="0" applyNumberFormat="1" applyFont="1" applyBorder="1" applyAlignment="1">
      <alignment horizontal="right" vertical="center" wrapText="1"/>
    </xf>
    <xf numFmtId="9" fontId="30" fillId="0" borderId="0" xfId="137" applyFont="1" applyBorder="1" applyAlignment="1">
      <alignment vertical="center" wrapText="1"/>
    </xf>
    <xf numFmtId="164" fontId="30" fillId="0" borderId="0" xfId="0" applyNumberFormat="1" applyFont="1" applyBorder="1" applyAlignment="1">
      <alignment vertical="center" wrapText="1"/>
    </xf>
    <xf numFmtId="0" fontId="27" fillId="0" borderId="0" xfId="0" applyFont="1" applyBorder="1" applyAlignment="1">
      <alignment horizontal="center" vertical="center"/>
    </xf>
    <xf numFmtId="0" fontId="28" fillId="0" borderId="0" xfId="0" applyFont="1" applyBorder="1" applyAlignment="1">
      <alignment horizontal="center" vertical="center"/>
    </xf>
    <xf numFmtId="0" fontId="0" fillId="0" borderId="0" xfId="0" applyFont="1" applyFill="1" applyAlignment="1">
      <alignment horizontal="left" vertical="top" wrapText="1"/>
    </xf>
    <xf numFmtId="0" fontId="7" fillId="0" borderId="0" xfId="0" applyFont="1" applyFill="1" applyAlignment="1">
      <alignment horizontal="left" vertical="top" wrapText="1"/>
    </xf>
    <xf numFmtId="0" fontId="0" fillId="0" borderId="0" xfId="0" applyFont="1" applyFill="1" applyAlignment="1">
      <alignment horizontal="left" vertical="top" wrapText="1"/>
    </xf>
    <xf numFmtId="0" fontId="7" fillId="0" borderId="0" xfId="0" applyFont="1" applyFill="1" applyAlignment="1">
      <alignment horizontal="left" vertical="top" wrapText="1"/>
    </xf>
    <xf numFmtId="0" fontId="5" fillId="0" borderId="0" xfId="0" applyFont="1" applyAlignment="1">
      <alignment horizontal="left"/>
    </xf>
    <xf numFmtId="0" fontId="2" fillId="0" borderId="0" xfId="0" applyFont="1" applyFill="1" applyBorder="1" applyAlignment="1">
      <alignment horizontal="center" vertical="center"/>
    </xf>
    <xf numFmtId="37" fontId="2" fillId="0" borderId="0" xfId="0" applyNumberFormat="1" applyFont="1" applyFill="1"/>
    <xf numFmtId="0" fontId="0" fillId="0" borderId="26" xfId="0" applyFill="1" applyBorder="1" applyAlignment="1">
      <alignment horizontal="center"/>
    </xf>
    <xf numFmtId="164" fontId="0" fillId="0" borderId="0" xfId="0" applyNumberFormat="1" applyFill="1"/>
    <xf numFmtId="6" fontId="0" fillId="0" borderId="0" xfId="0" applyNumberFormat="1" applyFill="1"/>
    <xf numFmtId="0" fontId="0" fillId="0" borderId="0" xfId="0" applyFont="1" applyFill="1" applyAlignment="1">
      <alignment vertical="top"/>
    </xf>
    <xf numFmtId="2" fontId="0" fillId="0" borderId="0" xfId="0" applyNumberFormat="1" applyFill="1" applyBorder="1"/>
    <xf numFmtId="9" fontId="0" fillId="0" borderId="0" xfId="137" applyFont="1" applyFill="1"/>
    <xf numFmtId="9" fontId="0" fillId="0" borderId="0" xfId="137" applyFont="1" applyFill="1" applyBorder="1"/>
    <xf numFmtId="171" fontId="0" fillId="0" borderId="0" xfId="0" applyNumberFormat="1" applyFill="1"/>
    <xf numFmtId="0" fontId="0" fillId="0" borderId="0" xfId="0" applyFill="1" applyAlignment="1">
      <alignment horizontal="left" vertical="top" wrapText="1"/>
    </xf>
    <xf numFmtId="0" fontId="0" fillId="0" borderId="26" xfId="0" applyFont="1" applyFill="1" applyBorder="1" applyAlignment="1">
      <alignment horizontal="center" vertical="top" wrapText="1"/>
    </xf>
    <xf numFmtId="44" fontId="0" fillId="0" borderId="26" xfId="1" applyFont="1" applyFill="1" applyBorder="1" applyAlignment="1">
      <alignment horizontal="center"/>
    </xf>
    <xf numFmtId="44" fontId="0" fillId="0" borderId="26" xfId="0" applyNumberFormat="1" applyFill="1" applyBorder="1" applyAlignment="1">
      <alignment horizontal="center"/>
    </xf>
    <xf numFmtId="171" fontId="0" fillId="0" borderId="0" xfId="0" applyNumberFormat="1" applyAlignment="1">
      <alignment horizontal="center"/>
    </xf>
    <xf numFmtId="0" fontId="34" fillId="0" borderId="0" xfId="0" applyFont="1" applyAlignment="1">
      <alignment horizontal="left"/>
    </xf>
    <xf numFmtId="0" fontId="35" fillId="0" borderId="0" xfId="0" applyFont="1" applyAlignment="1">
      <alignment horizontal="center"/>
    </xf>
    <xf numFmtId="2" fontId="0" fillId="0" borderId="0" xfId="0" applyNumberFormat="1" applyAlignment="1">
      <alignment horizontal="center"/>
    </xf>
    <xf numFmtId="0" fontId="34" fillId="0" borderId="0" xfId="0" applyFont="1" applyAlignment="1">
      <alignment horizontal="center"/>
    </xf>
    <xf numFmtId="0" fontId="5" fillId="0" borderId="26" xfId="0" applyFont="1" applyBorder="1" applyAlignment="1">
      <alignment horizontal="center" vertical="center"/>
    </xf>
    <xf numFmtId="0" fontId="0" fillId="0" borderId="0" xfId="0" applyAlignment="1">
      <alignment horizontal="center" vertical="center"/>
    </xf>
    <xf numFmtId="0" fontId="0" fillId="0" borderId="26" xfId="0" applyFont="1" applyFill="1" applyBorder="1" applyAlignment="1">
      <alignment horizontal="left"/>
    </xf>
    <xf numFmtId="0" fontId="2" fillId="0" borderId="13" xfId="0" applyFont="1" applyBorder="1" applyAlignment="1">
      <alignment horizontal="center" vertical="center" wrapText="1"/>
    </xf>
    <xf numFmtId="171" fontId="0" fillId="0" borderId="26" xfId="0" applyNumberFormat="1" applyBorder="1" applyAlignment="1">
      <alignment horizontal="center"/>
    </xf>
    <xf numFmtId="175" fontId="0" fillId="0" borderId="26" xfId="137" applyNumberFormat="1" applyFont="1" applyBorder="1" applyAlignment="1">
      <alignment horizontal="center"/>
    </xf>
    <xf numFmtId="2" fontId="0" fillId="0" borderId="26" xfId="0" applyNumberFormat="1" applyFill="1" applyBorder="1" applyAlignment="1">
      <alignment horizontal="center"/>
    </xf>
    <xf numFmtId="1" fontId="0" fillId="0" borderId="26" xfId="0" applyNumberFormat="1" applyFill="1" applyBorder="1" applyAlignment="1">
      <alignment horizontal="center"/>
    </xf>
    <xf numFmtId="165" fontId="0" fillId="0" borderId="26" xfId="1" applyNumberFormat="1" applyFont="1" applyBorder="1" applyAlignment="1">
      <alignment horizontal="center"/>
    </xf>
    <xf numFmtId="0" fontId="0" fillId="0" borderId="26" xfId="0" applyBorder="1" applyAlignment="1">
      <alignment horizontal="left"/>
    </xf>
    <xf numFmtId="1" fontId="0" fillId="0" borderId="26" xfId="1" applyNumberFormat="1" applyFont="1" applyBorder="1" applyAlignment="1">
      <alignment horizontal="center"/>
    </xf>
    <xf numFmtId="1" fontId="0" fillId="0" borderId="0" xfId="0" applyNumberFormat="1" applyBorder="1" applyAlignment="1">
      <alignment horizontal="center"/>
    </xf>
    <xf numFmtId="1" fontId="5" fillId="0" borderId="26" xfId="0" applyNumberFormat="1" applyFont="1" applyBorder="1" applyAlignment="1">
      <alignment horizontal="center"/>
    </xf>
    <xf numFmtId="1" fontId="0" fillId="0" borderId="0" xfId="0" applyNumberFormat="1" applyAlignment="1">
      <alignment horizontal="center"/>
    </xf>
    <xf numFmtId="1" fontId="34" fillId="0" borderId="0" xfId="0" applyNumberFormat="1" applyFont="1" applyAlignment="1">
      <alignment horizontal="center"/>
    </xf>
    <xf numFmtId="0" fontId="5" fillId="0" borderId="26" xfId="0" applyFont="1" applyBorder="1" applyAlignment="1">
      <alignment horizontal="left"/>
    </xf>
    <xf numFmtId="37" fontId="1" fillId="0" borderId="26" xfId="136" applyNumberFormat="1" applyFont="1" applyFill="1" applyBorder="1" applyAlignment="1">
      <alignment horizontal="center"/>
    </xf>
    <xf numFmtId="0" fontId="37" fillId="0" borderId="0" xfId="0" applyFont="1" applyFill="1" applyAlignment="1">
      <alignment vertical="top" wrapText="1"/>
    </xf>
    <xf numFmtId="0" fontId="37" fillId="0" borderId="0" xfId="0" applyFont="1" applyFill="1"/>
    <xf numFmtId="165" fontId="0" fillId="0" borderId="26" xfId="1" applyNumberFormat="1" applyFont="1" applyBorder="1" applyAlignment="1">
      <alignment horizontal="center" vertical="center"/>
    </xf>
    <xf numFmtId="1" fontId="0" fillId="0" borderId="26" xfId="1" applyNumberFormat="1" applyFont="1" applyBorder="1" applyAlignment="1">
      <alignment horizontal="center" vertical="center"/>
    </xf>
    <xf numFmtId="37" fontId="1" fillId="0" borderId="26" xfId="136" applyNumberFormat="1" applyFont="1" applyFill="1" applyBorder="1" applyAlignment="1">
      <alignment horizontal="center" vertical="center"/>
    </xf>
    <xf numFmtId="2" fontId="0" fillId="0" borderId="26" xfId="0" applyNumberFormat="1" applyFill="1" applyBorder="1" applyAlignment="1">
      <alignment horizontal="center" vertical="center"/>
    </xf>
    <xf numFmtId="0" fontId="0" fillId="0" borderId="0" xfId="0" applyFill="1" applyAlignment="1">
      <alignment horizontal="center" vertical="center"/>
    </xf>
    <xf numFmtId="1" fontId="0" fillId="0" borderId="0" xfId="0" applyNumberFormat="1" applyAlignment="1">
      <alignment horizontal="center" vertical="center"/>
    </xf>
    <xf numFmtId="0" fontId="0" fillId="0" borderId="0" xfId="0" applyBorder="1" applyAlignment="1">
      <alignment horizontal="center" vertical="center"/>
    </xf>
    <xf numFmtId="0" fontId="5" fillId="0" borderId="26" xfId="0" applyFont="1" applyFill="1" applyBorder="1" applyAlignment="1">
      <alignment horizontal="center" vertical="center"/>
    </xf>
    <xf numFmtId="1" fontId="5" fillId="0" borderId="26" xfId="0" applyNumberFormat="1" applyFont="1" applyBorder="1" applyAlignment="1">
      <alignment horizontal="center" vertical="center"/>
    </xf>
    <xf numFmtId="0" fontId="2" fillId="0" borderId="44" xfId="0" applyFont="1" applyBorder="1" applyAlignment="1">
      <alignment horizontal="center" vertical="center" wrapText="1"/>
    </xf>
    <xf numFmtId="164" fontId="2" fillId="0" borderId="43" xfId="0" applyNumberFormat="1" applyFont="1" applyBorder="1" applyAlignment="1">
      <alignment horizontal="center" vertical="center"/>
    </xf>
    <xf numFmtId="164" fontId="2" fillId="0" borderId="20" xfId="0" applyNumberFormat="1" applyFont="1" applyBorder="1" applyAlignment="1">
      <alignment horizontal="center" vertical="center"/>
    </xf>
    <xf numFmtId="6" fontId="0" fillId="0" borderId="26" xfId="0" applyNumberFormat="1" applyBorder="1" applyAlignment="1">
      <alignment horizontal="center"/>
    </xf>
    <xf numFmtId="6" fontId="2" fillId="0" borderId="7" xfId="0" applyNumberFormat="1" applyFont="1" applyBorder="1" applyAlignment="1">
      <alignment horizontal="center" vertical="center" wrapText="1"/>
    </xf>
    <xf numFmtId="6" fontId="2" fillId="0" borderId="9" xfId="0" applyNumberFormat="1" applyFont="1" applyBorder="1" applyAlignment="1">
      <alignment horizontal="center" vertical="center" wrapText="1"/>
    </xf>
    <xf numFmtId="164" fontId="2" fillId="0" borderId="26" xfId="0" applyNumberFormat="1" applyFont="1" applyBorder="1" applyAlignment="1">
      <alignment horizontal="center" vertical="center"/>
    </xf>
    <xf numFmtId="164" fontId="2" fillId="0" borderId="26" xfId="0" applyNumberFormat="1" applyFont="1" applyBorder="1" applyAlignment="1">
      <alignment horizontal="center"/>
    </xf>
    <xf numFmtId="6" fontId="2" fillId="0" borderId="41" xfId="0" applyNumberFormat="1" applyFont="1" applyBorder="1" applyAlignment="1">
      <alignment horizontal="center" vertical="center" wrapText="1"/>
    </xf>
    <xf numFmtId="1" fontId="2" fillId="0" borderId="7" xfId="0" applyNumberFormat="1" applyFont="1" applyBorder="1" applyAlignment="1">
      <alignment horizontal="center"/>
    </xf>
    <xf numFmtId="1" fontId="2" fillId="0" borderId="9" xfId="0" applyNumberFormat="1" applyFont="1" applyBorder="1" applyAlignment="1">
      <alignment horizontal="center"/>
    </xf>
    <xf numFmtId="164" fontId="2" fillId="0" borderId="50" xfId="0" applyNumberFormat="1" applyFont="1" applyBorder="1" applyAlignment="1">
      <alignment horizontal="center"/>
    </xf>
    <xf numFmtId="164" fontId="2" fillId="0" borderId="46" xfId="0" applyNumberFormat="1" applyFont="1" applyBorder="1" applyAlignment="1">
      <alignment horizontal="center" vertical="center"/>
    </xf>
    <xf numFmtId="164" fontId="2" fillId="0" borderId="21" xfId="0" applyNumberFormat="1" applyFont="1" applyBorder="1" applyAlignment="1">
      <alignment horizontal="center" vertical="center"/>
    </xf>
    <xf numFmtId="164" fontId="2" fillId="0" borderId="62" xfId="0" applyNumberFormat="1" applyFont="1" applyBorder="1" applyAlignment="1">
      <alignment horizontal="center" vertical="center"/>
    </xf>
    <xf numFmtId="164" fontId="2" fillId="0" borderId="28" xfId="0" applyNumberFormat="1" applyFont="1" applyBorder="1" applyAlignment="1">
      <alignment horizontal="center" vertical="center"/>
    </xf>
    <xf numFmtId="164" fontId="2" fillId="0" borderId="21" xfId="0" applyNumberFormat="1" applyFont="1" applyBorder="1" applyAlignment="1">
      <alignment horizontal="center"/>
    </xf>
    <xf numFmtId="164" fontId="2" fillId="0" borderId="62" xfId="0" applyNumberFormat="1" applyFont="1" applyBorder="1" applyAlignment="1">
      <alignment horizontal="center"/>
    </xf>
    <xf numFmtId="164" fontId="2" fillId="0" borderId="25" xfId="0" applyNumberFormat="1" applyFont="1" applyBorder="1" applyAlignment="1">
      <alignment horizontal="center" vertical="center"/>
    </xf>
    <xf numFmtId="164" fontId="2" fillId="0" borderId="49" xfId="0" applyNumberFormat="1" applyFont="1" applyBorder="1" applyAlignment="1">
      <alignment horizontal="center" vertical="center"/>
    </xf>
    <xf numFmtId="164" fontId="2" fillId="0" borderId="18" xfId="0" applyNumberFormat="1" applyFont="1" applyBorder="1" applyAlignment="1">
      <alignment horizontal="center"/>
    </xf>
    <xf numFmtId="164" fontId="2" fillId="0" borderId="50" xfId="0" applyNumberFormat="1" applyFont="1" applyBorder="1" applyAlignment="1">
      <alignment horizontal="center" vertical="center"/>
    </xf>
    <xf numFmtId="0" fontId="16" fillId="0" borderId="26" xfId="0" applyFont="1" applyBorder="1" applyAlignment="1">
      <alignment horizontal="center"/>
    </xf>
    <xf numFmtId="0" fontId="7" fillId="0" borderId="26" xfId="0" applyFont="1" applyBorder="1" applyAlignment="1">
      <alignment horizontal="center"/>
    </xf>
    <xf numFmtId="164" fontId="7" fillId="0" borderId="26" xfId="0" applyNumberFormat="1" applyFont="1" applyBorder="1"/>
    <xf numFmtId="0" fontId="9" fillId="0" borderId="26" xfId="0" applyFont="1" applyBorder="1" applyAlignment="1">
      <alignment vertical="center"/>
    </xf>
    <xf numFmtId="175" fontId="7" fillId="0" borderId="26" xfId="137" applyNumberFormat="1" applyFont="1" applyBorder="1" applyAlignment="1">
      <alignment horizontal="center"/>
    </xf>
    <xf numFmtId="0" fontId="2" fillId="0" borderId="63" xfId="0" applyFont="1" applyBorder="1" applyAlignment="1">
      <alignment horizontal="center" vertical="center" wrapText="1"/>
    </xf>
    <xf numFmtId="2" fontId="5" fillId="0" borderId="59" xfId="0" applyNumberFormat="1" applyFont="1" applyFill="1" applyBorder="1" applyAlignment="1">
      <alignment horizontal="center"/>
    </xf>
    <xf numFmtId="0" fontId="5" fillId="0" borderId="26" xfId="0" applyFont="1" applyBorder="1" applyAlignment="1">
      <alignment horizontal="center" vertical="center"/>
    </xf>
    <xf numFmtId="0" fontId="37" fillId="0" borderId="0" xfId="0" applyFont="1" applyFill="1" applyAlignment="1">
      <alignment horizontal="left" vertical="top" wrapText="1"/>
    </xf>
    <xf numFmtId="0" fontId="5" fillId="0" borderId="0" xfId="0" applyFont="1" applyFill="1" applyBorder="1" applyAlignment="1">
      <alignment horizontal="left"/>
    </xf>
    <xf numFmtId="0" fontId="5" fillId="0" borderId="0" xfId="0" applyFont="1" applyAlignment="1">
      <alignment horizontal="left"/>
    </xf>
    <xf numFmtId="0" fontId="5" fillId="0" borderId="21" xfId="0" applyFont="1" applyBorder="1" applyAlignment="1">
      <alignment horizontal="center"/>
    </xf>
    <xf numFmtId="0" fontId="26" fillId="0" borderId="0" xfId="138"/>
    <xf numFmtId="171" fontId="0" fillId="0" borderId="26" xfId="0" applyNumberFormat="1" applyBorder="1"/>
    <xf numFmtId="171" fontId="0" fillId="0" borderId="0" xfId="0" applyNumberFormat="1"/>
    <xf numFmtId="0" fontId="34" fillId="0" borderId="0" xfId="0" applyFont="1" applyFill="1" applyAlignment="1">
      <alignment horizontal="center"/>
    </xf>
    <xf numFmtId="0" fontId="26" fillId="0" borderId="0" xfId="138" applyFill="1" applyAlignment="1">
      <alignment vertical="top"/>
    </xf>
    <xf numFmtId="0" fontId="26" fillId="0" borderId="0" xfId="138" applyFill="1" applyAlignment="1">
      <alignment horizontal="left" vertical="top"/>
    </xf>
    <xf numFmtId="44" fontId="0" fillId="0" borderId="0" xfId="0" applyNumberFormat="1" applyFill="1" applyBorder="1" applyAlignment="1">
      <alignment horizontal="center"/>
    </xf>
    <xf numFmtId="0" fontId="0" fillId="0" borderId="26" xfId="0" applyFill="1" applyBorder="1" applyAlignment="1">
      <alignment horizontal="left" vertical="center"/>
    </xf>
    <xf numFmtId="0" fontId="5" fillId="0" borderId="26" xfId="0" applyFont="1" applyBorder="1" applyAlignment="1">
      <alignment horizontal="right" vertical="center"/>
    </xf>
    <xf numFmtId="0" fontId="0" fillId="0" borderId="26" xfId="0" applyBorder="1" applyAlignment="1">
      <alignment horizontal="right" vertical="center"/>
    </xf>
    <xf numFmtId="0" fontId="5" fillId="0" borderId="21" xfId="0" applyFont="1" applyFill="1" applyBorder="1" applyAlignment="1">
      <alignment horizontal="center"/>
    </xf>
    <xf numFmtId="0" fontId="0" fillId="0" borderId="21" xfId="0" applyFont="1" applyFill="1" applyBorder="1" applyAlignment="1">
      <alignment horizontal="center"/>
    </xf>
    <xf numFmtId="0" fontId="0" fillId="0" borderId="26" xfId="0" applyFill="1" applyBorder="1"/>
    <xf numFmtId="44" fontId="0" fillId="0" borderId="26" xfId="1" applyFont="1" applyBorder="1" applyAlignment="1">
      <alignment horizontal="center"/>
    </xf>
    <xf numFmtId="0" fontId="0" fillId="0" borderId="0" xfId="0" applyFill="1" applyAlignment="1">
      <alignment horizontal="left"/>
    </xf>
    <xf numFmtId="0" fontId="16" fillId="0" borderId="0" xfId="2" applyFont="1" applyFill="1" applyBorder="1" applyAlignment="1">
      <alignment horizontal="left"/>
    </xf>
    <xf numFmtId="0" fontId="5" fillId="0" borderId="0" xfId="0" applyFont="1" applyFill="1" applyAlignment="1">
      <alignment horizontal="left"/>
    </xf>
    <xf numFmtId="0" fontId="5" fillId="0" borderId="21" xfId="0" applyFont="1" applyFill="1" applyBorder="1" applyAlignment="1">
      <alignment horizontal="left"/>
    </xf>
    <xf numFmtId="0" fontId="0" fillId="0" borderId="21" xfId="0" applyFont="1" applyFill="1" applyBorder="1" applyAlignment="1">
      <alignment horizontal="left"/>
    </xf>
    <xf numFmtId="0" fontId="0" fillId="0" borderId="21" xfId="0" applyFill="1" applyBorder="1"/>
    <xf numFmtId="0" fontId="0" fillId="0" borderId="26" xfId="0" applyFont="1" applyBorder="1" applyAlignment="1">
      <alignment horizontal="center"/>
    </xf>
    <xf numFmtId="1" fontId="0" fillId="0" borderId="26" xfId="0" applyNumberFormat="1" applyFont="1" applyFill="1" applyBorder="1" applyAlignment="1">
      <alignment horizontal="center"/>
    </xf>
    <xf numFmtId="6" fontId="0" fillId="0" borderId="26" xfId="0" applyNumberFormat="1" applyFont="1" applyBorder="1" applyAlignment="1">
      <alignment horizontal="center"/>
    </xf>
    <xf numFmtId="179" fontId="0" fillId="0" borderId="26" xfId="0" applyNumberFormat="1" applyFont="1" applyBorder="1" applyAlignment="1">
      <alignment horizontal="center"/>
    </xf>
    <xf numFmtId="6" fontId="5" fillId="0" borderId="26" xfId="0" applyNumberFormat="1" applyFont="1" applyBorder="1" applyAlignment="1">
      <alignment horizontal="center"/>
    </xf>
    <xf numFmtId="1" fontId="0" fillId="0" borderId="26" xfId="0" applyNumberFormat="1" applyBorder="1" applyAlignment="1">
      <alignment horizontal="center"/>
    </xf>
    <xf numFmtId="0" fontId="5" fillId="0" borderId="26" xfId="0" applyFont="1" applyBorder="1" applyAlignment="1">
      <alignment horizontal="center" vertical="center"/>
    </xf>
    <xf numFmtId="0" fontId="5" fillId="0" borderId="26" xfId="0" applyFont="1" applyFill="1" applyBorder="1" applyAlignment="1">
      <alignment horizontal="center"/>
    </xf>
    <xf numFmtId="0" fontId="0" fillId="0" borderId="0" xfId="0"/>
    <xf numFmtId="0" fontId="5" fillId="0" borderId="0" xfId="0" applyFont="1" applyFill="1" applyBorder="1" applyAlignment="1">
      <alignment horizontal="left"/>
    </xf>
    <xf numFmtId="176" fontId="7" fillId="0" borderId="26" xfId="140" applyNumberFormat="1" applyFont="1" applyFill="1" applyBorder="1" applyAlignment="1">
      <alignment horizontal="center"/>
    </xf>
    <xf numFmtId="178" fontId="7" fillId="0" borderId="26" xfId="141" applyNumberFormat="1" applyFont="1" applyFill="1" applyBorder="1" applyAlignment="1">
      <alignment horizontal="center"/>
    </xf>
    <xf numFmtId="176" fontId="0" fillId="0" borderId="26" xfId="0" applyNumberFormat="1" applyFill="1" applyBorder="1" applyAlignment="1">
      <alignment horizontal="center" vertical="center"/>
    </xf>
    <xf numFmtId="0" fontId="7" fillId="0" borderId="26" xfId="0" applyFont="1" applyFill="1" applyBorder="1" applyAlignment="1">
      <alignment horizontal="center"/>
    </xf>
    <xf numFmtId="0" fontId="7" fillId="0" borderId="0" xfId="0" applyFont="1" applyFill="1"/>
    <xf numFmtId="0" fontId="16" fillId="0" borderId="26" xfId="0" applyFont="1" applyFill="1" applyBorder="1" applyAlignment="1">
      <alignment horizontal="center"/>
    </xf>
    <xf numFmtId="0" fontId="5" fillId="0" borderId="0" xfId="0" applyFont="1" applyFill="1" applyBorder="1" applyAlignment="1">
      <alignment horizontal="left"/>
    </xf>
    <xf numFmtId="0" fontId="35" fillId="0" borderId="0" xfId="0" applyFont="1" applyFill="1" applyAlignment="1">
      <alignment horizontal="center"/>
    </xf>
    <xf numFmtId="0" fontId="7" fillId="0" borderId="0" xfId="0" applyFont="1" applyFill="1" applyAlignment="1">
      <alignment vertical="top" wrapText="1"/>
    </xf>
    <xf numFmtId="0" fontId="8" fillId="0" borderId="0" xfId="2"/>
    <xf numFmtId="0" fontId="10" fillId="0" borderId="0" xfId="2" applyFont="1" applyFill="1" applyBorder="1" applyAlignment="1"/>
    <xf numFmtId="0" fontId="0" fillId="0" borderId="0" xfId="0"/>
    <xf numFmtId="0" fontId="0" fillId="0" borderId="0" xfId="0" applyAlignment="1">
      <alignment horizontal="left" vertical="top" wrapText="1"/>
    </xf>
    <xf numFmtId="0" fontId="0" fillId="0" borderId="23" xfId="0" applyBorder="1" applyAlignment="1">
      <alignment horizontal="left" vertical="top" wrapText="1"/>
    </xf>
    <xf numFmtId="0" fontId="2" fillId="0" borderId="13" xfId="0" applyFont="1" applyBorder="1" applyAlignment="1">
      <alignment horizontal="center" vertical="center" wrapText="1"/>
    </xf>
    <xf numFmtId="0" fontId="5" fillId="0" borderId="26" xfId="0" applyFont="1" applyBorder="1" applyAlignment="1">
      <alignment horizontal="center"/>
    </xf>
    <xf numFmtId="0" fontId="0" fillId="0" borderId="26" xfId="0" applyBorder="1" applyAlignment="1">
      <alignment horizontal="center" vertical="center"/>
    </xf>
    <xf numFmtId="0" fontId="0" fillId="0" borderId="0" xfId="0"/>
    <xf numFmtId="0" fontId="2" fillId="0" borderId="63" xfId="0" applyFont="1" applyBorder="1" applyAlignment="1">
      <alignment horizontal="center"/>
    </xf>
    <xf numFmtId="164" fontId="2" fillId="0" borderId="65" xfId="0" applyNumberFormat="1" applyFont="1" applyBorder="1" applyAlignment="1">
      <alignment horizontal="center"/>
    </xf>
    <xf numFmtId="164" fontId="2" fillId="0" borderId="39" xfId="0" applyNumberFormat="1" applyFont="1" applyBorder="1" applyAlignment="1">
      <alignment horizontal="center"/>
    </xf>
    <xf numFmtId="0" fontId="0" fillId="5" borderId="26" xfId="0" applyFill="1" applyBorder="1" applyAlignment="1">
      <alignment horizontal="center"/>
    </xf>
    <xf numFmtId="0" fontId="0" fillId="5" borderId="26" xfId="0" applyFill="1" applyBorder="1"/>
    <xf numFmtId="171" fontId="0" fillId="5" borderId="26" xfId="0" applyNumberFormat="1" applyFill="1" applyBorder="1"/>
    <xf numFmtId="1" fontId="0" fillId="6" borderId="26" xfId="0" applyNumberFormat="1" applyFill="1" applyBorder="1" applyAlignment="1">
      <alignment horizontal="center"/>
    </xf>
    <xf numFmtId="164" fontId="2" fillId="0" borderId="51" xfId="0" applyNumberFormat="1" applyFont="1" applyBorder="1" applyAlignment="1">
      <alignment horizontal="right" vertical="center" wrapText="1"/>
    </xf>
    <xf numFmtId="164" fontId="2" fillId="0" borderId="14" xfId="0" applyNumberFormat="1" applyFont="1" applyBorder="1" applyAlignment="1">
      <alignment horizontal="right" vertical="center" wrapText="1"/>
    </xf>
    <xf numFmtId="164" fontId="2" fillId="0" borderId="64" xfId="0" applyNumberFormat="1" applyFont="1" applyBorder="1" applyAlignment="1">
      <alignment horizontal="right" vertical="center" wrapText="1"/>
    </xf>
    <xf numFmtId="164" fontId="2" fillId="0" borderId="63" xfId="0" applyNumberFormat="1" applyFont="1" applyBorder="1" applyAlignment="1">
      <alignment horizontal="right" vertical="center" wrapText="1"/>
    </xf>
    <xf numFmtId="164" fontId="2" fillId="0" borderId="33" xfId="0" applyNumberFormat="1" applyFont="1" applyBorder="1" applyAlignment="1">
      <alignment horizontal="right" vertical="center" wrapText="1"/>
    </xf>
    <xf numFmtId="164" fontId="2" fillId="0" borderId="13" xfId="0" applyNumberFormat="1" applyFont="1" applyBorder="1" applyAlignment="1">
      <alignment horizontal="right" vertical="center" wrapText="1"/>
    </xf>
    <xf numFmtId="164" fontId="2" fillId="0" borderId="34" xfId="0" applyNumberFormat="1" applyFont="1" applyBorder="1" applyAlignment="1">
      <alignment horizontal="right" vertical="center" wrapText="1"/>
    </xf>
    <xf numFmtId="0" fontId="12" fillId="0" borderId="0" xfId="0" applyFont="1" applyBorder="1" applyAlignment="1">
      <alignment horizontal="left"/>
    </xf>
    <xf numFmtId="172" fontId="0" fillId="0" borderId="26" xfId="0" applyNumberFormat="1" applyBorder="1"/>
    <xf numFmtId="0" fontId="39" fillId="0" borderId="0" xfId="6" applyFont="1"/>
    <xf numFmtId="0" fontId="8" fillId="0" borderId="0" xfId="6"/>
    <xf numFmtId="0" fontId="41" fillId="0" borderId="0" xfId="142" applyFont="1" applyAlignment="1" applyProtection="1"/>
    <xf numFmtId="0" fontId="42" fillId="0" borderId="0" xfId="6" applyFont="1"/>
    <xf numFmtId="0" fontId="5" fillId="0" borderId="26" xfId="0" applyFont="1" applyBorder="1" applyAlignment="1">
      <alignment vertical="center"/>
    </xf>
    <xf numFmtId="0" fontId="39" fillId="0" borderId="0" xfId="6" applyFont="1" applyAlignment="1">
      <alignment horizontal="center"/>
    </xf>
    <xf numFmtId="3" fontId="39" fillId="0" borderId="0" xfId="6" applyNumberFormat="1" applyFont="1" applyAlignment="1">
      <alignment horizontal="center"/>
    </xf>
    <xf numFmtId="2" fontId="39" fillId="0" borderId="0" xfId="6" applyNumberFormat="1" applyFont="1" applyAlignment="1">
      <alignment horizontal="center"/>
    </xf>
    <xf numFmtId="6" fontId="0" fillId="0" borderId="26" xfId="0" applyNumberFormat="1" applyBorder="1"/>
    <xf numFmtId="16" fontId="39" fillId="0" borderId="0" xfId="6" quotePrefix="1" applyNumberFormat="1" applyFont="1" applyAlignment="1">
      <alignment horizontal="center"/>
    </xf>
    <xf numFmtId="0" fontId="39" fillId="0" borderId="0" xfId="6" applyFont="1" applyAlignment="1">
      <alignment vertical="center"/>
    </xf>
    <xf numFmtId="0" fontId="26" fillId="0" borderId="0" xfId="138" applyAlignment="1" applyProtection="1"/>
    <xf numFmtId="0" fontId="0" fillId="7" borderId="26" xfId="0" applyFill="1" applyBorder="1" applyAlignment="1">
      <alignment horizontal="center" vertical="center"/>
    </xf>
    <xf numFmtId="6" fontId="0" fillId="7" borderId="26" xfId="0" applyNumberFormat="1" applyFill="1" applyBorder="1"/>
    <xf numFmtId="0" fontId="0" fillId="0" borderId="23" xfId="0" applyBorder="1" applyAlignment="1">
      <alignment horizontal="left" vertical="top"/>
    </xf>
    <xf numFmtId="0" fontId="5" fillId="0" borderId="0" xfId="0" applyFont="1" applyAlignment="1">
      <alignment horizontal="center" vertical="center" textRotation="90" wrapText="1"/>
    </xf>
    <xf numFmtId="0" fontId="0" fillId="0" borderId="26" xfId="0" applyBorder="1" applyAlignment="1">
      <alignment horizontal="right"/>
    </xf>
    <xf numFmtId="0" fontId="0" fillId="0" borderId="0" xfId="0"/>
    <xf numFmtId="2" fontId="0" fillId="0" borderId="26" xfId="137" applyNumberFormat="1" applyFont="1" applyBorder="1" applyAlignment="1">
      <alignment horizontal="center"/>
    </xf>
    <xf numFmtId="0" fontId="0" fillId="6" borderId="0" xfId="0" applyFill="1" applyBorder="1"/>
    <xf numFmtId="9" fontId="0" fillId="0" borderId="0" xfId="137" applyFont="1" applyFill="1" applyBorder="1" applyAlignment="1">
      <alignment horizontal="center"/>
    </xf>
    <xf numFmtId="0" fontId="0" fillId="0" borderId="0" xfId="0"/>
    <xf numFmtId="0" fontId="3" fillId="0" borderId="45" xfId="0" applyFont="1" applyBorder="1" applyAlignment="1">
      <alignment horizontal="center" vertical="center" wrapText="1"/>
    </xf>
    <xf numFmtId="0" fontId="5" fillId="8" borderId="0" xfId="0" applyFont="1" applyFill="1"/>
    <xf numFmtId="0" fontId="0" fillId="8" borderId="0" xfId="0" applyFill="1"/>
    <xf numFmtId="0" fontId="0" fillId="8" borderId="26" xfId="0" applyFill="1" applyBorder="1"/>
    <xf numFmtId="2" fontId="0" fillId="8" borderId="26" xfId="0" applyNumberFormat="1" applyFill="1" applyBorder="1" applyAlignment="1">
      <alignment horizontal="center"/>
    </xf>
    <xf numFmtId="0" fontId="0" fillId="8" borderId="26" xfId="0" applyFill="1" applyBorder="1" applyAlignment="1">
      <alignment horizontal="center"/>
    </xf>
    <xf numFmtId="0" fontId="0" fillId="8" borderId="0" xfId="0" applyFill="1" applyAlignment="1">
      <alignment horizontal="center"/>
    </xf>
    <xf numFmtId="0" fontId="5" fillId="8" borderId="26" xfId="0" applyFont="1" applyFill="1" applyBorder="1" applyAlignment="1">
      <alignment horizontal="center"/>
    </xf>
    <xf numFmtId="3" fontId="0" fillId="8" borderId="26" xfId="0" applyNumberFormat="1" applyFill="1" applyBorder="1" applyAlignment="1">
      <alignment horizontal="center"/>
    </xf>
    <xf numFmtId="0" fontId="0" fillId="8" borderId="67" xfId="0" applyFill="1" applyBorder="1" applyAlignment="1">
      <alignment horizontal="center"/>
    </xf>
    <xf numFmtId="37" fontId="0" fillId="8" borderId="67" xfId="0" applyNumberFormat="1" applyFill="1" applyBorder="1" applyAlignment="1">
      <alignment horizontal="center"/>
    </xf>
    <xf numFmtId="0" fontId="5" fillId="8" borderId="21" xfId="0" applyFont="1" applyFill="1" applyBorder="1" applyAlignment="1">
      <alignment horizontal="center"/>
    </xf>
    <xf numFmtId="0" fontId="0" fillId="8" borderId="21" xfId="0" applyFill="1" applyBorder="1" applyAlignment="1">
      <alignment horizontal="center"/>
    </xf>
    <xf numFmtId="0" fontId="7" fillId="0" borderId="0" xfId="0" applyFont="1" applyFill="1" applyBorder="1" applyAlignment="1">
      <alignment horizontal="left" vertical="top" wrapText="1"/>
    </xf>
    <xf numFmtId="0" fontId="7" fillId="0" borderId="0" xfId="2" applyFont="1" applyFill="1" applyBorder="1" applyAlignment="1">
      <alignment horizontal="left" vertical="top" wrapText="1"/>
    </xf>
    <xf numFmtId="0" fontId="0" fillId="0" borderId="0" xfId="0"/>
    <xf numFmtId="173" fontId="0" fillId="0" borderId="26" xfId="137" applyNumberFormat="1" applyFont="1" applyBorder="1" applyAlignment="1">
      <alignment horizontal="center"/>
    </xf>
    <xf numFmtId="0" fontId="26" fillId="0" borderId="0" xfId="138" applyAlignment="1">
      <alignment vertical="center"/>
    </xf>
    <xf numFmtId="0" fontId="0" fillId="0" borderId="0" xfId="0" applyFill="1" applyAlignment="1">
      <alignment horizontal="right" vertical="top"/>
    </xf>
    <xf numFmtId="164" fontId="2" fillId="0" borderId="0" xfId="0" applyNumberFormat="1" applyFont="1" applyBorder="1"/>
    <xf numFmtId="3" fontId="2" fillId="0" borderId="44" xfId="0" applyNumberFormat="1" applyFont="1" applyBorder="1" applyAlignment="1">
      <alignment horizontal="center"/>
    </xf>
    <xf numFmtId="6" fontId="2" fillId="0" borderId="68" xfId="0" applyNumberFormat="1" applyFont="1" applyBorder="1" applyAlignment="1">
      <alignment horizontal="center"/>
    </xf>
    <xf numFmtId="6" fontId="2" fillId="0" borderId="25" xfId="0" applyNumberFormat="1" applyFont="1" applyBorder="1" applyAlignment="1">
      <alignment horizontal="center"/>
    </xf>
    <xf numFmtId="6" fontId="2" fillId="0" borderId="44" xfId="0" applyNumberFormat="1" applyFont="1" applyBorder="1" applyAlignment="1">
      <alignment horizontal="center"/>
    </xf>
    <xf numFmtId="6" fontId="2" fillId="0" borderId="27" xfId="0" applyNumberFormat="1" applyFont="1" applyBorder="1" applyAlignment="1">
      <alignment horizontal="center"/>
    </xf>
    <xf numFmtId="176" fontId="2" fillId="0" borderId="69" xfId="0" applyNumberFormat="1" applyFont="1" applyBorder="1" applyAlignment="1">
      <alignment horizontal="center"/>
    </xf>
    <xf numFmtId="6" fontId="2" fillId="0" borderId="66" xfId="0" applyNumberFormat="1" applyFont="1" applyBorder="1" applyAlignment="1">
      <alignment horizontal="center"/>
    </xf>
    <xf numFmtId="6" fontId="2" fillId="0" borderId="70" xfId="0" applyNumberFormat="1" applyFont="1" applyBorder="1" applyAlignment="1">
      <alignment horizontal="center"/>
    </xf>
    <xf numFmtId="3" fontId="2" fillId="0" borderId="63" xfId="0" applyNumberFormat="1" applyFont="1" applyBorder="1" applyAlignment="1">
      <alignment horizontal="center"/>
    </xf>
    <xf numFmtId="177" fontId="2" fillId="0" borderId="64" xfId="0" applyNumberFormat="1" applyFont="1" applyBorder="1" applyAlignment="1">
      <alignment horizontal="center"/>
    </xf>
    <xf numFmtId="177" fontId="2" fillId="0" borderId="71" xfId="0" applyNumberFormat="1" applyFont="1" applyBorder="1" applyAlignment="1">
      <alignment horizontal="center"/>
    </xf>
    <xf numFmtId="177" fontId="2" fillId="0" borderId="39" xfId="0" applyNumberFormat="1" applyFont="1" applyBorder="1" applyAlignment="1">
      <alignment horizontal="center"/>
    </xf>
    <xf numFmtId="6" fontId="2" fillId="0" borderId="72" xfId="0" applyNumberFormat="1" applyFont="1" applyBorder="1" applyAlignment="1">
      <alignment horizontal="center"/>
    </xf>
    <xf numFmtId="6" fontId="2" fillId="0" borderId="71" xfId="0" applyNumberFormat="1" applyFont="1" applyBorder="1" applyAlignment="1">
      <alignment horizontal="center"/>
    </xf>
    <xf numFmtId="6" fontId="2" fillId="0" borderId="39" xfId="0" applyNumberFormat="1" applyFont="1" applyBorder="1" applyAlignment="1">
      <alignment horizontal="center"/>
    </xf>
    <xf numFmtId="6" fontId="2" fillId="0" borderId="63" xfId="0" applyNumberFormat="1" applyFont="1" applyBorder="1" applyAlignment="1">
      <alignment horizontal="center"/>
    </xf>
    <xf numFmtId="6" fontId="2" fillId="0" borderId="65" xfId="0" applyNumberFormat="1" applyFont="1" applyBorder="1" applyAlignment="1">
      <alignment horizontal="center"/>
    </xf>
    <xf numFmtId="6" fontId="2" fillId="0" borderId="64" xfId="0" applyNumberFormat="1" applyFont="1" applyBorder="1" applyAlignment="1">
      <alignment horizontal="center"/>
    </xf>
    <xf numFmtId="6" fontId="43" fillId="0" borderId="0" xfId="0" applyNumberFormat="1" applyFont="1"/>
    <xf numFmtId="164" fontId="2" fillId="0" borderId="44" xfId="0" applyNumberFormat="1" applyFont="1" applyFill="1" applyBorder="1" applyAlignment="1">
      <alignment horizontal="right"/>
    </xf>
    <xf numFmtId="164" fontId="2" fillId="0" borderId="49" xfId="0" applyNumberFormat="1" applyFont="1" applyBorder="1" applyAlignment="1">
      <alignment horizontal="right" vertical="center" wrapText="1"/>
    </xf>
    <xf numFmtId="164" fontId="2" fillId="0" borderId="18" xfId="0" applyNumberFormat="1" applyFont="1" applyBorder="1" applyAlignment="1">
      <alignment horizontal="right" vertical="center" wrapText="1"/>
    </xf>
    <xf numFmtId="164" fontId="2" fillId="0" borderId="26" xfId="0" applyNumberFormat="1" applyFont="1" applyBorder="1" applyAlignment="1">
      <alignment horizontal="right" vertical="center" wrapText="1"/>
    </xf>
    <xf numFmtId="164" fontId="2" fillId="0" borderId="19" xfId="0" applyNumberFormat="1" applyFont="1" applyBorder="1" applyAlignment="1">
      <alignment horizontal="right" vertical="center" wrapText="1"/>
    </xf>
    <xf numFmtId="164" fontId="2" fillId="0" borderId="71" xfId="0" applyNumberFormat="1" applyFont="1" applyBorder="1" applyAlignment="1">
      <alignment horizontal="right" vertical="center" wrapText="1"/>
    </xf>
    <xf numFmtId="164" fontId="2" fillId="0" borderId="39" xfId="0" applyNumberFormat="1" applyFont="1" applyBorder="1" applyAlignment="1">
      <alignment horizontal="right" vertical="center" wrapText="1"/>
    </xf>
    <xf numFmtId="164" fontId="2" fillId="0" borderId="42" xfId="0" applyNumberFormat="1" applyFont="1" applyFill="1" applyBorder="1" applyAlignment="1">
      <alignment horizontal="right"/>
    </xf>
    <xf numFmtId="164" fontId="2" fillId="0" borderId="25" xfId="0" applyNumberFormat="1" applyFont="1" applyFill="1" applyBorder="1" applyAlignment="1">
      <alignment horizontal="right"/>
    </xf>
    <xf numFmtId="164" fontId="2" fillId="0" borderId="51" xfId="0" applyNumberFormat="1" applyFont="1" applyFill="1" applyBorder="1" applyAlignment="1">
      <alignment horizontal="right"/>
    </xf>
    <xf numFmtId="164" fontId="2" fillId="0" borderId="26" xfId="0" applyNumberFormat="1" applyFont="1" applyFill="1" applyBorder="1" applyAlignment="1">
      <alignment horizontal="right"/>
    </xf>
    <xf numFmtId="164" fontId="2" fillId="0" borderId="34" xfId="0" applyNumberFormat="1" applyFont="1" applyFill="1" applyBorder="1" applyAlignment="1">
      <alignment horizontal="right"/>
    </xf>
    <xf numFmtId="164" fontId="2" fillId="0" borderId="50" xfId="0" applyNumberFormat="1" applyFont="1" applyFill="1" applyBorder="1" applyAlignment="1">
      <alignment horizontal="right"/>
    </xf>
    <xf numFmtId="164" fontId="2" fillId="0" borderId="46" xfId="0" applyNumberFormat="1" applyFont="1" applyBorder="1" applyAlignment="1">
      <alignment horizontal="right" vertical="center" wrapText="1"/>
    </xf>
    <xf numFmtId="164" fontId="2" fillId="0" borderId="21" xfId="0" applyNumberFormat="1" applyFont="1" applyBorder="1" applyAlignment="1">
      <alignment horizontal="right" vertical="center" wrapText="1"/>
    </xf>
    <xf numFmtId="164" fontId="2" fillId="0" borderId="73" xfId="0" applyNumberFormat="1" applyFont="1" applyBorder="1" applyAlignment="1">
      <alignment horizontal="right" vertical="center" wrapText="1"/>
    </xf>
    <xf numFmtId="164" fontId="2" fillId="0" borderId="28" xfId="0" applyNumberFormat="1" applyFont="1" applyFill="1" applyBorder="1" applyAlignment="1">
      <alignment horizontal="right"/>
    </xf>
    <xf numFmtId="164" fontId="2" fillId="0" borderId="21" xfId="0" applyNumberFormat="1" applyFont="1" applyFill="1" applyBorder="1" applyAlignment="1">
      <alignment horizontal="right"/>
    </xf>
    <xf numFmtId="164" fontId="2" fillId="0" borderId="62" xfId="0" applyNumberFormat="1" applyFont="1" applyFill="1" applyBorder="1" applyAlignment="1">
      <alignment horizontal="right"/>
    </xf>
    <xf numFmtId="164" fontId="2" fillId="0" borderId="20" xfId="0" applyNumberFormat="1" applyFont="1" applyBorder="1" applyAlignment="1">
      <alignment horizontal="right" vertical="center" wrapText="1"/>
    </xf>
    <xf numFmtId="164" fontId="2" fillId="0" borderId="42" xfId="0" applyNumberFormat="1" applyFont="1" applyBorder="1" applyAlignment="1">
      <alignment horizontal="right" vertical="center" wrapText="1"/>
    </xf>
    <xf numFmtId="164" fontId="2" fillId="0" borderId="43" xfId="0" applyNumberFormat="1" applyFont="1" applyBorder="1" applyAlignment="1">
      <alignment horizontal="right" vertical="center" wrapText="1"/>
    </xf>
    <xf numFmtId="0" fontId="2" fillId="0" borderId="74" xfId="0" applyFont="1" applyFill="1" applyBorder="1" applyAlignment="1">
      <alignment horizontal="center"/>
    </xf>
    <xf numFmtId="164" fontId="2" fillId="0" borderId="74" xfId="0" applyNumberFormat="1" applyFont="1" applyFill="1" applyBorder="1" applyAlignment="1">
      <alignment horizontal="right"/>
    </xf>
    <xf numFmtId="164" fontId="2" fillId="0" borderId="75" xfId="0" applyNumberFormat="1" applyFont="1" applyFill="1" applyBorder="1" applyAlignment="1">
      <alignment horizontal="right"/>
    </xf>
    <xf numFmtId="164" fontId="2" fillId="0" borderId="76" xfId="0" applyNumberFormat="1" applyFont="1" applyFill="1" applyBorder="1" applyAlignment="1">
      <alignment horizontal="right"/>
    </xf>
    <xf numFmtId="164" fontId="2" fillId="0" borderId="77" xfId="0" applyNumberFormat="1" applyFont="1" applyFill="1" applyBorder="1" applyAlignment="1">
      <alignment horizontal="right"/>
    </xf>
    <xf numFmtId="164" fontId="2" fillId="0" borderId="75" xfId="0" applyNumberFormat="1" applyFont="1" applyBorder="1" applyAlignment="1">
      <alignment horizontal="right" vertical="center" wrapText="1"/>
    </xf>
    <xf numFmtId="164" fontId="2" fillId="0" borderId="59" xfId="0" applyNumberFormat="1" applyFont="1" applyBorder="1" applyAlignment="1">
      <alignment horizontal="right" vertical="center" wrapText="1"/>
    </xf>
    <xf numFmtId="0" fontId="2" fillId="0" borderId="63" xfId="0" applyFont="1" applyFill="1" applyBorder="1" applyAlignment="1">
      <alignment horizontal="center"/>
    </xf>
    <xf numFmtId="164" fontId="2" fillId="0" borderId="63" xfId="0" applyNumberFormat="1" applyFont="1" applyFill="1" applyBorder="1" applyAlignment="1">
      <alignment horizontal="right"/>
    </xf>
    <xf numFmtId="164" fontId="2" fillId="0" borderId="64" xfId="0" applyNumberFormat="1" applyFont="1" applyFill="1" applyBorder="1" applyAlignment="1">
      <alignment horizontal="right"/>
    </xf>
    <xf numFmtId="164" fontId="2" fillId="0" borderId="71" xfId="0" applyNumberFormat="1" applyFont="1" applyFill="1" applyBorder="1" applyAlignment="1">
      <alignment horizontal="right"/>
    </xf>
    <xf numFmtId="164" fontId="2" fillId="0" borderId="73" xfId="0" applyNumberFormat="1" applyFont="1" applyFill="1" applyBorder="1" applyAlignment="1">
      <alignment horizontal="right"/>
    </xf>
    <xf numFmtId="164" fontId="2" fillId="0" borderId="77" xfId="0" applyNumberFormat="1" applyFont="1" applyBorder="1" applyAlignment="1">
      <alignment horizontal="right" vertical="center" wrapText="1"/>
    </xf>
    <xf numFmtId="164" fontId="2" fillId="0" borderId="28" xfId="0" applyNumberFormat="1" applyFont="1" applyBorder="1" applyAlignment="1">
      <alignment horizontal="right" vertical="center" wrapText="1"/>
    </xf>
    <xf numFmtId="164" fontId="2" fillId="0" borderId="62" xfId="0" applyNumberFormat="1" applyFont="1" applyBorder="1" applyAlignment="1">
      <alignment horizontal="right" vertical="center" wrapText="1"/>
    </xf>
    <xf numFmtId="0" fontId="7" fillId="0" borderId="0" xfId="0" applyFont="1" applyFill="1" applyBorder="1" applyAlignment="1">
      <alignment horizontal="left" vertical="top"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0" fillId="2" borderId="11" xfId="0" applyFill="1" applyBorder="1" applyAlignment="1">
      <alignment horizontal="center" vertical="center" wrapText="1"/>
    </xf>
    <xf numFmtId="0" fontId="0" fillId="2" borderId="30" xfId="0"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3" fillId="0" borderId="38"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29" xfId="0" applyFont="1" applyBorder="1" applyAlignment="1">
      <alignment horizontal="center" vertical="center" wrapText="1"/>
    </xf>
    <xf numFmtId="0" fontId="2" fillId="2" borderId="78"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3" fillId="0" borderId="79" xfId="0" applyFont="1" applyBorder="1" applyAlignment="1">
      <alignment horizontal="center" vertical="center" wrapText="1"/>
    </xf>
    <xf numFmtId="0" fontId="3" fillId="0" borderId="36" xfId="0" applyFont="1" applyBorder="1" applyAlignment="1">
      <alignment horizontal="center" vertical="center" wrapText="1"/>
    </xf>
    <xf numFmtId="0" fontId="7" fillId="0" borderId="0" xfId="0" applyFont="1" applyFill="1" applyAlignment="1">
      <alignment horizontal="left" vertical="top" wrapText="1"/>
    </xf>
    <xf numFmtId="0" fontId="0" fillId="0" borderId="22" xfId="0" applyFill="1" applyBorder="1" applyAlignment="1">
      <alignment horizontal="center" vertical="center"/>
    </xf>
    <xf numFmtId="0" fontId="0" fillId="0" borderId="25" xfId="0" applyFill="1" applyBorder="1" applyAlignment="1">
      <alignment horizontal="center" vertical="center"/>
    </xf>
    <xf numFmtId="0" fontId="0" fillId="0" borderId="26" xfId="0" applyBorder="1" applyAlignment="1">
      <alignment horizontal="center" vertical="center"/>
    </xf>
    <xf numFmtId="0" fontId="5" fillId="0" borderId="21" xfId="0" applyFont="1" applyFill="1" applyBorder="1" applyAlignment="1">
      <alignment horizontal="center" vertical="top" wrapText="1"/>
    </xf>
    <xf numFmtId="0" fontId="5" fillId="0" borderId="56" xfId="0" applyFont="1" applyFill="1" applyBorder="1" applyAlignment="1">
      <alignment horizontal="center" vertical="top" wrapText="1"/>
    </xf>
    <xf numFmtId="0" fontId="5" fillId="0" borderId="27" xfId="0" applyFont="1" applyFill="1" applyBorder="1" applyAlignment="1">
      <alignment horizontal="left"/>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2"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31" xfId="0" applyFont="1" applyFill="1" applyBorder="1" applyAlignment="1">
      <alignment horizontal="center" vertical="center"/>
    </xf>
    <xf numFmtId="0" fontId="5" fillId="0" borderId="0" xfId="0" applyFont="1" applyAlignment="1">
      <alignment horizontal="left"/>
    </xf>
    <xf numFmtId="0" fontId="5" fillId="0" borderId="26" xfId="0" applyFont="1" applyBorder="1" applyAlignment="1">
      <alignment horizontal="center"/>
    </xf>
    <xf numFmtId="0" fontId="0" fillId="0" borderId="0" xfId="0" applyAlignment="1">
      <alignment horizontal="left" vertical="top" wrapText="1"/>
    </xf>
    <xf numFmtId="0" fontId="5" fillId="0" borderId="38" xfId="0" applyFont="1" applyBorder="1" applyAlignment="1">
      <alignment horizontal="center" vertical="center"/>
    </xf>
    <xf numFmtId="0" fontId="5" fillId="0" borderId="48" xfId="0" applyFont="1" applyBorder="1" applyAlignment="1">
      <alignment horizontal="center" vertical="center"/>
    </xf>
    <xf numFmtId="0" fontId="5" fillId="0" borderId="29" xfId="0" applyFont="1" applyBorder="1" applyAlignment="1">
      <alignment horizontal="center" vertical="center"/>
    </xf>
    <xf numFmtId="0" fontId="5" fillId="0" borderId="38" xfId="0" applyFont="1" applyBorder="1" applyAlignment="1">
      <alignment horizontal="center"/>
    </xf>
    <xf numFmtId="0" fontId="5" fillId="0" borderId="48" xfId="0" applyFont="1" applyBorder="1" applyAlignment="1">
      <alignment horizontal="center"/>
    </xf>
    <xf numFmtId="0" fontId="5" fillId="0" borderId="1" xfId="0" applyFont="1" applyBorder="1" applyAlignment="1">
      <alignment horizontal="center"/>
    </xf>
    <xf numFmtId="0" fontId="5" fillId="0" borderId="32" xfId="0" applyFont="1" applyBorder="1" applyAlignment="1">
      <alignment horizontal="center"/>
    </xf>
    <xf numFmtId="0" fontId="2" fillId="0" borderId="13"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18" xfId="0" applyFont="1" applyBorder="1" applyAlignment="1">
      <alignment horizontal="center" vertical="center"/>
    </xf>
    <xf numFmtId="0" fontId="2" fillId="0" borderId="61" xfId="0" applyFont="1" applyBorder="1" applyAlignment="1">
      <alignment horizontal="center" vertical="center"/>
    </xf>
    <xf numFmtId="0" fontId="2" fillId="0" borderId="52" xfId="0" applyFont="1" applyBorder="1" applyAlignment="1">
      <alignment horizontal="center" vertical="center" wrapText="1"/>
    </xf>
    <xf numFmtId="0" fontId="2" fillId="0" borderId="24" xfId="0" applyFont="1" applyBorder="1" applyAlignment="1">
      <alignment horizontal="center" vertical="center" wrapText="1"/>
    </xf>
    <xf numFmtId="0" fontId="5" fillId="8" borderId="21" xfId="0" applyFont="1" applyFill="1" applyBorder="1" applyAlignment="1">
      <alignment horizontal="center"/>
    </xf>
    <xf numFmtId="0" fontId="5" fillId="8" borderId="56" xfId="0" applyFont="1" applyFill="1" applyBorder="1" applyAlignment="1">
      <alignment horizontal="center"/>
    </xf>
    <xf numFmtId="0" fontId="2" fillId="0" borderId="1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49" fontId="2" fillId="0" borderId="18"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0" fontId="5" fillId="0" borderId="29" xfId="0" applyFont="1" applyBorder="1" applyAlignment="1">
      <alignment horizontal="center"/>
    </xf>
    <xf numFmtId="0" fontId="2" fillId="0" borderId="1"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0" fillId="0" borderId="0" xfId="0" applyFont="1" applyFill="1" applyAlignment="1">
      <alignment horizontal="left" vertical="top" wrapText="1"/>
    </xf>
    <xf numFmtId="0" fontId="0" fillId="0" borderId="0" xfId="0" applyFill="1" applyAlignment="1">
      <alignment horizontal="left" vertical="top" wrapText="1"/>
    </xf>
    <xf numFmtId="0" fontId="5" fillId="0" borderId="26" xfId="0" applyFont="1" applyFill="1" applyBorder="1" applyAlignment="1">
      <alignment horizontal="center"/>
    </xf>
    <xf numFmtId="0" fontId="0" fillId="0" borderId="0" xfId="0"/>
    <xf numFmtId="0" fontId="0" fillId="0" borderId="0" xfId="0" applyAlignment="1">
      <alignment horizontal="left" wrapText="1"/>
    </xf>
    <xf numFmtId="0" fontId="5" fillId="0" borderId="21" xfId="0" applyFont="1" applyBorder="1" applyAlignment="1">
      <alignment horizontal="center"/>
    </xf>
    <xf numFmtId="0" fontId="5" fillId="0" borderId="56" xfId="0" applyFont="1" applyBorder="1" applyAlignment="1">
      <alignment horizontal="center"/>
    </xf>
    <xf numFmtId="0" fontId="2" fillId="0" borderId="17"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33"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cellXfs>
  <cellStyles count="143">
    <cellStyle name="Accent5" xfId="141" builtinId="45"/>
    <cellStyle name="Bad" xfId="140" builtinId="27"/>
    <cellStyle name="Comma" xfId="136" builtinId="3"/>
    <cellStyle name="Comma 2" xfId="7" xr:uid="{00000000-0005-0000-0000-000001000000}"/>
    <cellStyle name="Comma 47 2" xfId="17" xr:uid="{00000000-0005-0000-0000-000002000000}"/>
    <cellStyle name="Comma 47 3" xfId="18" xr:uid="{00000000-0005-0000-0000-000003000000}"/>
    <cellStyle name="Comma 47 4" xfId="19" xr:uid="{00000000-0005-0000-0000-000004000000}"/>
    <cellStyle name="Comma0" xfId="8" xr:uid="{00000000-0005-0000-0000-000005000000}"/>
    <cellStyle name="Currency" xfId="1" builtinId="4"/>
    <cellStyle name="Currency 2" xfId="16" xr:uid="{00000000-0005-0000-0000-000007000000}"/>
    <cellStyle name="Currency0" xfId="9" xr:uid="{00000000-0005-0000-0000-000008000000}"/>
    <cellStyle name="Date" xfId="10" xr:uid="{00000000-0005-0000-0000-000009000000}"/>
    <cellStyle name="Fixed" xfId="11" xr:uid="{00000000-0005-0000-0000-00000A000000}"/>
    <cellStyle name="Hyperlink" xfId="138" builtinId="8"/>
    <cellStyle name="Hyperlink 2" xfId="142" xr:uid="{AD4A4CA1-0933-4496-9F39-DCD9244CC876}"/>
    <cellStyle name="Normal" xfId="0" builtinId="0"/>
    <cellStyle name="Normal 11" xfId="20" xr:uid="{00000000-0005-0000-0000-00000D000000}"/>
    <cellStyle name="Normal 11 2" xfId="21" xr:uid="{00000000-0005-0000-0000-00000E000000}"/>
    <cellStyle name="Normal 11 3" xfId="22" xr:uid="{00000000-0005-0000-0000-00000F000000}"/>
    <cellStyle name="Normal 11 4" xfId="23" xr:uid="{00000000-0005-0000-0000-000010000000}"/>
    <cellStyle name="Normal 11 5" xfId="24" xr:uid="{00000000-0005-0000-0000-000011000000}"/>
    <cellStyle name="Normal 12" xfId="25" xr:uid="{00000000-0005-0000-0000-000012000000}"/>
    <cellStyle name="Normal 12 2" xfId="26" xr:uid="{00000000-0005-0000-0000-000013000000}"/>
    <cellStyle name="Normal 12 3" xfId="27" xr:uid="{00000000-0005-0000-0000-000014000000}"/>
    <cellStyle name="Normal 12 4" xfId="28" xr:uid="{00000000-0005-0000-0000-000015000000}"/>
    <cellStyle name="Normal 12 5" xfId="29" xr:uid="{00000000-0005-0000-0000-000016000000}"/>
    <cellStyle name="Normal 13" xfId="30" xr:uid="{00000000-0005-0000-0000-000017000000}"/>
    <cellStyle name="Normal 13 2" xfId="31" xr:uid="{00000000-0005-0000-0000-000018000000}"/>
    <cellStyle name="Normal 13 3" xfId="32" xr:uid="{00000000-0005-0000-0000-000019000000}"/>
    <cellStyle name="Normal 13 4" xfId="33" xr:uid="{00000000-0005-0000-0000-00001A000000}"/>
    <cellStyle name="Normal 13 5" xfId="34" xr:uid="{00000000-0005-0000-0000-00001B000000}"/>
    <cellStyle name="Normal 14" xfId="35" xr:uid="{00000000-0005-0000-0000-00001C000000}"/>
    <cellStyle name="Normal 14 2" xfId="36" xr:uid="{00000000-0005-0000-0000-00001D000000}"/>
    <cellStyle name="Normal 14 3" xfId="37" xr:uid="{00000000-0005-0000-0000-00001E000000}"/>
    <cellStyle name="Normal 14 4" xfId="38" xr:uid="{00000000-0005-0000-0000-00001F000000}"/>
    <cellStyle name="Normal 14 5" xfId="39" xr:uid="{00000000-0005-0000-0000-000020000000}"/>
    <cellStyle name="Normal 15" xfId="40" xr:uid="{00000000-0005-0000-0000-000021000000}"/>
    <cellStyle name="Normal 15 2" xfId="41" xr:uid="{00000000-0005-0000-0000-000022000000}"/>
    <cellStyle name="Normal 15 3" xfId="42" xr:uid="{00000000-0005-0000-0000-000023000000}"/>
    <cellStyle name="Normal 15 4" xfId="43" xr:uid="{00000000-0005-0000-0000-000024000000}"/>
    <cellStyle name="Normal 15 5" xfId="44" xr:uid="{00000000-0005-0000-0000-000025000000}"/>
    <cellStyle name="Normal 16" xfId="2" xr:uid="{00000000-0005-0000-0000-000026000000}"/>
    <cellStyle name="Normal 16 2" xfId="45" xr:uid="{00000000-0005-0000-0000-000027000000}"/>
    <cellStyle name="Normal 16 3" xfId="46" xr:uid="{00000000-0005-0000-0000-000028000000}"/>
    <cellStyle name="Normal 16 4" xfId="47" xr:uid="{00000000-0005-0000-0000-000029000000}"/>
    <cellStyle name="Normal 16 5" xfId="48" xr:uid="{00000000-0005-0000-0000-00002A000000}"/>
    <cellStyle name="Normal 17" xfId="4" xr:uid="{00000000-0005-0000-0000-00002B000000}"/>
    <cellStyle name="Normal 17 2" xfId="49" xr:uid="{00000000-0005-0000-0000-00002C000000}"/>
    <cellStyle name="Normal 17 3" xfId="50" xr:uid="{00000000-0005-0000-0000-00002D000000}"/>
    <cellStyle name="Normal 17 4" xfId="51" xr:uid="{00000000-0005-0000-0000-00002E000000}"/>
    <cellStyle name="Normal 17 5" xfId="52" xr:uid="{00000000-0005-0000-0000-00002F000000}"/>
    <cellStyle name="Normal 18" xfId="3" xr:uid="{00000000-0005-0000-0000-000030000000}"/>
    <cellStyle name="Normal 18 2" xfId="53" xr:uid="{00000000-0005-0000-0000-000031000000}"/>
    <cellStyle name="Normal 18 3" xfId="54" xr:uid="{00000000-0005-0000-0000-000032000000}"/>
    <cellStyle name="Normal 18 4" xfId="55" xr:uid="{00000000-0005-0000-0000-000033000000}"/>
    <cellStyle name="Normal 18 5" xfId="56" xr:uid="{00000000-0005-0000-0000-000034000000}"/>
    <cellStyle name="Normal 19" xfId="5" xr:uid="{00000000-0005-0000-0000-000035000000}"/>
    <cellStyle name="Normal 19 2" xfId="57" xr:uid="{00000000-0005-0000-0000-000036000000}"/>
    <cellStyle name="Normal 19 3" xfId="58" xr:uid="{00000000-0005-0000-0000-000037000000}"/>
    <cellStyle name="Normal 19 4" xfId="59" xr:uid="{00000000-0005-0000-0000-000038000000}"/>
    <cellStyle name="Normal 19 5" xfId="60" xr:uid="{00000000-0005-0000-0000-000039000000}"/>
    <cellStyle name="Normal 2" xfId="6" xr:uid="{00000000-0005-0000-0000-00003A000000}"/>
    <cellStyle name="Normal 2 2" xfId="61" xr:uid="{00000000-0005-0000-0000-00003B000000}"/>
    <cellStyle name="Normal 2 3" xfId="62" xr:uid="{00000000-0005-0000-0000-00003C000000}"/>
    <cellStyle name="Normal 2 4" xfId="63" xr:uid="{00000000-0005-0000-0000-00003D000000}"/>
    <cellStyle name="Normal 2 5" xfId="64" xr:uid="{00000000-0005-0000-0000-00003E000000}"/>
    <cellStyle name="Normal 20" xfId="65" xr:uid="{00000000-0005-0000-0000-00003F000000}"/>
    <cellStyle name="Normal 20 2" xfId="66" xr:uid="{00000000-0005-0000-0000-000040000000}"/>
    <cellStyle name="Normal 20 3" xfId="67" xr:uid="{00000000-0005-0000-0000-000041000000}"/>
    <cellStyle name="Normal 20 4" xfId="68" xr:uid="{00000000-0005-0000-0000-000042000000}"/>
    <cellStyle name="Normal 20 5" xfId="69" xr:uid="{00000000-0005-0000-0000-000043000000}"/>
    <cellStyle name="Normal 21" xfId="70" xr:uid="{00000000-0005-0000-0000-000044000000}"/>
    <cellStyle name="Normal 21 2" xfId="71" xr:uid="{00000000-0005-0000-0000-000045000000}"/>
    <cellStyle name="Normal 21 3" xfId="72" xr:uid="{00000000-0005-0000-0000-000046000000}"/>
    <cellStyle name="Normal 21 4" xfId="73" xr:uid="{00000000-0005-0000-0000-000047000000}"/>
    <cellStyle name="Normal 21 5" xfId="74" xr:uid="{00000000-0005-0000-0000-000048000000}"/>
    <cellStyle name="Normal 23" xfId="75" xr:uid="{00000000-0005-0000-0000-000049000000}"/>
    <cellStyle name="Normal 23 2" xfId="76" xr:uid="{00000000-0005-0000-0000-00004A000000}"/>
    <cellStyle name="Normal 23 3" xfId="77" xr:uid="{00000000-0005-0000-0000-00004B000000}"/>
    <cellStyle name="Normal 23 4" xfId="78" xr:uid="{00000000-0005-0000-0000-00004C000000}"/>
    <cellStyle name="Normal 23 5" xfId="79" xr:uid="{00000000-0005-0000-0000-00004D000000}"/>
    <cellStyle name="Normal 24" xfId="80" xr:uid="{00000000-0005-0000-0000-00004E000000}"/>
    <cellStyle name="Normal 24 2" xfId="81" xr:uid="{00000000-0005-0000-0000-00004F000000}"/>
    <cellStyle name="Normal 24 3" xfId="82" xr:uid="{00000000-0005-0000-0000-000050000000}"/>
    <cellStyle name="Normal 24 4" xfId="83" xr:uid="{00000000-0005-0000-0000-000051000000}"/>
    <cellStyle name="Normal 24 5" xfId="84" xr:uid="{00000000-0005-0000-0000-000052000000}"/>
    <cellStyle name="Normal 25" xfId="85" xr:uid="{00000000-0005-0000-0000-000053000000}"/>
    <cellStyle name="Normal 25 2" xfId="86" xr:uid="{00000000-0005-0000-0000-000054000000}"/>
    <cellStyle name="Normal 25 3" xfId="87" xr:uid="{00000000-0005-0000-0000-000055000000}"/>
    <cellStyle name="Normal 25 4" xfId="88" xr:uid="{00000000-0005-0000-0000-000056000000}"/>
    <cellStyle name="Normal 25 5" xfId="89" xr:uid="{00000000-0005-0000-0000-000057000000}"/>
    <cellStyle name="Normal 26" xfId="90" xr:uid="{00000000-0005-0000-0000-000058000000}"/>
    <cellStyle name="Normal 26 2" xfId="91" xr:uid="{00000000-0005-0000-0000-000059000000}"/>
    <cellStyle name="Normal 26 3" xfId="92" xr:uid="{00000000-0005-0000-0000-00005A000000}"/>
    <cellStyle name="Normal 26 4" xfId="93" xr:uid="{00000000-0005-0000-0000-00005B000000}"/>
    <cellStyle name="Normal 26 5" xfId="94" xr:uid="{00000000-0005-0000-0000-00005C000000}"/>
    <cellStyle name="Normal 27" xfId="95" xr:uid="{00000000-0005-0000-0000-00005D000000}"/>
    <cellStyle name="Normal 27 2" xfId="96" xr:uid="{00000000-0005-0000-0000-00005E000000}"/>
    <cellStyle name="Normal 27 3" xfId="97" xr:uid="{00000000-0005-0000-0000-00005F000000}"/>
    <cellStyle name="Normal 27 4" xfId="98" xr:uid="{00000000-0005-0000-0000-000060000000}"/>
    <cellStyle name="Normal 27 5" xfId="99" xr:uid="{00000000-0005-0000-0000-000061000000}"/>
    <cellStyle name="Normal 28 2" xfId="100" xr:uid="{00000000-0005-0000-0000-000062000000}"/>
    <cellStyle name="Normal 28 3" xfId="101" xr:uid="{00000000-0005-0000-0000-000063000000}"/>
    <cellStyle name="Normal 28 4" xfId="102" xr:uid="{00000000-0005-0000-0000-000064000000}"/>
    <cellStyle name="Normal 29" xfId="103" xr:uid="{00000000-0005-0000-0000-000065000000}"/>
    <cellStyle name="Normal 3" xfId="12" xr:uid="{00000000-0005-0000-0000-000066000000}"/>
    <cellStyle name="Normal 3 2" xfId="104" xr:uid="{00000000-0005-0000-0000-000067000000}"/>
    <cellStyle name="Normal 3 3" xfId="105" xr:uid="{00000000-0005-0000-0000-000068000000}"/>
    <cellStyle name="Normal 3 4" xfId="106" xr:uid="{00000000-0005-0000-0000-000069000000}"/>
    <cellStyle name="Normal 3 5" xfId="107" xr:uid="{00000000-0005-0000-0000-00006A000000}"/>
    <cellStyle name="Normal 30" xfId="108" xr:uid="{00000000-0005-0000-0000-00006B000000}"/>
    <cellStyle name="Normal 32" xfId="109" xr:uid="{00000000-0005-0000-0000-00006C000000}"/>
    <cellStyle name="Normal 4" xfId="13" xr:uid="{00000000-0005-0000-0000-00006D000000}"/>
    <cellStyle name="Normal 4 2" xfId="110" xr:uid="{00000000-0005-0000-0000-00006E000000}"/>
    <cellStyle name="Normal 4 3" xfId="111" xr:uid="{00000000-0005-0000-0000-00006F000000}"/>
    <cellStyle name="Normal 4 4" xfId="112" xr:uid="{00000000-0005-0000-0000-000070000000}"/>
    <cellStyle name="Normal 4 5" xfId="113" xr:uid="{00000000-0005-0000-0000-000071000000}"/>
    <cellStyle name="Normal 5" xfId="139" xr:uid="{800F61AB-3829-4A8A-A3A9-0D3639B5EA4F}"/>
    <cellStyle name="Normal 5 2" xfId="114" xr:uid="{00000000-0005-0000-0000-000072000000}"/>
    <cellStyle name="Normal 5 3" xfId="115" xr:uid="{00000000-0005-0000-0000-000073000000}"/>
    <cellStyle name="Normal 5 4" xfId="116" xr:uid="{00000000-0005-0000-0000-000074000000}"/>
    <cellStyle name="Normal 5 5" xfId="117" xr:uid="{00000000-0005-0000-0000-000075000000}"/>
    <cellStyle name="Normal 6" xfId="118" xr:uid="{00000000-0005-0000-0000-000076000000}"/>
    <cellStyle name="Normal 6 2" xfId="119" xr:uid="{00000000-0005-0000-0000-000077000000}"/>
    <cellStyle name="Normal 6 3" xfId="120" xr:uid="{00000000-0005-0000-0000-000078000000}"/>
    <cellStyle name="Normal 6 4" xfId="121" xr:uid="{00000000-0005-0000-0000-000079000000}"/>
    <cellStyle name="Normal 6 5" xfId="122" xr:uid="{00000000-0005-0000-0000-00007A000000}"/>
    <cellStyle name="Normal 7 2" xfId="123" xr:uid="{00000000-0005-0000-0000-00007B000000}"/>
    <cellStyle name="Normal 7 3" xfId="124" xr:uid="{00000000-0005-0000-0000-00007C000000}"/>
    <cellStyle name="Normal 7 4" xfId="125" xr:uid="{00000000-0005-0000-0000-00007D000000}"/>
    <cellStyle name="Normal 7 5" xfId="126" xr:uid="{00000000-0005-0000-0000-00007E000000}"/>
    <cellStyle name="Normal 8 2" xfId="127" xr:uid="{00000000-0005-0000-0000-00007F000000}"/>
    <cellStyle name="Normal 8 3" xfId="128" xr:uid="{00000000-0005-0000-0000-000080000000}"/>
    <cellStyle name="Normal 8 4" xfId="129" xr:uid="{00000000-0005-0000-0000-000081000000}"/>
    <cellStyle name="Normal 8 5" xfId="130" xr:uid="{00000000-0005-0000-0000-000082000000}"/>
    <cellStyle name="Normal 9" xfId="131" xr:uid="{00000000-0005-0000-0000-000083000000}"/>
    <cellStyle name="Normal 9 2" xfId="132" xr:uid="{00000000-0005-0000-0000-000084000000}"/>
    <cellStyle name="Normal 9 3" xfId="133" xr:uid="{00000000-0005-0000-0000-000085000000}"/>
    <cellStyle name="Normal 9 4" xfId="134" xr:uid="{00000000-0005-0000-0000-000086000000}"/>
    <cellStyle name="Normal 9 5" xfId="135" xr:uid="{00000000-0005-0000-0000-000087000000}"/>
    <cellStyle name="Percent" xfId="137" builtinId="5"/>
    <cellStyle name="Percent 2" xfId="14" xr:uid="{00000000-0005-0000-0000-000089000000}"/>
    <cellStyle name="Percent 3" xfId="15" xr:uid="{00000000-0005-0000-0000-00008A000000}"/>
  </cellStyles>
  <dxfs count="0"/>
  <tableStyles count="0" defaultTableStyle="TableStyleMedium2" defaultPivotStyle="PivotStyleLight16"/>
  <colors>
    <mruColors>
      <color rgb="FFF97B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35</xdr:row>
      <xdr:rowOff>95250</xdr:rowOff>
    </xdr:from>
    <xdr:to>
      <xdr:col>37</xdr:col>
      <xdr:colOff>450273</xdr:colOff>
      <xdr:row>66</xdr:row>
      <xdr:rowOff>153110</xdr:rowOff>
    </xdr:to>
    <xdr:pic>
      <xdr:nvPicPr>
        <xdr:cNvPr id="5" name="Picture 4">
          <a:extLst>
            <a:ext uri="{FF2B5EF4-FFF2-40B4-BE49-F238E27FC236}">
              <a16:creationId xmlns:a16="http://schemas.microsoft.com/office/drawing/2014/main" id="{477322BF-14B2-49FF-91AB-E113F3E1283C}"/>
            </a:ext>
          </a:extLst>
        </xdr:cNvPr>
        <xdr:cNvPicPr>
          <a:picLocks noChangeAspect="1"/>
        </xdr:cNvPicPr>
      </xdr:nvPicPr>
      <xdr:blipFill>
        <a:blip xmlns:r="http://schemas.openxmlformats.org/officeDocument/2006/relationships" r:embed="rId1"/>
        <a:stretch>
          <a:fillRect/>
        </a:stretch>
      </xdr:blipFill>
      <xdr:spPr>
        <a:xfrm>
          <a:off x="25405773" y="2034886"/>
          <a:ext cx="6511636" cy="5997996"/>
        </a:xfrm>
        <a:prstGeom prst="rect">
          <a:avLst/>
        </a:prstGeom>
      </xdr:spPr>
    </xdr:pic>
    <xdr:clientData/>
  </xdr:twoCellAnchor>
  <xdr:oneCellAnchor>
    <xdr:from>
      <xdr:col>15</xdr:col>
      <xdr:colOff>17319</xdr:colOff>
      <xdr:row>38</xdr:row>
      <xdr:rowOff>123392</xdr:rowOff>
    </xdr:from>
    <xdr:ext cx="7066257" cy="3688772"/>
    <xdr:pic>
      <xdr:nvPicPr>
        <xdr:cNvPr id="6" name="Picture 5">
          <a:extLst>
            <a:ext uri="{FF2B5EF4-FFF2-40B4-BE49-F238E27FC236}">
              <a16:creationId xmlns:a16="http://schemas.microsoft.com/office/drawing/2014/main" id="{CE6612A8-1153-4045-9289-2004E5D1A4B6}"/>
            </a:ext>
          </a:extLst>
        </xdr:cNvPr>
        <xdr:cNvPicPr>
          <a:picLocks noChangeAspect="1"/>
        </xdr:cNvPicPr>
      </xdr:nvPicPr>
      <xdr:blipFill>
        <a:blip xmlns:r="http://schemas.openxmlformats.org/officeDocument/2006/relationships" r:embed="rId2"/>
        <a:stretch>
          <a:fillRect/>
        </a:stretch>
      </xdr:blipFill>
      <xdr:spPr>
        <a:xfrm>
          <a:off x="23310274" y="7829983"/>
          <a:ext cx="7066257" cy="3688772"/>
        </a:xfrm>
        <a:prstGeom prst="rect">
          <a:avLst/>
        </a:prstGeom>
      </xdr:spPr>
    </xdr:pic>
    <xdr:clientData/>
  </xdr:oneCellAnchor>
  <xdr:twoCellAnchor editAs="oneCell">
    <xdr:from>
      <xdr:col>14</xdr:col>
      <xdr:colOff>554182</xdr:colOff>
      <xdr:row>6</xdr:row>
      <xdr:rowOff>173183</xdr:rowOff>
    </xdr:from>
    <xdr:to>
      <xdr:col>26</xdr:col>
      <xdr:colOff>4068</xdr:colOff>
      <xdr:row>35</xdr:row>
      <xdr:rowOff>121228</xdr:rowOff>
    </xdr:to>
    <xdr:pic>
      <xdr:nvPicPr>
        <xdr:cNvPr id="7" name="Picture 6">
          <a:extLst>
            <a:ext uri="{FF2B5EF4-FFF2-40B4-BE49-F238E27FC236}">
              <a16:creationId xmlns:a16="http://schemas.microsoft.com/office/drawing/2014/main" id="{34A978EF-A814-4A0A-B51C-BF06F061B158}"/>
            </a:ext>
          </a:extLst>
        </xdr:cNvPr>
        <xdr:cNvPicPr>
          <a:picLocks noChangeAspect="1"/>
        </xdr:cNvPicPr>
      </xdr:nvPicPr>
      <xdr:blipFill>
        <a:blip xmlns:r="http://schemas.openxmlformats.org/officeDocument/2006/relationships" r:embed="rId3"/>
        <a:stretch>
          <a:fillRect/>
        </a:stretch>
      </xdr:blipFill>
      <xdr:spPr>
        <a:xfrm>
          <a:off x="22790727" y="1731819"/>
          <a:ext cx="9425159" cy="5524500"/>
        </a:xfrm>
        <a:prstGeom prst="rect">
          <a:avLst/>
        </a:prstGeom>
      </xdr:spPr>
    </xdr:pic>
    <xdr:clientData/>
  </xdr:twoCellAnchor>
  <xdr:twoCellAnchor editAs="oneCell">
    <xdr:from>
      <xdr:col>27</xdr:col>
      <xdr:colOff>38100</xdr:colOff>
      <xdr:row>18</xdr:row>
      <xdr:rowOff>121228</xdr:rowOff>
    </xdr:from>
    <xdr:to>
      <xdr:col>39</xdr:col>
      <xdr:colOff>831273</xdr:colOff>
      <xdr:row>29</xdr:row>
      <xdr:rowOff>155863</xdr:rowOff>
    </xdr:to>
    <xdr:pic>
      <xdr:nvPicPr>
        <xdr:cNvPr id="9" name="Picture 8">
          <a:extLst>
            <a:ext uri="{FF2B5EF4-FFF2-40B4-BE49-F238E27FC236}">
              <a16:creationId xmlns:a16="http://schemas.microsoft.com/office/drawing/2014/main" id="{7713F1C8-4F0B-43E2-B58A-5AA5328544F2}"/>
            </a:ext>
          </a:extLst>
        </xdr:cNvPr>
        <xdr:cNvPicPr>
          <a:picLocks noChangeAspect="1"/>
        </xdr:cNvPicPr>
      </xdr:nvPicPr>
      <xdr:blipFill rotWithShape="1">
        <a:blip xmlns:r="http://schemas.openxmlformats.org/officeDocument/2006/relationships" r:embed="rId4"/>
        <a:srcRect t="29486" b="42031"/>
        <a:stretch/>
      </xdr:blipFill>
      <xdr:spPr>
        <a:xfrm>
          <a:off x="32856055" y="3965864"/>
          <a:ext cx="10543309" cy="2164772"/>
        </a:xfrm>
        <a:prstGeom prst="rect">
          <a:avLst/>
        </a:prstGeom>
      </xdr:spPr>
    </xdr:pic>
    <xdr:clientData/>
  </xdr:twoCellAnchor>
  <xdr:twoCellAnchor editAs="oneCell">
    <xdr:from>
      <xdr:col>7</xdr:col>
      <xdr:colOff>0</xdr:colOff>
      <xdr:row>73</xdr:row>
      <xdr:rowOff>40821</xdr:rowOff>
    </xdr:from>
    <xdr:to>
      <xdr:col>11</xdr:col>
      <xdr:colOff>309562</xdr:colOff>
      <xdr:row>89</xdr:row>
      <xdr:rowOff>78569</xdr:rowOff>
    </xdr:to>
    <xdr:pic>
      <xdr:nvPicPr>
        <xdr:cNvPr id="10" name="Picture 9">
          <a:extLst>
            <a:ext uri="{FF2B5EF4-FFF2-40B4-BE49-F238E27FC236}">
              <a16:creationId xmlns:a16="http://schemas.microsoft.com/office/drawing/2014/main" id="{74583B28-B54A-4ADE-B588-E97FCB1867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84571" y="14423571"/>
          <a:ext cx="10256384" cy="308574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1953243</xdr:colOff>
      <xdr:row>33</xdr:row>
      <xdr:rowOff>157101</xdr:rowOff>
    </xdr:from>
    <xdr:to>
      <xdr:col>10</xdr:col>
      <xdr:colOff>1950477</xdr:colOff>
      <xdr:row>55</xdr:row>
      <xdr:rowOff>139783</xdr:rowOff>
    </xdr:to>
    <xdr:pic>
      <xdr:nvPicPr>
        <xdr:cNvPr id="2" name="Picture 1" descr="Diagram&#10;&#10;Description automatically generated">
          <a:extLst>
            <a:ext uri="{FF2B5EF4-FFF2-40B4-BE49-F238E27FC236}">
              <a16:creationId xmlns:a16="http://schemas.microsoft.com/office/drawing/2014/main" id="{B622287E-29DB-498B-A7AB-BCF9E02A64D7}"/>
            </a:ext>
          </a:extLst>
        </xdr:cNvPr>
        <xdr:cNvPicPr>
          <a:picLocks noChangeAspect="1"/>
        </xdr:cNvPicPr>
      </xdr:nvPicPr>
      <xdr:blipFill>
        <a:blip xmlns:r="http://schemas.openxmlformats.org/officeDocument/2006/relationships" r:embed="rId1"/>
        <a:stretch>
          <a:fillRect/>
        </a:stretch>
      </xdr:blipFill>
      <xdr:spPr>
        <a:xfrm>
          <a:off x="9028957" y="6947065"/>
          <a:ext cx="9631091" cy="41736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97724</xdr:colOff>
      <xdr:row>2</xdr:row>
      <xdr:rowOff>64325</xdr:rowOff>
    </xdr:from>
    <xdr:to>
      <xdr:col>38</xdr:col>
      <xdr:colOff>510849</xdr:colOff>
      <xdr:row>33</xdr:row>
      <xdr:rowOff>183241</xdr:rowOff>
    </xdr:to>
    <xdr:pic>
      <xdr:nvPicPr>
        <xdr:cNvPr id="5" name="Picture 4">
          <a:extLst>
            <a:ext uri="{FF2B5EF4-FFF2-40B4-BE49-F238E27FC236}">
              <a16:creationId xmlns:a16="http://schemas.microsoft.com/office/drawing/2014/main" id="{D8F77482-263C-4B8D-800E-E06CA075AF1C}"/>
            </a:ext>
          </a:extLst>
        </xdr:cNvPr>
        <xdr:cNvPicPr>
          <a:picLocks noChangeAspect="1"/>
        </xdr:cNvPicPr>
      </xdr:nvPicPr>
      <xdr:blipFill>
        <a:blip xmlns:r="http://schemas.openxmlformats.org/officeDocument/2006/relationships" r:embed="rId1"/>
        <a:stretch>
          <a:fillRect/>
        </a:stretch>
      </xdr:blipFill>
      <xdr:spPr>
        <a:xfrm>
          <a:off x="23061633" y="462643"/>
          <a:ext cx="10111308" cy="6734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fgroup.loc\DFSMapK\Trans\Grant%20Applications\2018%20Grants\BUILD\Rochester\Rochester%20TH%2052%20B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Grant%20Applications/2020%20Grants/INFRA/TH%2010%20Rum%20River/BCA/Example%20Workbook/DRAFT_BCA%20Workbook%20-%20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fgroup.loc\DFSMapK\Trans\Grant%20Applications\2020%20Grants\INFRA\TH%2010%20Rum%20River\BCA\Copy%20of%20TH%2010%20Rum%20River%20BCA%20Workbook_updated%20cost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rojects\09000\9228\TS\BCA\2016%20Update\Scott%20County%20BCA%20Workbook%20201604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Safety Benefits "/>
      <sheetName val="Safety Benefits - Lighting"/>
      <sheetName val="Safety Benefits - Shoulder"/>
      <sheetName val="Annualized Operations"/>
      <sheetName val="Operating Cost Savings"/>
      <sheetName val="Air Quality"/>
      <sheetName val="Capital Costs"/>
      <sheetName val="Operation and Maintenance"/>
      <sheetName val="RCV Calculator"/>
    </sheetNames>
    <sheetDataSet>
      <sheetData sheetId="0" refreshError="1">
        <row r="4">
          <cell r="D4">
            <v>2017</v>
          </cell>
        </row>
        <row r="14">
          <cell r="I14">
            <v>110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Corridor"/>
      <sheetName val="User Benefits (VHT) - Nodal"/>
      <sheetName val="Operation Benefits (VMT) - Netw"/>
      <sheetName val="Operation Benefits (VMT) - Corr"/>
      <sheetName val="Safety Benefits"/>
      <sheetName val="Air Quality"/>
      <sheetName val="RCV Calc"/>
      <sheetName val="Operation and Maintenance"/>
      <sheetName val="WisDOT TT Tool Input - No Build"/>
      <sheetName val="WisDOT TT Tool Input - Build"/>
      <sheetName val="WisDOT Travel Time Tool Output"/>
      <sheetName val="GDP Defl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Safety Benefits"/>
      <sheetName val="Travel Time Savings (Summary)"/>
      <sheetName val="Travel Time Savings (Ferry St)"/>
      <sheetName val="Travel Time Savings (TH 10)"/>
      <sheetName val="Travel Time Savings (4th Ave)"/>
      <sheetName val="Capital Cost and RCV Calc"/>
      <sheetName val="Operation and Maintenance"/>
      <sheetName val="RCV Calculator"/>
    </sheetNames>
    <sheetDataSet>
      <sheetData sheetId="0">
        <row r="5">
          <cell r="D5">
            <v>2020</v>
          </cell>
        </row>
      </sheetData>
      <sheetData sheetId="1"/>
      <sheetData sheetId="2"/>
      <sheetData sheetId="3"/>
      <sheetData sheetId="4"/>
      <sheetData sheetId="5"/>
      <sheetData sheetId="6"/>
      <sheetData sheetId="7"/>
      <sheetData sheetId="8"/>
      <sheetData sheetId="9">
        <row r="15">
          <cell r="N15">
            <v>0.99668901533542642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CA Summary"/>
      <sheetName val="Annualized Operations"/>
      <sheetName val="User Benefits (VHT) - Network"/>
      <sheetName val="User Benefits (VHT) - Nodal"/>
      <sheetName val="Operation Benefits (VMT)"/>
      <sheetName val="Safety Benefits"/>
      <sheetName val="Air Quality"/>
      <sheetName val="RCV Calc"/>
      <sheetName val="Operation and Maintenance"/>
      <sheetName val="RCV Calculato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ransportation.anl.gov/pdfs/idling_worksheet.pdf" TargetMode="External"/><Relationship Id="rId2" Type="http://schemas.openxmlformats.org/officeDocument/2006/relationships/hyperlink" Target="http://www.transportation.anl.gov/pdfs/idling_worksheet.pdf" TargetMode="External"/><Relationship Id="rId1" Type="http://schemas.openxmlformats.org/officeDocument/2006/relationships/hyperlink" Target="http://energy.gov/eere/vehicles/fact-861-february-23-2015-idle-fuel-consumption-selected-gasoline-and-diesel-vehicl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cmfclearinghouse.org/detail.cfm?facid=2337" TargetMode="External"/><Relationship Id="rId3" Type="http://schemas.openxmlformats.org/officeDocument/2006/relationships/hyperlink" Target="http://www.cmfclearinghouse.org/detail.cfm?facid=7566" TargetMode="External"/><Relationship Id="rId7" Type="http://schemas.openxmlformats.org/officeDocument/2006/relationships/hyperlink" Target="http://www.cmfclearinghouse.org/detail.cfm?facid=7566" TargetMode="External"/><Relationship Id="rId2" Type="http://schemas.openxmlformats.org/officeDocument/2006/relationships/hyperlink" Target="http://www.cmfclearinghouse.org/detail.cfm?facid=7566" TargetMode="External"/><Relationship Id="rId1" Type="http://schemas.openxmlformats.org/officeDocument/2006/relationships/hyperlink" Target="http://www.cmfclearinghouse.org/detail.cfm?facid=7566" TargetMode="External"/><Relationship Id="rId6" Type="http://schemas.openxmlformats.org/officeDocument/2006/relationships/hyperlink" Target="https://www.co.dakota.mn.us/Transportation/PlanningPrograms/Documents/2040TransportationPlan.pdf" TargetMode="External"/><Relationship Id="rId5" Type="http://schemas.openxmlformats.org/officeDocument/2006/relationships/hyperlink" Target="http://www.cmfclearinghouse.org/detail.cfm?facid=7566" TargetMode="External"/><Relationship Id="rId10" Type="http://schemas.openxmlformats.org/officeDocument/2006/relationships/drawing" Target="../drawings/drawing1.xml"/><Relationship Id="rId4" Type="http://schemas.openxmlformats.org/officeDocument/2006/relationships/hyperlink" Target="http://www.cmfclearinghouse.org/detail.cfm?facid=7566"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mfclearinghouse.org/detail.cfm?facid=9157" TargetMode="External"/><Relationship Id="rId1" Type="http://schemas.openxmlformats.org/officeDocument/2006/relationships/hyperlink" Target="http://www.cmfclearinghouse.org/detail.cfm?facid=9156"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4" tint="0.59999389629810485"/>
    <pageSetUpPr fitToPage="1"/>
  </sheetPr>
  <dimension ref="B2:V342"/>
  <sheetViews>
    <sheetView tabSelected="1" view="pageBreakPreview" zoomScale="70" zoomScaleNormal="85" zoomScaleSheetLayoutView="70" workbookViewId="0">
      <selection activeCell="J26" sqref="J26"/>
    </sheetView>
  </sheetViews>
  <sheetFormatPr defaultColWidth="10.7109375" defaultRowHeight="15" customHeight="1" x14ac:dyDescent="0.2"/>
  <cols>
    <col min="1" max="1" width="10.7109375" style="43"/>
    <col min="2" max="2" width="5.7109375" style="43" customWidth="1"/>
    <col min="3" max="3" width="39.140625" style="43" bestFit="1" customWidth="1"/>
    <col min="4" max="8" width="15.7109375" style="43" customWidth="1"/>
    <col min="9" max="9" width="10.7109375" style="43"/>
    <col min="10" max="10" width="20.7109375" style="43" bestFit="1" customWidth="1"/>
    <col min="11" max="13" width="10.7109375" style="43"/>
    <col min="14" max="14" width="14.28515625" style="43" customWidth="1"/>
    <col min="15" max="15" width="11.7109375" style="45" bestFit="1" customWidth="1"/>
    <col min="16" max="21" width="10.7109375" style="45"/>
    <col min="22" max="16384" width="10.7109375" style="43"/>
  </cols>
  <sheetData>
    <row r="2" spans="2:22" ht="15" customHeight="1" x14ac:dyDescent="0.2">
      <c r="B2" s="52"/>
      <c r="O2" s="43"/>
      <c r="P2" s="43"/>
      <c r="Q2" s="43"/>
      <c r="R2" s="43"/>
      <c r="S2" s="43"/>
      <c r="T2" s="43"/>
      <c r="U2" s="43"/>
    </row>
    <row r="3" spans="2:22" ht="15" customHeight="1" x14ac:dyDescent="0.35">
      <c r="C3" s="5" t="s">
        <v>20</v>
      </c>
      <c r="I3" s="127"/>
      <c r="O3" s="43"/>
      <c r="P3" s="43"/>
      <c r="Q3" s="43"/>
      <c r="R3" s="43"/>
      <c r="S3" s="43"/>
      <c r="T3" s="43"/>
      <c r="U3" s="43"/>
    </row>
    <row r="4" spans="2:22" ht="15" customHeight="1" x14ac:dyDescent="0.35">
      <c r="C4" s="53" t="s">
        <v>48</v>
      </c>
      <c r="D4" s="115">
        <v>2020</v>
      </c>
      <c r="I4" s="127"/>
      <c r="L4" s="46"/>
      <c r="O4" s="43"/>
      <c r="P4" s="43"/>
      <c r="Q4" s="43"/>
      <c r="R4" s="43"/>
      <c r="S4" s="43"/>
      <c r="T4" s="43"/>
      <c r="U4" s="43"/>
    </row>
    <row r="5" spans="2:22" ht="15" customHeight="1" x14ac:dyDescent="0.2">
      <c r="B5" s="44"/>
      <c r="C5" s="53" t="s">
        <v>21</v>
      </c>
      <c r="D5" s="115">
        <v>2026</v>
      </c>
      <c r="E5" s="44"/>
      <c r="F5" s="44"/>
      <c r="G5" s="44"/>
      <c r="H5" s="44"/>
      <c r="J5" s="52"/>
      <c r="K5" s="44"/>
      <c r="L5" s="44"/>
      <c r="M5" s="44"/>
      <c r="N5" s="44"/>
      <c r="O5" s="44"/>
      <c r="P5" s="44"/>
      <c r="Q5" s="44"/>
      <c r="S5" s="44"/>
    </row>
    <row r="6" spans="2:22" ht="15" customHeight="1" x14ac:dyDescent="0.2">
      <c r="B6" s="44"/>
      <c r="C6" s="53" t="s">
        <v>22</v>
      </c>
      <c r="D6" s="115">
        <v>2</v>
      </c>
      <c r="E6" s="44"/>
      <c r="F6" s="44"/>
      <c r="G6" s="44"/>
      <c r="H6" s="44"/>
      <c r="J6" s="52"/>
      <c r="K6" s="52"/>
      <c r="L6" s="52"/>
      <c r="M6" s="52"/>
      <c r="N6" s="52"/>
      <c r="O6" s="341"/>
      <c r="P6" s="52"/>
      <c r="Q6" s="44"/>
      <c r="S6" s="44"/>
    </row>
    <row r="7" spans="2:22" ht="15" customHeight="1" x14ac:dyDescent="0.2">
      <c r="B7" s="44"/>
      <c r="C7" s="53" t="s">
        <v>39</v>
      </c>
      <c r="D7" s="115">
        <v>20</v>
      </c>
      <c r="E7" s="44"/>
      <c r="F7" s="44"/>
      <c r="G7" s="44"/>
      <c r="H7" s="44"/>
      <c r="J7" s="52"/>
      <c r="K7" s="44"/>
      <c r="L7" s="44"/>
      <c r="M7" s="44"/>
      <c r="N7" s="52"/>
      <c r="O7" s="44"/>
      <c r="P7" s="44"/>
      <c r="Q7" s="44"/>
      <c r="R7" s="44"/>
      <c r="S7" s="44"/>
      <c r="T7" s="44"/>
    </row>
    <row r="8" spans="2:22" ht="15" customHeight="1" x14ac:dyDescent="0.2">
      <c r="B8" s="44"/>
      <c r="C8" s="53" t="s">
        <v>23</v>
      </c>
      <c r="D8" s="115">
        <f>D5+D6</f>
        <v>2028</v>
      </c>
      <c r="E8" s="44"/>
      <c r="F8" s="44"/>
      <c r="G8" s="44"/>
      <c r="H8" s="44"/>
      <c r="J8" s="46"/>
      <c r="K8" s="44"/>
      <c r="O8" s="43"/>
      <c r="P8" s="44"/>
      <c r="Q8" s="44"/>
      <c r="R8" s="44"/>
      <c r="S8" s="44"/>
      <c r="T8" s="44"/>
      <c r="U8" s="43"/>
    </row>
    <row r="9" spans="2:22" ht="15" customHeight="1" x14ac:dyDescent="0.2">
      <c r="C9" s="53" t="s">
        <v>24</v>
      </c>
      <c r="D9" s="115">
        <f>D8+D7-1</f>
        <v>2047</v>
      </c>
      <c r="E9" s="44"/>
      <c r="F9" s="44"/>
      <c r="G9" s="44"/>
      <c r="H9" s="44"/>
      <c r="J9" s="52"/>
      <c r="O9" s="43"/>
      <c r="P9" s="43"/>
      <c r="Q9" s="43"/>
      <c r="R9" s="43"/>
      <c r="S9" s="43"/>
      <c r="T9" s="43"/>
      <c r="U9" s="43"/>
    </row>
    <row r="10" spans="2:22" ht="15" customHeight="1" x14ac:dyDescent="0.2">
      <c r="C10" s="53" t="s">
        <v>42</v>
      </c>
      <c r="D10" s="115">
        <v>2040</v>
      </c>
      <c r="E10" s="44"/>
      <c r="F10" s="44"/>
      <c r="G10" s="44"/>
      <c r="H10" s="44"/>
      <c r="J10" s="46"/>
      <c r="O10" s="43"/>
      <c r="P10" s="43"/>
      <c r="Q10" s="43"/>
      <c r="R10" s="43"/>
      <c r="S10" s="43"/>
      <c r="T10" s="43"/>
      <c r="U10" s="43"/>
    </row>
    <row r="11" spans="2:22" ht="15" customHeight="1" x14ac:dyDescent="0.2">
      <c r="D11" s="54"/>
      <c r="I11" s="44"/>
      <c r="O11" s="43"/>
      <c r="P11" s="43"/>
      <c r="Q11" s="43"/>
      <c r="R11" s="43"/>
      <c r="S11" s="43"/>
      <c r="T11" s="43"/>
      <c r="U11" s="43"/>
    </row>
    <row r="12" spans="2:22" ht="15" customHeight="1" x14ac:dyDescent="0.2">
      <c r="C12" s="5" t="s">
        <v>25</v>
      </c>
      <c r="E12" s="44"/>
      <c r="F12" s="44"/>
      <c r="G12" s="44"/>
      <c r="H12" s="44"/>
      <c r="I12" s="44"/>
      <c r="O12" s="43"/>
      <c r="P12" s="43"/>
      <c r="Q12" s="43"/>
      <c r="R12" s="43"/>
      <c r="S12" s="43"/>
      <c r="T12" s="43"/>
      <c r="U12" s="43"/>
    </row>
    <row r="13" spans="2:22" ht="15" customHeight="1" x14ac:dyDescent="0.2">
      <c r="C13" s="53"/>
      <c r="D13" s="55" t="s">
        <v>17</v>
      </c>
      <c r="E13" s="55" t="s">
        <v>18</v>
      </c>
      <c r="F13" s="44"/>
      <c r="G13" s="44"/>
      <c r="H13" s="44"/>
      <c r="I13" s="44"/>
      <c r="O13" s="43"/>
      <c r="P13" s="43"/>
      <c r="Q13" s="43"/>
      <c r="R13" s="43"/>
      <c r="S13" s="43"/>
      <c r="T13" s="43"/>
      <c r="U13" s="43"/>
    </row>
    <row r="14" spans="2:22" ht="15" customHeight="1" x14ac:dyDescent="0.2">
      <c r="C14" s="53" t="s">
        <v>43</v>
      </c>
      <c r="D14" s="186">
        <f>(21200+27000-1900-2100)/(27000+21200)</f>
        <v>0.91701244813278004</v>
      </c>
      <c r="E14" s="186">
        <f>(21200+27000-1900-2100)/(27000+21200)</f>
        <v>0.91701244813278004</v>
      </c>
      <c r="F14" s="44"/>
      <c r="G14" s="44"/>
      <c r="H14" s="44"/>
      <c r="I14" s="44"/>
      <c r="M14" s="73"/>
      <c r="N14" s="73"/>
      <c r="O14" s="43"/>
      <c r="P14" s="43"/>
      <c r="Q14" s="43"/>
      <c r="R14" s="43"/>
      <c r="S14" s="43"/>
      <c r="T14" s="43"/>
      <c r="U14" s="43"/>
    </row>
    <row r="15" spans="2:22" ht="15" customHeight="1" x14ac:dyDescent="0.2">
      <c r="C15" s="53" t="s">
        <v>44</v>
      </c>
      <c r="D15" s="186">
        <v>0.115</v>
      </c>
      <c r="E15" s="186">
        <v>0.115</v>
      </c>
      <c r="F15" s="44"/>
      <c r="G15" s="44"/>
      <c r="H15" s="44"/>
      <c r="O15" s="43"/>
      <c r="P15" s="43"/>
      <c r="Q15" s="43"/>
      <c r="R15" s="43"/>
      <c r="S15" s="43"/>
      <c r="T15" s="43"/>
      <c r="U15" s="43"/>
    </row>
    <row r="16" spans="2:22" ht="15" customHeight="1" x14ac:dyDescent="0.2">
      <c r="C16" s="53" t="s">
        <v>45</v>
      </c>
      <c r="D16" s="115">
        <v>1.67</v>
      </c>
      <c r="E16" s="115">
        <v>1.67</v>
      </c>
      <c r="F16" s="44"/>
      <c r="G16" s="44"/>
      <c r="H16" s="44"/>
      <c r="O16" s="43"/>
      <c r="P16" s="43"/>
      <c r="Q16" s="43"/>
      <c r="R16" s="43"/>
      <c r="S16" s="43"/>
      <c r="T16" s="43"/>
      <c r="U16" s="43"/>
      <c r="V16" s="44"/>
    </row>
    <row r="17" spans="2:21" ht="15" customHeight="1" x14ac:dyDescent="0.2">
      <c r="C17" s="53" t="s">
        <v>46</v>
      </c>
      <c r="D17" s="116">
        <v>1</v>
      </c>
      <c r="E17" s="116">
        <v>1</v>
      </c>
      <c r="F17" s="44"/>
      <c r="G17" s="44"/>
      <c r="H17" s="44"/>
      <c r="O17" s="43"/>
      <c r="P17" s="43"/>
      <c r="Q17" s="43"/>
      <c r="R17" s="43"/>
      <c r="S17" s="43"/>
      <c r="T17" s="43"/>
      <c r="U17" s="43"/>
    </row>
    <row r="18" spans="2:21" ht="15" customHeight="1" x14ac:dyDescent="0.2">
      <c r="C18" s="44"/>
      <c r="D18" s="44"/>
      <c r="E18" s="44"/>
      <c r="F18" s="44"/>
      <c r="G18" s="44"/>
      <c r="H18" s="44"/>
      <c r="O18" s="43"/>
      <c r="P18" s="43"/>
      <c r="Q18" s="43"/>
      <c r="R18" s="43"/>
      <c r="S18" s="43"/>
      <c r="T18" s="43"/>
      <c r="U18" s="43"/>
    </row>
    <row r="19" spans="2:21" ht="15" customHeight="1" x14ac:dyDescent="0.2">
      <c r="C19" s="5" t="s">
        <v>26</v>
      </c>
      <c r="D19" s="54"/>
      <c r="I19" s="44"/>
      <c r="O19" s="43"/>
      <c r="P19" s="43"/>
      <c r="Q19" s="43"/>
      <c r="R19" s="43"/>
      <c r="S19" s="43"/>
      <c r="T19" s="43"/>
      <c r="U19" s="43"/>
    </row>
    <row r="20" spans="2:21" ht="15" customHeight="1" x14ac:dyDescent="0.2">
      <c r="C20" s="53" t="s">
        <v>323</v>
      </c>
      <c r="D20" s="53">
        <v>365</v>
      </c>
      <c r="I20" s="44"/>
      <c r="O20" s="43"/>
      <c r="P20" s="43"/>
      <c r="Q20" s="43"/>
      <c r="R20" s="43"/>
      <c r="S20" s="43"/>
      <c r="T20" s="43"/>
      <c r="U20" s="43"/>
    </row>
    <row r="21" spans="2:21" ht="15" customHeight="1" x14ac:dyDescent="0.2">
      <c r="C21" s="53" t="s">
        <v>324</v>
      </c>
      <c r="D21" s="128">
        <v>17.8</v>
      </c>
      <c r="O21" s="43"/>
      <c r="P21" s="43"/>
      <c r="Q21" s="43"/>
      <c r="R21" s="43"/>
      <c r="S21" s="43"/>
      <c r="T21" s="43"/>
      <c r="U21" s="43"/>
    </row>
    <row r="22" spans="2:21" ht="15" customHeight="1" x14ac:dyDescent="0.2">
      <c r="C22" s="53" t="s">
        <v>325</v>
      </c>
      <c r="D22" s="128">
        <v>32</v>
      </c>
      <c r="O22" s="43"/>
      <c r="P22" s="43"/>
      <c r="Q22" s="43"/>
      <c r="R22" s="43"/>
      <c r="S22" s="43"/>
      <c r="T22" s="43"/>
      <c r="U22" s="43"/>
    </row>
    <row r="23" spans="2:21" ht="15" customHeight="1" x14ac:dyDescent="0.2">
      <c r="C23" s="53" t="s">
        <v>38</v>
      </c>
      <c r="D23" s="128">
        <f>(D21*D14*D16+D22*D15*D17)</f>
        <v>30.939112033195016</v>
      </c>
      <c r="I23" s="44"/>
      <c r="O23" s="43"/>
      <c r="P23" s="43"/>
      <c r="Q23" s="43"/>
      <c r="R23" s="43"/>
      <c r="S23" s="43"/>
      <c r="T23" s="43"/>
      <c r="U23" s="43"/>
    </row>
    <row r="24" spans="2:21" ht="15" customHeight="1" x14ac:dyDescent="0.2">
      <c r="C24" s="113" t="s">
        <v>57</v>
      </c>
      <c r="D24" s="114">
        <v>0.45</v>
      </c>
      <c r="O24" s="43"/>
      <c r="P24" s="43"/>
      <c r="Q24" s="43"/>
      <c r="R24" s="43"/>
      <c r="S24" s="43"/>
      <c r="T24" s="43"/>
      <c r="U24" s="43"/>
    </row>
    <row r="25" spans="2:21" ht="15" customHeight="1" x14ac:dyDescent="0.2">
      <c r="C25" s="113" t="s">
        <v>58</v>
      </c>
      <c r="D25" s="114">
        <v>0.94</v>
      </c>
      <c r="O25" s="43"/>
      <c r="P25" s="43"/>
      <c r="Q25" s="43"/>
      <c r="R25" s="43"/>
      <c r="S25" s="43"/>
      <c r="T25" s="43"/>
      <c r="U25" s="43"/>
    </row>
    <row r="26" spans="2:21" ht="15" customHeight="1" x14ac:dyDescent="0.2">
      <c r="C26" s="44"/>
      <c r="D26" s="103"/>
      <c r="I26" s="44"/>
      <c r="O26" s="43"/>
      <c r="P26" s="43"/>
      <c r="Q26" s="43"/>
      <c r="R26" s="43"/>
      <c r="S26" s="43"/>
      <c r="T26" s="43"/>
      <c r="U26" s="43"/>
    </row>
    <row r="27" spans="2:21" ht="15" customHeight="1" x14ac:dyDescent="0.2">
      <c r="O27" s="43"/>
      <c r="P27" s="43"/>
      <c r="Q27" s="43"/>
      <c r="R27" s="43"/>
      <c r="S27" s="43"/>
      <c r="T27" s="43"/>
      <c r="U27" s="43"/>
    </row>
    <row r="28" spans="2:21" ht="15" customHeight="1" x14ac:dyDescent="0.2">
      <c r="B28" s="12" t="s">
        <v>3</v>
      </c>
      <c r="C28" s="12"/>
      <c r="D28" s="12"/>
      <c r="O28" s="43"/>
      <c r="P28" s="43"/>
      <c r="Q28" s="43"/>
      <c r="R28" s="43"/>
      <c r="S28" s="43"/>
      <c r="T28" s="43"/>
      <c r="U28" s="43"/>
    </row>
    <row r="29" spans="2:21" ht="15" customHeight="1" x14ac:dyDescent="0.25">
      <c r="B29" s="64" t="s">
        <v>27</v>
      </c>
      <c r="C29" s="464" t="s">
        <v>301</v>
      </c>
      <c r="D29" s="464"/>
      <c r="E29" s="464"/>
      <c r="F29" s="464"/>
      <c r="G29" s="464"/>
      <c r="H29" s="464"/>
      <c r="I29" s="464"/>
      <c r="J29" s="464"/>
      <c r="O29" s="43"/>
      <c r="P29" s="43"/>
      <c r="Q29" s="43"/>
      <c r="R29" s="43"/>
      <c r="S29" s="43"/>
      <c r="T29" s="43"/>
      <c r="U29" s="43"/>
    </row>
    <row r="30" spans="2:21" ht="15" customHeight="1" x14ac:dyDescent="0.25">
      <c r="B30" s="65"/>
      <c r="C30" s="464"/>
      <c r="D30" s="464"/>
      <c r="E30" s="464"/>
      <c r="F30" s="464"/>
      <c r="G30" s="464"/>
      <c r="H30" s="464"/>
      <c r="I30" s="464"/>
      <c r="J30" s="464"/>
      <c r="O30" s="43"/>
      <c r="P30" s="43"/>
      <c r="Q30" s="43"/>
      <c r="R30" s="43"/>
      <c r="S30" s="43"/>
      <c r="T30" s="43"/>
      <c r="U30" s="43"/>
    </row>
    <row r="31" spans="2:21" ht="15" customHeight="1" x14ac:dyDescent="0.25">
      <c r="B31" s="65"/>
      <c r="C31" s="464"/>
      <c r="D31" s="464"/>
      <c r="E31" s="464"/>
      <c r="F31" s="464"/>
      <c r="G31" s="464"/>
      <c r="H31" s="464"/>
      <c r="I31" s="464"/>
      <c r="J31" s="464"/>
      <c r="O31" s="43"/>
      <c r="P31" s="43"/>
      <c r="Q31" s="43"/>
      <c r="R31" s="43"/>
      <c r="S31" s="43"/>
      <c r="T31" s="43"/>
      <c r="U31" s="43"/>
    </row>
    <row r="32" spans="2:21" ht="15" customHeight="1" x14ac:dyDescent="0.25">
      <c r="B32" s="65"/>
      <c r="C32" s="56"/>
      <c r="D32" s="56"/>
      <c r="E32" s="56"/>
      <c r="F32" s="56"/>
      <c r="G32" s="56"/>
      <c r="H32" s="56"/>
      <c r="I32" s="56"/>
      <c r="J32" s="56"/>
      <c r="O32" s="43"/>
      <c r="P32" s="43"/>
      <c r="Q32" s="43"/>
      <c r="R32" s="43"/>
      <c r="S32" s="43"/>
      <c r="T32" s="43"/>
      <c r="U32" s="43"/>
    </row>
    <row r="33" spans="2:21" ht="15" customHeight="1" x14ac:dyDescent="0.25">
      <c r="B33" s="64" t="s">
        <v>34</v>
      </c>
      <c r="C33" s="464" t="s">
        <v>321</v>
      </c>
      <c r="D33" s="464"/>
      <c r="E33" s="464"/>
      <c r="F33" s="464"/>
      <c r="G33" s="464"/>
      <c r="H33" s="464"/>
      <c r="I33" s="464"/>
      <c r="J33" s="464"/>
      <c r="O33" s="43"/>
      <c r="P33" s="43"/>
      <c r="Q33" s="43"/>
      <c r="R33" s="43"/>
      <c r="S33" s="43"/>
      <c r="T33" s="43"/>
      <c r="U33" s="43"/>
    </row>
    <row r="34" spans="2:21" ht="15" customHeight="1" x14ac:dyDescent="0.2">
      <c r="C34" s="464"/>
      <c r="D34" s="464"/>
      <c r="E34" s="464"/>
      <c r="F34" s="464"/>
      <c r="G34" s="464"/>
      <c r="H34" s="464"/>
      <c r="I34" s="464"/>
      <c r="J34" s="464"/>
      <c r="O34" s="43"/>
      <c r="P34" s="43"/>
      <c r="Q34" s="43"/>
      <c r="R34" s="43"/>
      <c r="S34" s="43"/>
      <c r="T34" s="43"/>
      <c r="U34" s="43"/>
    </row>
    <row r="35" spans="2:21" ht="15" customHeight="1" x14ac:dyDescent="0.2">
      <c r="C35" s="401"/>
      <c r="D35" s="401"/>
      <c r="E35" s="401"/>
      <c r="F35" s="401"/>
      <c r="G35" s="401"/>
      <c r="H35" s="401"/>
      <c r="I35" s="401"/>
      <c r="J35" s="401"/>
      <c r="O35" s="43"/>
      <c r="P35" s="43"/>
      <c r="Q35" s="43"/>
      <c r="R35" s="43"/>
      <c r="S35" s="43"/>
      <c r="T35" s="43"/>
      <c r="U35" s="43"/>
    </row>
    <row r="36" spans="2:21" ht="15" customHeight="1" x14ac:dyDescent="0.25">
      <c r="B36" s="64" t="s">
        <v>35</v>
      </c>
      <c r="C36" s="464" t="s">
        <v>305</v>
      </c>
      <c r="D36" s="464"/>
      <c r="E36" s="464"/>
      <c r="F36" s="464"/>
      <c r="G36" s="464"/>
      <c r="H36" s="464"/>
      <c r="I36" s="464"/>
      <c r="J36" s="464"/>
      <c r="O36" s="43"/>
      <c r="P36" s="43"/>
      <c r="Q36" s="43"/>
      <c r="R36" s="43"/>
      <c r="S36" s="43"/>
      <c r="T36" s="43"/>
      <c r="U36" s="43"/>
    </row>
    <row r="37" spans="2:21" ht="15" customHeight="1" x14ac:dyDescent="0.25">
      <c r="B37" s="64"/>
      <c r="C37" s="464"/>
      <c r="D37" s="464"/>
      <c r="E37" s="464"/>
      <c r="F37" s="464"/>
      <c r="G37" s="464"/>
      <c r="H37" s="464"/>
      <c r="I37" s="464"/>
      <c r="J37" s="464"/>
      <c r="O37" s="43"/>
      <c r="P37" s="43"/>
      <c r="Q37" s="43"/>
      <c r="R37" s="43"/>
      <c r="S37" s="43"/>
      <c r="T37" s="43"/>
      <c r="U37" s="43"/>
    </row>
    <row r="38" spans="2:21" ht="15" customHeight="1" x14ac:dyDescent="0.25">
      <c r="B38" s="64"/>
      <c r="C38" s="91"/>
      <c r="D38" s="91"/>
      <c r="E38" s="91"/>
      <c r="F38" s="91"/>
      <c r="G38" s="91"/>
      <c r="H38" s="91"/>
      <c r="I38" s="91"/>
      <c r="J38" s="91"/>
      <c r="O38" s="43"/>
      <c r="P38" s="43"/>
      <c r="Q38" s="43"/>
      <c r="R38" s="43"/>
      <c r="S38" s="43"/>
      <c r="T38" s="43"/>
      <c r="U38" s="43"/>
    </row>
    <row r="39" spans="2:21" ht="15" customHeight="1" x14ac:dyDescent="0.25">
      <c r="B39" s="64" t="s">
        <v>36</v>
      </c>
      <c r="C39" s="464" t="s">
        <v>302</v>
      </c>
      <c r="D39" s="464"/>
      <c r="E39" s="464"/>
      <c r="F39" s="464"/>
      <c r="G39" s="464"/>
      <c r="H39" s="464"/>
      <c r="I39" s="464"/>
      <c r="J39" s="464"/>
      <c r="O39" s="43"/>
      <c r="P39" s="43"/>
      <c r="Q39" s="43"/>
      <c r="R39" s="43"/>
      <c r="S39" s="43"/>
      <c r="T39" s="43"/>
      <c r="U39" s="43"/>
    </row>
    <row r="40" spans="2:21" ht="15" customHeight="1" x14ac:dyDescent="0.2">
      <c r="C40" s="464"/>
      <c r="D40" s="464"/>
      <c r="E40" s="464"/>
      <c r="F40" s="464"/>
      <c r="G40" s="464"/>
      <c r="H40" s="464"/>
      <c r="I40" s="464"/>
      <c r="J40" s="464"/>
      <c r="O40" s="43"/>
      <c r="P40" s="43"/>
      <c r="Q40" s="43"/>
      <c r="R40" s="43"/>
      <c r="S40" s="43"/>
      <c r="T40" s="43"/>
      <c r="U40" s="43"/>
    </row>
    <row r="41" spans="2:21" ht="15" customHeight="1" x14ac:dyDescent="0.25">
      <c r="B41" s="66" t="s">
        <v>37</v>
      </c>
      <c r="C41" s="464" t="s">
        <v>72</v>
      </c>
      <c r="D41" s="464"/>
      <c r="E41" s="464"/>
      <c r="F41" s="464"/>
      <c r="G41" s="464"/>
      <c r="H41" s="464"/>
      <c r="I41" s="464"/>
      <c r="J41" s="464"/>
      <c r="O41" s="43"/>
      <c r="P41" s="43"/>
      <c r="Q41" s="43"/>
      <c r="R41" s="43"/>
      <c r="S41" s="43"/>
      <c r="T41" s="43"/>
      <c r="U41" s="43"/>
    </row>
    <row r="42" spans="2:21" ht="15" customHeight="1" x14ac:dyDescent="0.2">
      <c r="C42" s="464"/>
      <c r="D42" s="464"/>
      <c r="E42" s="464"/>
      <c r="F42" s="464"/>
      <c r="G42" s="464"/>
      <c r="H42" s="464"/>
      <c r="I42" s="464"/>
      <c r="J42" s="464"/>
    </row>
    <row r="43" spans="2:21" ht="15" customHeight="1" x14ac:dyDescent="0.2">
      <c r="D43" s="402"/>
      <c r="E43" s="402"/>
      <c r="F43" s="402"/>
      <c r="G43" s="402"/>
      <c r="H43" s="402"/>
      <c r="I43" s="402"/>
      <c r="J43" s="402"/>
      <c r="O43" s="43"/>
      <c r="P43" s="43"/>
      <c r="Q43" s="43"/>
      <c r="R43" s="43"/>
      <c r="S43" s="43"/>
      <c r="T43" s="43"/>
      <c r="U43" s="43"/>
    </row>
    <row r="44" spans="2:21" ht="15" customHeight="1" x14ac:dyDescent="0.25">
      <c r="B44" s="66" t="s">
        <v>322</v>
      </c>
      <c r="C44" s="464" t="s">
        <v>303</v>
      </c>
      <c r="D44" s="464"/>
      <c r="E44" s="464"/>
      <c r="F44" s="464"/>
      <c r="G44" s="464"/>
      <c r="H44" s="464"/>
      <c r="I44" s="464"/>
      <c r="J44" s="464"/>
      <c r="O44" s="43"/>
      <c r="P44" s="43"/>
      <c r="Q44" s="43"/>
      <c r="R44" s="43"/>
      <c r="S44" s="43"/>
      <c r="T44" s="43"/>
      <c r="U44" s="43"/>
    </row>
    <row r="45" spans="2:21" ht="15" customHeight="1" x14ac:dyDescent="0.25">
      <c r="B45" s="66"/>
      <c r="C45" s="464"/>
      <c r="D45" s="464"/>
      <c r="E45" s="464"/>
      <c r="F45" s="464"/>
      <c r="G45" s="464"/>
      <c r="H45" s="464"/>
      <c r="I45" s="464"/>
      <c r="J45" s="464"/>
      <c r="O45" s="43"/>
      <c r="P45" s="43"/>
      <c r="Q45" s="43"/>
      <c r="R45" s="43"/>
      <c r="S45" s="43"/>
      <c r="T45" s="43"/>
      <c r="U45" s="43"/>
    </row>
    <row r="46" spans="2:21" ht="15" customHeight="1" x14ac:dyDescent="0.25">
      <c r="B46" s="66"/>
      <c r="C46" s="68"/>
      <c r="D46" s="68"/>
      <c r="E46" s="68"/>
      <c r="F46" s="68"/>
      <c r="G46" s="68"/>
      <c r="H46" s="68"/>
      <c r="I46" s="68"/>
      <c r="J46" s="68"/>
      <c r="O46" s="43"/>
      <c r="P46" s="43"/>
      <c r="Q46" s="43"/>
      <c r="R46" s="43"/>
      <c r="S46" s="43"/>
      <c r="T46" s="43"/>
      <c r="U46" s="43"/>
    </row>
    <row r="47" spans="2:21" ht="15" customHeight="1" x14ac:dyDescent="0.25">
      <c r="B47" s="66"/>
      <c r="C47" s="68"/>
      <c r="D47" s="68"/>
      <c r="E47" s="68"/>
      <c r="F47" s="68"/>
      <c r="G47" s="68"/>
      <c r="H47" s="68"/>
      <c r="I47" s="68"/>
      <c r="J47" s="68"/>
      <c r="O47" s="43"/>
      <c r="P47" s="43"/>
      <c r="Q47" s="43"/>
      <c r="R47" s="43"/>
      <c r="S47" s="43"/>
      <c r="T47" s="43"/>
      <c r="U47" s="43"/>
    </row>
    <row r="48" spans="2:21" ht="15" customHeight="1" x14ac:dyDescent="0.2">
      <c r="B48" s="67"/>
      <c r="C48" s="68"/>
      <c r="D48" s="68"/>
      <c r="E48" s="68"/>
      <c r="F48" s="68"/>
      <c r="G48" s="68"/>
      <c r="H48" s="68"/>
      <c r="I48" s="68"/>
      <c r="J48" s="68"/>
      <c r="K48" s="69"/>
      <c r="L48" s="42"/>
      <c r="M48" s="42"/>
      <c r="O48" s="43"/>
      <c r="P48" s="43"/>
      <c r="Q48" s="43"/>
      <c r="R48" s="43"/>
      <c r="S48" s="43"/>
      <c r="T48" s="43"/>
      <c r="U48" s="43"/>
    </row>
    <row r="49" spans="2:22" ht="15" customHeight="1" x14ac:dyDescent="0.2">
      <c r="C49" s="68"/>
      <c r="D49" s="68"/>
      <c r="E49" s="68"/>
      <c r="F49" s="68"/>
      <c r="G49" s="68"/>
      <c r="H49" s="68"/>
      <c r="I49" s="68"/>
      <c r="J49" s="68"/>
      <c r="K49" s="69"/>
      <c r="L49" s="42"/>
      <c r="M49" s="42"/>
      <c r="O49" s="43"/>
      <c r="P49" s="43"/>
      <c r="Q49" s="43"/>
      <c r="R49" s="43"/>
      <c r="S49" s="43"/>
      <c r="T49" s="43"/>
      <c r="U49" s="43"/>
    </row>
    <row r="50" spans="2:22" ht="15" customHeight="1" x14ac:dyDescent="0.2">
      <c r="B50" s="67"/>
      <c r="K50" s="42"/>
      <c r="O50" s="43"/>
      <c r="P50" s="43"/>
      <c r="Q50" s="43"/>
      <c r="R50" s="43"/>
      <c r="S50" s="43"/>
      <c r="T50" s="43"/>
      <c r="U50" s="43"/>
    </row>
    <row r="51" spans="2:22" ht="15" customHeight="1" x14ac:dyDescent="0.2">
      <c r="B51" s="67"/>
      <c r="K51" s="42"/>
      <c r="O51" s="43"/>
      <c r="P51" s="43"/>
      <c r="Q51" s="43"/>
      <c r="R51" s="43"/>
      <c r="S51" s="43"/>
      <c r="T51" s="43"/>
      <c r="U51" s="43"/>
    </row>
    <row r="52" spans="2:22" ht="15" customHeight="1" x14ac:dyDescent="0.2">
      <c r="B52" s="67"/>
      <c r="C52" s="342"/>
      <c r="D52" s="342"/>
      <c r="E52" s="342"/>
      <c r="F52" s="342"/>
      <c r="G52" s="342"/>
      <c r="H52" s="342"/>
      <c r="I52" s="342"/>
      <c r="J52" s="342"/>
      <c r="K52" s="42"/>
      <c r="O52" s="43"/>
      <c r="P52" s="43"/>
      <c r="Q52" s="43"/>
      <c r="R52" s="43"/>
      <c r="S52" s="43"/>
      <c r="T52" s="43"/>
      <c r="U52" s="43"/>
    </row>
    <row r="53" spans="2:22" ht="15" customHeight="1" x14ac:dyDescent="0.2">
      <c r="B53" s="67"/>
      <c r="C53" s="342"/>
      <c r="D53" s="342"/>
      <c r="E53" s="342"/>
      <c r="F53" s="342"/>
      <c r="G53" s="342"/>
      <c r="H53" s="342"/>
      <c r="I53" s="342"/>
      <c r="J53" s="342"/>
      <c r="K53" s="42"/>
      <c r="O53" s="43"/>
      <c r="P53" s="43"/>
      <c r="Q53" s="43"/>
      <c r="R53" s="43"/>
      <c r="S53" s="43"/>
      <c r="T53" s="43"/>
      <c r="U53" s="43"/>
    </row>
    <row r="54" spans="2:22" ht="15" customHeight="1" x14ac:dyDescent="0.2">
      <c r="B54" s="67"/>
      <c r="C54" s="342"/>
      <c r="D54" s="342"/>
      <c r="E54" s="342"/>
      <c r="F54" s="342"/>
      <c r="G54" s="342"/>
      <c r="H54" s="342"/>
      <c r="I54" s="342"/>
      <c r="J54" s="342"/>
      <c r="O54" s="43"/>
      <c r="P54" s="43"/>
      <c r="Q54" s="43"/>
      <c r="R54" s="43"/>
      <c r="S54" s="42"/>
      <c r="T54" s="42"/>
      <c r="U54" s="42"/>
      <c r="V54" s="42"/>
    </row>
    <row r="55" spans="2:22" ht="15" customHeight="1" x14ac:dyDescent="0.2">
      <c r="B55" s="67"/>
      <c r="C55" s="342"/>
      <c r="D55" s="342"/>
      <c r="E55" s="342"/>
      <c r="F55" s="342"/>
      <c r="G55" s="342"/>
      <c r="H55" s="342"/>
      <c r="I55" s="342"/>
      <c r="J55" s="342"/>
      <c r="N55" s="42"/>
      <c r="O55" s="42"/>
      <c r="P55" s="42"/>
      <c r="Q55" s="42"/>
      <c r="R55" s="42"/>
      <c r="S55" s="43"/>
      <c r="T55" s="43"/>
      <c r="U55" s="43"/>
    </row>
    <row r="56" spans="2:22" ht="15" customHeight="1" x14ac:dyDescent="0.2">
      <c r="B56" s="67"/>
      <c r="C56" s="342"/>
      <c r="D56" s="342"/>
      <c r="E56" s="342"/>
      <c r="F56" s="342"/>
      <c r="G56" s="342"/>
      <c r="H56" s="342"/>
      <c r="I56" s="342"/>
      <c r="J56" s="342"/>
      <c r="O56" s="43"/>
      <c r="P56" s="43"/>
      <c r="Q56" s="43"/>
      <c r="R56" s="43"/>
      <c r="S56" s="43"/>
      <c r="T56" s="43"/>
      <c r="U56" s="43"/>
    </row>
    <row r="57" spans="2:22" ht="15" customHeight="1" x14ac:dyDescent="0.2">
      <c r="B57" s="67"/>
      <c r="C57" s="342"/>
      <c r="D57" s="342"/>
      <c r="E57" s="342"/>
      <c r="F57" s="342"/>
      <c r="G57" s="342"/>
      <c r="H57" s="342"/>
      <c r="I57" s="342"/>
      <c r="J57" s="342"/>
      <c r="K57" s="42"/>
      <c r="O57" s="42"/>
      <c r="R57" s="43"/>
      <c r="S57" s="43"/>
      <c r="T57" s="43"/>
      <c r="U57" s="43"/>
    </row>
    <row r="58" spans="2:22" ht="15" customHeight="1" x14ac:dyDescent="0.2">
      <c r="B58" s="42"/>
      <c r="C58" s="342"/>
      <c r="D58" s="342"/>
      <c r="E58" s="342"/>
      <c r="F58" s="342"/>
      <c r="G58" s="342"/>
      <c r="H58" s="342"/>
      <c r="I58" s="342"/>
      <c r="J58" s="342"/>
      <c r="O58" s="42"/>
      <c r="P58" s="43"/>
      <c r="Q58" s="43"/>
      <c r="R58" s="43"/>
      <c r="S58" s="42"/>
      <c r="T58" s="42"/>
      <c r="U58" s="42"/>
    </row>
    <row r="59" spans="2:22" ht="15" customHeight="1" x14ac:dyDescent="0.2">
      <c r="B59" s="42"/>
      <c r="C59" s="342"/>
      <c r="D59" s="342"/>
      <c r="E59" s="342"/>
      <c r="F59" s="342"/>
      <c r="G59" s="342"/>
      <c r="H59" s="342"/>
      <c r="I59" s="342"/>
      <c r="J59" s="342"/>
      <c r="N59" s="42"/>
      <c r="O59" s="42"/>
      <c r="P59" s="42"/>
      <c r="Q59" s="42"/>
      <c r="R59" s="42"/>
      <c r="S59" s="43"/>
      <c r="T59" s="43"/>
      <c r="U59" s="43"/>
    </row>
    <row r="60" spans="2:22" ht="15" customHeight="1" x14ac:dyDescent="0.2">
      <c r="B60" s="42"/>
      <c r="C60" s="342"/>
      <c r="D60" s="342"/>
      <c r="E60" s="342"/>
      <c r="F60" s="342"/>
      <c r="G60" s="342"/>
      <c r="H60" s="342"/>
      <c r="I60" s="342"/>
      <c r="J60" s="342"/>
      <c r="O60" s="42"/>
      <c r="P60" s="43"/>
      <c r="Q60" s="43"/>
      <c r="R60" s="43"/>
      <c r="S60" s="43"/>
      <c r="T60" s="43"/>
      <c r="U60" s="43"/>
    </row>
    <row r="61" spans="2:22" ht="15" customHeight="1" x14ac:dyDescent="0.2">
      <c r="B61" s="70"/>
      <c r="C61" s="342"/>
      <c r="D61" s="342"/>
      <c r="E61" s="342"/>
      <c r="F61" s="342"/>
      <c r="G61" s="342"/>
      <c r="H61" s="342"/>
      <c r="I61" s="342"/>
      <c r="J61" s="342"/>
      <c r="O61" s="43"/>
      <c r="P61" s="43"/>
      <c r="Q61" s="43"/>
      <c r="R61" s="43"/>
      <c r="S61" s="43"/>
      <c r="T61" s="43"/>
      <c r="U61" s="43"/>
    </row>
    <row r="62" spans="2:22" ht="15" customHeight="1" x14ac:dyDescent="0.2">
      <c r="B62" s="42"/>
      <c r="O62" s="43"/>
      <c r="P62" s="43"/>
      <c r="Q62" s="43"/>
      <c r="R62" s="43"/>
      <c r="S62" s="43"/>
      <c r="T62" s="43"/>
      <c r="U62" s="43"/>
    </row>
    <row r="63" spans="2:22" ht="15" customHeight="1" x14ac:dyDescent="0.2">
      <c r="B63" s="42"/>
      <c r="E63" s="45"/>
      <c r="F63" s="45"/>
      <c r="G63" s="45"/>
      <c r="H63" s="45"/>
      <c r="I63" s="45"/>
      <c r="J63" s="45"/>
      <c r="O63" s="43"/>
      <c r="P63" s="43"/>
      <c r="Q63" s="43"/>
      <c r="R63" s="43"/>
      <c r="S63" s="43"/>
      <c r="T63" s="43"/>
      <c r="U63" s="43"/>
    </row>
    <row r="64" spans="2:22" ht="15" customHeight="1" x14ac:dyDescent="0.2">
      <c r="B64" s="42"/>
      <c r="E64" s="45"/>
      <c r="F64" s="45"/>
      <c r="G64" s="45"/>
      <c r="H64" s="45"/>
      <c r="I64" s="45"/>
      <c r="J64" s="45"/>
      <c r="O64" s="43"/>
      <c r="P64" s="43"/>
      <c r="Q64" s="43"/>
      <c r="R64" s="43"/>
      <c r="S64" s="43"/>
      <c r="T64" s="43"/>
      <c r="U64" s="43"/>
    </row>
    <row r="65" spans="2:21" ht="15" customHeight="1" x14ac:dyDescent="0.2">
      <c r="B65" s="42"/>
      <c r="O65" s="43"/>
      <c r="P65" s="43"/>
      <c r="Q65" s="43"/>
      <c r="R65" s="43"/>
      <c r="S65" s="43"/>
      <c r="T65" s="43"/>
      <c r="U65" s="43"/>
    </row>
    <row r="66" spans="2:21" ht="15" customHeight="1" x14ac:dyDescent="0.2">
      <c r="O66" s="43"/>
      <c r="P66" s="43"/>
      <c r="Q66" s="43"/>
      <c r="R66" s="43"/>
      <c r="S66" s="43"/>
      <c r="T66" s="43"/>
      <c r="U66" s="43"/>
    </row>
    <row r="67" spans="2:21" ht="15" customHeight="1" x14ac:dyDescent="0.2">
      <c r="O67" s="43"/>
      <c r="P67" s="43"/>
      <c r="Q67" s="43"/>
      <c r="R67" s="43"/>
      <c r="S67" s="43"/>
      <c r="T67" s="43"/>
      <c r="U67" s="43"/>
    </row>
    <row r="68" spans="2:21" ht="15" customHeight="1" x14ac:dyDescent="0.2">
      <c r="O68" s="43"/>
      <c r="P68" s="43"/>
      <c r="Q68" s="43"/>
      <c r="R68" s="43"/>
      <c r="S68" s="43"/>
      <c r="T68" s="43"/>
      <c r="U68" s="43"/>
    </row>
    <row r="69" spans="2:21" ht="15" customHeight="1" x14ac:dyDescent="0.2">
      <c r="O69" s="43"/>
      <c r="P69" s="43"/>
      <c r="Q69" s="43"/>
      <c r="R69" s="43"/>
      <c r="S69" s="43"/>
      <c r="T69" s="43"/>
      <c r="U69" s="43"/>
    </row>
    <row r="70" spans="2:21" ht="15" customHeight="1" x14ac:dyDescent="0.2">
      <c r="O70" s="43"/>
      <c r="P70" s="43"/>
      <c r="Q70" s="43"/>
      <c r="R70" s="43"/>
      <c r="S70" s="43"/>
      <c r="T70" s="43"/>
      <c r="U70" s="43"/>
    </row>
    <row r="71" spans="2:21" ht="15" customHeight="1" x14ac:dyDescent="0.2">
      <c r="O71" s="43"/>
      <c r="P71" s="43"/>
      <c r="Q71" s="43"/>
      <c r="R71" s="43"/>
      <c r="S71" s="43"/>
      <c r="T71" s="43"/>
      <c r="U71" s="43"/>
    </row>
    <row r="72" spans="2:21" ht="15" customHeight="1" x14ac:dyDescent="0.2">
      <c r="L72" s="46"/>
      <c r="O72" s="43"/>
      <c r="P72" s="43"/>
      <c r="Q72" s="43"/>
      <c r="R72" s="43"/>
      <c r="S72" s="43"/>
      <c r="T72" s="43"/>
      <c r="U72" s="43"/>
    </row>
    <row r="73" spans="2:21" ht="15" customHeight="1" x14ac:dyDescent="0.2">
      <c r="O73" s="43"/>
      <c r="P73" s="43"/>
      <c r="Q73" s="43"/>
      <c r="R73" s="43"/>
      <c r="S73" s="43"/>
      <c r="T73" s="43"/>
      <c r="U73" s="43"/>
    </row>
    <row r="74" spans="2:21" ht="15" customHeight="1" x14ac:dyDescent="0.2">
      <c r="L74" s="46"/>
      <c r="O74" s="43"/>
      <c r="P74" s="43"/>
      <c r="Q74" s="43"/>
      <c r="R74" s="43"/>
      <c r="S74" s="43"/>
      <c r="T74" s="43"/>
      <c r="U74" s="43"/>
    </row>
    <row r="75" spans="2:21" ht="15" customHeight="1" x14ac:dyDescent="0.2">
      <c r="L75" s="46"/>
      <c r="O75" s="43"/>
      <c r="P75" s="43"/>
      <c r="Q75" s="43"/>
      <c r="R75" s="43"/>
      <c r="S75" s="43"/>
      <c r="T75" s="43"/>
      <c r="U75" s="43"/>
    </row>
    <row r="76" spans="2:21" ht="15" customHeight="1" x14ac:dyDescent="0.2">
      <c r="K76" s="45"/>
      <c r="O76" s="43"/>
      <c r="P76" s="43"/>
      <c r="Q76" s="43"/>
      <c r="R76" s="43"/>
      <c r="S76" s="43"/>
      <c r="T76" s="43"/>
      <c r="U76" s="43"/>
    </row>
    <row r="77" spans="2:21" ht="15" customHeight="1" x14ac:dyDescent="0.2">
      <c r="K77" s="45"/>
      <c r="O77" s="43"/>
      <c r="P77" s="43"/>
      <c r="Q77" s="43"/>
      <c r="R77" s="43"/>
      <c r="S77" s="43"/>
      <c r="T77" s="43"/>
      <c r="U77" s="43"/>
    </row>
    <row r="78" spans="2:21" ht="15" customHeight="1" x14ac:dyDescent="0.2">
      <c r="O78" s="43"/>
      <c r="P78" s="43"/>
      <c r="Q78" s="43"/>
      <c r="R78" s="43"/>
      <c r="S78" s="43"/>
      <c r="T78" s="43"/>
      <c r="U78" s="43"/>
    </row>
    <row r="79" spans="2:21" ht="15" customHeight="1" x14ac:dyDescent="0.2">
      <c r="O79" s="43"/>
      <c r="P79" s="43"/>
      <c r="Q79" s="43"/>
      <c r="R79" s="43"/>
      <c r="S79" s="43"/>
      <c r="T79" s="43"/>
      <c r="U79" s="43"/>
    </row>
    <row r="80" spans="2:21" ht="15" customHeight="1" x14ac:dyDescent="0.2">
      <c r="O80" s="43"/>
      <c r="P80" s="43"/>
      <c r="Q80" s="43"/>
      <c r="R80" s="43"/>
      <c r="S80" s="43"/>
      <c r="T80" s="43"/>
      <c r="U80" s="43"/>
    </row>
    <row r="81" spans="15:21" ht="15" customHeight="1" x14ac:dyDescent="0.2">
      <c r="O81" s="43"/>
      <c r="P81" s="43"/>
      <c r="Q81" s="43"/>
      <c r="R81" s="43"/>
      <c r="S81" s="43"/>
      <c r="T81" s="43"/>
      <c r="U81" s="43"/>
    </row>
    <row r="82" spans="15:21" ht="15" customHeight="1" x14ac:dyDescent="0.2">
      <c r="O82" s="43"/>
      <c r="P82" s="43"/>
      <c r="Q82" s="43"/>
      <c r="R82" s="43"/>
      <c r="S82" s="43"/>
      <c r="T82" s="43"/>
      <c r="U82" s="43"/>
    </row>
    <row r="83" spans="15:21" ht="15" customHeight="1" x14ac:dyDescent="0.2">
      <c r="O83" s="43"/>
      <c r="P83" s="43"/>
      <c r="Q83" s="43"/>
      <c r="R83" s="43"/>
      <c r="S83" s="43"/>
      <c r="T83" s="43"/>
      <c r="U83" s="43"/>
    </row>
    <row r="84" spans="15:21" ht="15" customHeight="1" x14ac:dyDescent="0.2">
      <c r="O84" s="43"/>
      <c r="P84" s="42"/>
      <c r="Q84" s="43"/>
      <c r="R84" s="43"/>
      <c r="U84" s="43"/>
    </row>
    <row r="85" spans="15:21" ht="15" customHeight="1" x14ac:dyDescent="0.2">
      <c r="O85" s="43"/>
      <c r="P85" s="43"/>
      <c r="Q85" s="43"/>
      <c r="S85" s="43"/>
      <c r="T85" s="43"/>
      <c r="U85" s="43"/>
    </row>
    <row r="86" spans="15:21" ht="15" customHeight="1" x14ac:dyDescent="0.2">
      <c r="O86" s="42"/>
      <c r="P86" s="43"/>
      <c r="Q86" s="42"/>
      <c r="R86" s="43"/>
      <c r="S86" s="43"/>
      <c r="T86" s="43"/>
      <c r="U86" s="46"/>
    </row>
    <row r="87" spans="15:21" ht="15" customHeight="1" x14ac:dyDescent="0.2">
      <c r="O87" s="42"/>
      <c r="P87" s="42"/>
      <c r="Q87" s="43"/>
      <c r="R87" s="43"/>
      <c r="U87" s="46"/>
    </row>
    <row r="88" spans="15:21" ht="15" customHeight="1" x14ac:dyDescent="0.2">
      <c r="Q88" s="43"/>
      <c r="S88" s="43"/>
      <c r="T88" s="43"/>
    </row>
    <row r="89" spans="15:21" ht="15" customHeight="1" x14ac:dyDescent="0.2">
      <c r="Q89" s="42"/>
      <c r="R89" s="43"/>
    </row>
    <row r="93" spans="15:21" ht="15" customHeight="1" x14ac:dyDescent="0.2">
      <c r="O93" s="43"/>
      <c r="P93" s="43"/>
      <c r="U93" s="43"/>
    </row>
    <row r="94" spans="15:21" ht="15" customHeight="1" x14ac:dyDescent="0.2">
      <c r="O94" s="42"/>
      <c r="P94" s="43"/>
      <c r="S94" s="43"/>
      <c r="T94" s="43"/>
      <c r="U94" s="43"/>
    </row>
    <row r="95" spans="15:21" ht="15" customHeight="1" x14ac:dyDescent="0.2">
      <c r="O95" s="42"/>
      <c r="P95" s="42"/>
      <c r="Q95" s="43"/>
      <c r="R95" s="43"/>
      <c r="S95" s="43"/>
      <c r="T95" s="43"/>
      <c r="U95" s="43"/>
    </row>
    <row r="96" spans="15:21" ht="15" customHeight="1" x14ac:dyDescent="0.2">
      <c r="O96" s="42"/>
      <c r="P96" s="42"/>
      <c r="Q96" s="43"/>
      <c r="R96" s="43"/>
      <c r="S96" s="43"/>
      <c r="T96" s="43"/>
      <c r="U96" s="43"/>
    </row>
    <row r="97" spans="15:21" ht="15" customHeight="1" x14ac:dyDescent="0.2">
      <c r="O97" s="42"/>
      <c r="P97" s="43"/>
      <c r="Q97" s="42"/>
      <c r="R97" s="43"/>
      <c r="S97" s="43"/>
      <c r="T97" s="43"/>
      <c r="U97" s="43"/>
    </row>
    <row r="98" spans="15:21" ht="15" customHeight="1" x14ac:dyDescent="0.2">
      <c r="O98" s="42"/>
      <c r="P98" s="43"/>
      <c r="Q98" s="42"/>
      <c r="R98" s="43"/>
      <c r="S98" s="43"/>
      <c r="T98" s="43"/>
      <c r="U98" s="43"/>
    </row>
    <row r="99" spans="15:21" ht="15" customHeight="1" x14ac:dyDescent="0.2">
      <c r="Q99" s="43"/>
      <c r="R99" s="43"/>
      <c r="S99" s="43"/>
      <c r="T99" s="43"/>
      <c r="U99" s="43"/>
    </row>
    <row r="100" spans="15:21" ht="15" customHeight="1" x14ac:dyDescent="0.2">
      <c r="Q100" s="43"/>
      <c r="R100" s="43"/>
      <c r="U100" s="43"/>
    </row>
    <row r="101" spans="15:21" ht="15" customHeight="1" x14ac:dyDescent="0.2">
      <c r="S101" s="43"/>
      <c r="T101" s="43"/>
      <c r="U101" s="43"/>
    </row>
    <row r="102" spans="15:21" ht="15" customHeight="1" x14ac:dyDescent="0.2">
      <c r="O102" s="43"/>
      <c r="P102" s="43"/>
      <c r="R102" s="43"/>
      <c r="S102" s="43"/>
      <c r="T102" s="43"/>
      <c r="U102" s="43"/>
    </row>
    <row r="103" spans="15:21" ht="15" customHeight="1" x14ac:dyDescent="0.2">
      <c r="O103" s="43"/>
      <c r="P103" s="43"/>
      <c r="R103" s="43"/>
      <c r="S103" s="43"/>
      <c r="T103" s="43"/>
      <c r="U103" s="43"/>
    </row>
    <row r="104" spans="15:21" ht="15" customHeight="1" x14ac:dyDescent="0.2">
      <c r="O104" s="43"/>
      <c r="P104" s="43"/>
      <c r="Q104" s="43"/>
      <c r="R104" s="43"/>
      <c r="S104" s="43"/>
      <c r="T104" s="43"/>
      <c r="U104" s="43"/>
    </row>
    <row r="105" spans="15:21" ht="15" customHeight="1" x14ac:dyDescent="0.2">
      <c r="O105" s="42"/>
      <c r="Q105" s="43"/>
      <c r="R105" s="43"/>
      <c r="S105" s="43"/>
      <c r="T105" s="43"/>
      <c r="U105" s="43"/>
    </row>
    <row r="106" spans="15:21" ht="15" customHeight="1" x14ac:dyDescent="0.2">
      <c r="O106" s="42"/>
      <c r="Q106" s="43"/>
      <c r="R106" s="43"/>
      <c r="U106" s="43"/>
    </row>
    <row r="107" spans="15:21" ht="15" customHeight="1" x14ac:dyDescent="0.2">
      <c r="U107" s="43"/>
    </row>
    <row r="108" spans="15:21" ht="15" customHeight="1" x14ac:dyDescent="0.2">
      <c r="O108" s="43"/>
      <c r="P108" s="43"/>
      <c r="U108" s="43"/>
    </row>
    <row r="109" spans="15:21" ht="15" customHeight="1" x14ac:dyDescent="0.2">
      <c r="O109" s="43"/>
      <c r="P109" s="43"/>
      <c r="S109" s="43"/>
      <c r="T109" s="43"/>
      <c r="U109" s="43"/>
    </row>
    <row r="110" spans="15:21" ht="15" customHeight="1" x14ac:dyDescent="0.2">
      <c r="O110" s="43"/>
      <c r="P110" s="43"/>
      <c r="Q110" s="43"/>
      <c r="R110" s="43"/>
      <c r="S110" s="43"/>
      <c r="T110" s="43"/>
      <c r="U110" s="43"/>
    </row>
    <row r="111" spans="15:21" ht="15" customHeight="1" x14ac:dyDescent="0.2">
      <c r="O111" s="43"/>
      <c r="P111" s="43"/>
      <c r="Q111" s="43"/>
      <c r="R111" s="43"/>
      <c r="S111" s="43"/>
      <c r="T111" s="43"/>
      <c r="U111" s="43"/>
    </row>
    <row r="112" spans="15:21" ht="15" customHeight="1" x14ac:dyDescent="0.2">
      <c r="O112" s="43"/>
      <c r="P112" s="43"/>
      <c r="Q112" s="43"/>
      <c r="R112" s="43"/>
      <c r="S112" s="43"/>
      <c r="T112" s="43"/>
      <c r="U112" s="43"/>
    </row>
    <row r="113" s="43" customFormat="1" ht="15" customHeight="1" x14ac:dyDescent="0.2"/>
    <row r="114" s="43" customFormat="1" ht="15" customHeight="1" x14ac:dyDescent="0.2"/>
    <row r="115" s="43" customFormat="1" ht="15" customHeight="1" x14ac:dyDescent="0.2"/>
    <row r="116" s="43" customFormat="1" ht="15" customHeight="1" x14ac:dyDescent="0.2"/>
    <row r="117" s="43" customFormat="1" ht="15" customHeight="1" x14ac:dyDescent="0.2"/>
    <row r="118" s="43" customFormat="1" ht="15" customHeight="1" x14ac:dyDescent="0.2"/>
    <row r="119" s="43" customFormat="1" ht="15" customHeight="1" x14ac:dyDescent="0.2"/>
    <row r="120" s="43" customFormat="1" ht="15" customHeight="1" x14ac:dyDescent="0.2"/>
    <row r="121" s="43" customFormat="1" ht="15" customHeight="1" x14ac:dyDescent="0.2"/>
    <row r="122" s="43" customFormat="1" ht="15" customHeight="1" x14ac:dyDescent="0.2"/>
    <row r="123" s="43" customFormat="1" ht="15" customHeight="1" x14ac:dyDescent="0.2"/>
    <row r="124" s="43" customFormat="1" ht="15" customHeight="1" x14ac:dyDescent="0.2"/>
    <row r="125" s="43" customFormat="1" ht="15" customHeight="1" x14ac:dyDescent="0.2"/>
    <row r="126" s="43" customFormat="1" ht="15" customHeight="1" x14ac:dyDescent="0.2"/>
    <row r="127" s="43" customFormat="1" ht="15" customHeight="1" x14ac:dyDescent="0.2"/>
    <row r="128" s="43" customFormat="1" ht="15" customHeight="1" x14ac:dyDescent="0.2"/>
    <row r="129" s="43" customFormat="1" ht="15" customHeight="1" x14ac:dyDescent="0.2"/>
    <row r="130" s="43" customFormat="1" ht="15" customHeight="1" x14ac:dyDescent="0.2"/>
    <row r="131" s="43" customFormat="1" ht="15" customHeight="1" x14ac:dyDescent="0.2"/>
    <row r="132" s="43" customFormat="1" ht="15" customHeight="1" x14ac:dyDescent="0.2"/>
    <row r="133" s="43" customFormat="1" ht="15" customHeight="1" x14ac:dyDescent="0.2"/>
    <row r="134" s="43" customFormat="1" ht="15" customHeight="1" x14ac:dyDescent="0.2"/>
    <row r="135" s="43" customFormat="1" ht="15" customHeight="1" x14ac:dyDescent="0.2"/>
    <row r="136" s="43" customFormat="1" ht="15" customHeight="1" x14ac:dyDescent="0.2"/>
    <row r="137" s="43" customFormat="1" ht="15" customHeight="1" x14ac:dyDescent="0.2"/>
    <row r="138" s="43" customFormat="1" ht="15" customHeight="1" x14ac:dyDescent="0.2"/>
    <row r="139" s="43" customFormat="1" ht="15" customHeight="1" x14ac:dyDescent="0.2"/>
    <row r="140" s="43" customFormat="1" ht="15" customHeight="1" x14ac:dyDescent="0.2"/>
    <row r="141" s="43" customFormat="1" ht="15" customHeight="1" x14ac:dyDescent="0.2"/>
    <row r="142" s="43" customFormat="1" ht="15" customHeight="1" x14ac:dyDescent="0.2"/>
    <row r="143" s="43" customFormat="1" ht="15" customHeight="1" x14ac:dyDescent="0.2"/>
    <row r="144" s="43" customFormat="1" ht="15" customHeight="1" x14ac:dyDescent="0.2"/>
    <row r="145" s="43" customFormat="1" ht="15" customHeight="1" x14ac:dyDescent="0.2"/>
    <row r="146" s="43" customFormat="1" ht="15" customHeight="1" x14ac:dyDescent="0.2"/>
    <row r="147" s="43" customFormat="1" ht="15" customHeight="1" x14ac:dyDescent="0.2"/>
    <row r="148" s="43" customFormat="1" ht="15" customHeight="1" x14ac:dyDescent="0.2"/>
    <row r="149" s="43" customFormat="1" ht="15" customHeight="1" x14ac:dyDescent="0.2"/>
    <row r="150" s="43" customFormat="1" ht="15" customHeight="1" x14ac:dyDescent="0.2"/>
    <row r="151" s="43" customFormat="1" ht="15" customHeight="1" x14ac:dyDescent="0.2"/>
    <row r="152" s="43" customFormat="1" ht="15" customHeight="1" x14ac:dyDescent="0.2"/>
    <row r="153" s="43" customFormat="1" ht="15" customHeight="1" x14ac:dyDescent="0.2"/>
    <row r="154" s="43" customFormat="1" ht="15" customHeight="1" x14ac:dyDescent="0.2"/>
    <row r="155" s="43" customFormat="1" ht="15" customHeight="1" x14ac:dyDescent="0.2"/>
    <row r="156" s="43" customFormat="1" ht="15" customHeight="1" x14ac:dyDescent="0.2"/>
    <row r="157" s="43" customFormat="1" ht="15" customHeight="1" x14ac:dyDescent="0.2"/>
    <row r="158" s="43" customFormat="1" ht="15" customHeight="1" x14ac:dyDescent="0.2"/>
    <row r="159" s="43" customFormat="1" ht="15" customHeight="1" x14ac:dyDescent="0.2"/>
    <row r="160" s="43" customFormat="1" ht="15" customHeight="1" x14ac:dyDescent="0.2"/>
    <row r="161" s="43" customFormat="1" ht="15" customHeight="1" x14ac:dyDescent="0.2"/>
    <row r="162" s="43" customFormat="1" ht="15" customHeight="1" x14ac:dyDescent="0.2"/>
    <row r="163" s="43" customFormat="1" ht="15" customHeight="1" x14ac:dyDescent="0.2"/>
    <row r="164" s="43" customFormat="1" ht="15" customHeight="1" x14ac:dyDescent="0.2"/>
    <row r="165" s="43" customFormat="1" ht="15" customHeight="1" x14ac:dyDescent="0.2"/>
    <row r="166" s="43" customFormat="1" ht="15" customHeight="1" x14ac:dyDescent="0.2"/>
    <row r="167" s="43" customFormat="1" ht="15" customHeight="1" x14ac:dyDescent="0.2"/>
    <row r="168" s="43" customFormat="1" ht="15" customHeight="1" x14ac:dyDescent="0.2"/>
    <row r="169" s="43" customFormat="1" ht="15" customHeight="1" x14ac:dyDescent="0.2"/>
    <row r="170" s="43" customFormat="1" ht="15" customHeight="1" x14ac:dyDescent="0.2"/>
    <row r="171" s="43" customFormat="1" ht="15" customHeight="1" x14ac:dyDescent="0.2"/>
    <row r="172" s="43" customFormat="1" ht="15" customHeight="1" x14ac:dyDescent="0.2"/>
    <row r="173" s="43" customFormat="1" ht="15" customHeight="1" x14ac:dyDescent="0.2"/>
    <row r="174" s="43" customFormat="1" ht="15" customHeight="1" x14ac:dyDescent="0.2"/>
    <row r="175" s="43" customFormat="1" ht="15" customHeight="1" x14ac:dyDescent="0.2"/>
    <row r="176" s="43" customFormat="1" ht="15" customHeight="1" x14ac:dyDescent="0.2"/>
    <row r="177" s="43" customFormat="1" ht="15" customHeight="1" x14ac:dyDescent="0.2"/>
    <row r="178" s="43" customFormat="1" ht="15" customHeight="1" x14ac:dyDescent="0.2"/>
    <row r="179" s="43" customFormat="1" ht="15" customHeight="1" x14ac:dyDescent="0.2"/>
    <row r="180" s="43" customFormat="1" ht="15" customHeight="1" x14ac:dyDescent="0.2"/>
    <row r="181" s="43" customFormat="1" ht="15" customHeight="1" x14ac:dyDescent="0.2"/>
    <row r="182" s="43" customFormat="1" ht="15" customHeight="1" x14ac:dyDescent="0.2"/>
    <row r="183" s="43" customFormat="1" ht="15" customHeight="1" x14ac:dyDescent="0.2"/>
    <row r="184" s="43" customFormat="1" ht="15" customHeight="1" x14ac:dyDescent="0.2"/>
    <row r="185" s="43" customFormat="1" ht="15" customHeight="1" x14ac:dyDescent="0.2"/>
    <row r="186" s="43" customFormat="1" ht="15" customHeight="1" x14ac:dyDescent="0.2"/>
    <row r="187" s="43" customFormat="1" ht="15" customHeight="1" x14ac:dyDescent="0.2"/>
    <row r="188" s="43" customFormat="1" ht="15" customHeight="1" x14ac:dyDescent="0.2"/>
    <row r="189" s="43" customFormat="1" ht="15" customHeight="1" x14ac:dyDescent="0.2"/>
    <row r="190" s="43" customFormat="1" ht="15" customHeight="1" x14ac:dyDescent="0.2"/>
    <row r="191" s="43" customFormat="1" ht="15" customHeight="1" x14ac:dyDescent="0.2"/>
    <row r="192" s="43" customFormat="1" ht="15" customHeight="1" x14ac:dyDescent="0.2"/>
    <row r="193" s="43" customFormat="1" ht="15" customHeight="1" x14ac:dyDescent="0.2"/>
    <row r="194" s="43" customFormat="1" ht="15" customHeight="1" x14ac:dyDescent="0.2"/>
    <row r="195" s="43" customFormat="1" ht="15" customHeight="1" x14ac:dyDescent="0.2"/>
    <row r="196" s="43" customFormat="1" ht="15" customHeight="1" x14ac:dyDescent="0.2"/>
    <row r="197" s="43" customFormat="1" ht="15" customHeight="1" x14ac:dyDescent="0.2"/>
    <row r="198" s="43" customFormat="1" ht="15" customHeight="1" x14ac:dyDescent="0.2"/>
    <row r="199" s="43" customFormat="1" ht="15" customHeight="1" x14ac:dyDescent="0.2"/>
    <row r="200" s="43" customFormat="1" ht="15" customHeight="1" x14ac:dyDescent="0.2"/>
    <row r="201" s="43" customFormat="1" ht="15" customHeight="1" x14ac:dyDescent="0.2"/>
    <row r="202" s="43" customFormat="1" ht="15" customHeight="1" x14ac:dyDescent="0.2"/>
    <row r="203" s="43" customFormat="1" ht="15" customHeight="1" x14ac:dyDescent="0.2"/>
    <row r="204" s="43" customFormat="1" ht="15" customHeight="1" x14ac:dyDescent="0.2"/>
    <row r="205" s="43" customFormat="1" ht="15" customHeight="1" x14ac:dyDescent="0.2"/>
    <row r="206" s="43" customFormat="1" ht="15" customHeight="1" x14ac:dyDescent="0.2"/>
    <row r="207" s="43" customFormat="1" ht="15" customHeight="1" x14ac:dyDescent="0.2"/>
    <row r="208" s="43" customFormat="1" ht="15" customHeight="1" x14ac:dyDescent="0.2"/>
    <row r="209" s="43" customFormat="1" ht="15" customHeight="1" x14ac:dyDescent="0.2"/>
    <row r="210" s="43" customFormat="1" ht="15" customHeight="1" x14ac:dyDescent="0.2"/>
    <row r="211" s="43" customFormat="1" ht="15" customHeight="1" x14ac:dyDescent="0.2"/>
    <row r="212" s="43" customFormat="1" ht="15" customHeight="1" x14ac:dyDescent="0.2"/>
    <row r="213" s="43" customFormat="1" ht="15" customHeight="1" x14ac:dyDescent="0.2"/>
    <row r="214" s="43" customFormat="1" ht="15" customHeight="1" x14ac:dyDescent="0.2"/>
    <row r="215" s="43" customFormat="1" ht="15" customHeight="1" x14ac:dyDescent="0.2"/>
    <row r="216" s="43" customFormat="1" ht="15" customHeight="1" x14ac:dyDescent="0.2"/>
    <row r="217" s="43" customFormat="1" ht="15" customHeight="1" x14ac:dyDescent="0.2"/>
    <row r="218" s="43" customFormat="1" ht="15" customHeight="1" x14ac:dyDescent="0.2"/>
    <row r="219" s="43" customFormat="1" ht="15" customHeight="1" x14ac:dyDescent="0.2"/>
    <row r="220" s="43" customFormat="1" ht="15" customHeight="1" x14ac:dyDescent="0.2"/>
    <row r="221" s="43" customFormat="1" ht="15" customHeight="1" x14ac:dyDescent="0.2"/>
    <row r="222" s="43" customFormat="1" ht="15" customHeight="1" x14ac:dyDescent="0.2"/>
    <row r="223" s="43" customFormat="1" ht="15" customHeight="1" x14ac:dyDescent="0.2"/>
    <row r="224" s="43" customFormat="1" ht="15" customHeight="1" x14ac:dyDescent="0.2"/>
    <row r="225" s="43" customFormat="1" ht="15" customHeight="1" x14ac:dyDescent="0.2"/>
    <row r="226" s="43" customFormat="1" ht="15" customHeight="1" x14ac:dyDescent="0.2"/>
    <row r="227" s="43" customFormat="1" ht="15" customHeight="1" x14ac:dyDescent="0.2"/>
    <row r="228" s="43" customFormat="1" ht="15" customHeight="1" x14ac:dyDescent="0.2"/>
    <row r="229" s="43" customFormat="1" ht="15" customHeight="1" x14ac:dyDescent="0.2"/>
    <row r="230" s="43" customFormat="1" ht="15" customHeight="1" x14ac:dyDescent="0.2"/>
    <row r="231" s="43" customFormat="1" ht="15" customHeight="1" x14ac:dyDescent="0.2"/>
    <row r="232" s="43" customFormat="1" ht="15" customHeight="1" x14ac:dyDescent="0.2"/>
    <row r="233" s="43" customFormat="1" ht="15" customHeight="1" x14ac:dyDescent="0.2"/>
    <row r="234" s="43" customFormat="1" ht="15" customHeight="1" x14ac:dyDescent="0.2"/>
    <row r="235" s="43" customFormat="1" ht="15" customHeight="1" x14ac:dyDescent="0.2"/>
    <row r="236" s="43" customFormat="1" ht="15" customHeight="1" x14ac:dyDescent="0.2"/>
    <row r="237" s="43" customFormat="1" ht="15" customHeight="1" x14ac:dyDescent="0.2"/>
    <row r="238" s="43" customFormat="1" ht="15" customHeight="1" x14ac:dyDescent="0.2"/>
    <row r="239" s="43" customFormat="1" ht="15" customHeight="1" x14ac:dyDescent="0.2"/>
    <row r="240" s="43" customFormat="1" ht="15" customHeight="1" x14ac:dyDescent="0.2"/>
    <row r="241" s="43" customFormat="1" ht="15" customHeight="1" x14ac:dyDescent="0.2"/>
    <row r="242" s="43" customFormat="1" ht="15" customHeight="1" x14ac:dyDescent="0.2"/>
    <row r="243" s="43" customFormat="1" ht="15" customHeight="1" x14ac:dyDescent="0.2"/>
    <row r="244" s="43" customFormat="1" ht="15" customHeight="1" x14ac:dyDescent="0.2"/>
    <row r="245" s="43" customFormat="1" ht="15" customHeight="1" x14ac:dyDescent="0.2"/>
    <row r="246" s="43" customFormat="1" ht="15" customHeight="1" x14ac:dyDescent="0.2"/>
    <row r="247" s="43" customFormat="1" ht="15" customHeight="1" x14ac:dyDescent="0.2"/>
    <row r="248" s="43" customFormat="1" ht="15" customHeight="1" x14ac:dyDescent="0.2"/>
    <row r="249" s="43" customFormat="1" ht="15" customHeight="1" x14ac:dyDescent="0.2"/>
    <row r="250" s="43" customFormat="1" ht="15" customHeight="1" x14ac:dyDescent="0.2"/>
    <row r="251" s="43" customFormat="1" ht="15" customHeight="1" x14ac:dyDescent="0.2"/>
    <row r="252" s="43" customFormat="1" ht="15" customHeight="1" x14ac:dyDescent="0.2"/>
    <row r="253" s="43" customFormat="1" ht="15" customHeight="1" x14ac:dyDescent="0.2"/>
    <row r="254" s="43" customFormat="1" ht="15" customHeight="1" x14ac:dyDescent="0.2"/>
    <row r="255" s="43" customFormat="1" ht="15" customHeight="1" x14ac:dyDescent="0.2"/>
    <row r="256" s="43" customFormat="1" ht="15" customHeight="1" x14ac:dyDescent="0.2"/>
    <row r="257" s="43" customFormat="1" ht="15" customHeight="1" x14ac:dyDescent="0.2"/>
    <row r="258" s="43" customFormat="1" ht="15" customHeight="1" x14ac:dyDescent="0.2"/>
    <row r="259" s="43" customFormat="1" ht="15" customHeight="1" x14ac:dyDescent="0.2"/>
    <row r="260" s="43" customFormat="1" ht="15" customHeight="1" x14ac:dyDescent="0.2"/>
    <row r="261" s="43" customFormat="1" ht="15" customHeight="1" x14ac:dyDescent="0.2"/>
    <row r="262" s="43" customFormat="1" ht="15" customHeight="1" x14ac:dyDescent="0.2"/>
    <row r="263" s="43" customFormat="1" ht="15" customHeight="1" x14ac:dyDescent="0.2"/>
    <row r="264" s="43" customFormat="1" ht="15" customHeight="1" x14ac:dyDescent="0.2"/>
    <row r="265" s="43" customFormat="1" ht="15" customHeight="1" x14ac:dyDescent="0.2"/>
    <row r="266" s="43" customFormat="1" ht="15" customHeight="1" x14ac:dyDescent="0.2"/>
    <row r="267" s="43" customFormat="1" ht="15" customHeight="1" x14ac:dyDescent="0.2"/>
    <row r="268" s="43" customFormat="1" ht="15" customHeight="1" x14ac:dyDescent="0.2"/>
    <row r="269" s="43" customFormat="1" ht="15" customHeight="1" x14ac:dyDescent="0.2"/>
    <row r="270" s="43" customFormat="1" ht="15" customHeight="1" x14ac:dyDescent="0.2"/>
    <row r="271" s="43" customFormat="1" ht="15" customHeight="1" x14ac:dyDescent="0.2"/>
    <row r="272" s="43" customFormat="1" ht="15" customHeight="1" x14ac:dyDescent="0.2"/>
    <row r="273" s="43" customFormat="1" ht="15" customHeight="1" x14ac:dyDescent="0.2"/>
    <row r="274" s="43" customFormat="1" ht="15" customHeight="1" x14ac:dyDescent="0.2"/>
    <row r="275" s="43" customFormat="1" ht="15" customHeight="1" x14ac:dyDescent="0.2"/>
    <row r="276" s="43" customFormat="1" ht="15" customHeight="1" x14ac:dyDescent="0.2"/>
    <row r="277" s="43" customFormat="1" ht="15" customHeight="1" x14ac:dyDescent="0.2"/>
    <row r="278" s="43" customFormat="1" ht="15" customHeight="1" x14ac:dyDescent="0.2"/>
    <row r="279" s="43" customFormat="1" ht="15" customHeight="1" x14ac:dyDescent="0.2"/>
    <row r="280" s="43" customFormat="1" ht="15" customHeight="1" x14ac:dyDescent="0.2"/>
    <row r="281" s="43" customFormat="1" ht="15" customHeight="1" x14ac:dyDescent="0.2"/>
    <row r="282" s="43" customFormat="1" ht="15" customHeight="1" x14ac:dyDescent="0.2"/>
    <row r="283" s="43" customFormat="1" ht="15" customHeight="1" x14ac:dyDescent="0.2"/>
    <row r="284" s="43" customFormat="1" ht="15" customHeight="1" x14ac:dyDescent="0.2"/>
    <row r="285" s="43" customFormat="1" ht="15" customHeight="1" x14ac:dyDescent="0.2"/>
    <row r="286" s="43" customFormat="1" ht="15" customHeight="1" x14ac:dyDescent="0.2"/>
    <row r="287" s="43" customFormat="1" ht="15" customHeight="1" x14ac:dyDescent="0.2"/>
    <row r="288" s="43" customFormat="1" ht="15" customHeight="1" x14ac:dyDescent="0.2"/>
    <row r="289" s="43" customFormat="1" ht="15" customHeight="1" x14ac:dyDescent="0.2"/>
    <row r="290" s="43" customFormat="1" ht="15" customHeight="1" x14ac:dyDescent="0.2"/>
    <row r="291" s="43" customFormat="1" ht="15" customHeight="1" x14ac:dyDescent="0.2"/>
    <row r="292" s="43" customFormat="1" ht="15" customHeight="1" x14ac:dyDescent="0.2"/>
    <row r="293" s="43" customFormat="1" ht="15" customHeight="1" x14ac:dyDescent="0.2"/>
    <row r="294" s="43" customFormat="1" ht="15" customHeight="1" x14ac:dyDescent="0.2"/>
    <row r="295" s="43" customFormat="1" ht="15" customHeight="1" x14ac:dyDescent="0.2"/>
    <row r="296" s="43" customFormat="1" ht="15" customHeight="1" x14ac:dyDescent="0.2"/>
    <row r="297" s="43" customFormat="1" ht="15" customHeight="1" x14ac:dyDescent="0.2"/>
    <row r="298" s="43" customFormat="1" ht="15" customHeight="1" x14ac:dyDescent="0.2"/>
    <row r="299" s="43" customFormat="1" ht="15" customHeight="1" x14ac:dyDescent="0.2"/>
    <row r="300" s="43" customFormat="1" ht="15" customHeight="1" x14ac:dyDescent="0.2"/>
    <row r="301" s="43" customFormat="1" ht="15" customHeight="1" x14ac:dyDescent="0.2"/>
    <row r="302" s="43" customFormat="1" ht="15" customHeight="1" x14ac:dyDescent="0.2"/>
    <row r="303" s="43" customFormat="1" ht="15" customHeight="1" x14ac:dyDescent="0.2"/>
    <row r="304" s="43" customFormat="1" ht="15" customHeight="1" x14ac:dyDescent="0.2"/>
    <row r="305" s="43" customFormat="1" ht="15" customHeight="1" x14ac:dyDescent="0.2"/>
    <row r="306" s="43" customFormat="1" ht="15" customHeight="1" x14ac:dyDescent="0.2"/>
    <row r="307" s="43" customFormat="1" ht="15" customHeight="1" x14ac:dyDescent="0.2"/>
    <row r="308" s="43" customFormat="1" ht="15" customHeight="1" x14ac:dyDescent="0.2"/>
    <row r="309" s="43" customFormat="1" ht="15" customHeight="1" x14ac:dyDescent="0.2"/>
    <row r="310" s="43" customFormat="1" ht="15" customHeight="1" x14ac:dyDescent="0.2"/>
    <row r="311" s="43" customFormat="1" ht="15" customHeight="1" x14ac:dyDescent="0.2"/>
    <row r="312" s="43" customFormat="1" ht="15" customHeight="1" x14ac:dyDescent="0.2"/>
    <row r="313" s="43" customFormat="1" ht="15" customHeight="1" x14ac:dyDescent="0.2"/>
    <row r="314" s="43" customFormat="1" ht="15" customHeight="1" x14ac:dyDescent="0.2"/>
    <row r="315" s="43" customFormat="1" ht="15" customHeight="1" x14ac:dyDescent="0.2"/>
    <row r="316" s="43" customFormat="1" ht="15" customHeight="1" x14ac:dyDescent="0.2"/>
    <row r="317" s="43" customFormat="1" ht="15" customHeight="1" x14ac:dyDescent="0.2"/>
    <row r="318" s="43" customFormat="1" ht="15" customHeight="1" x14ac:dyDescent="0.2"/>
    <row r="319" s="43" customFormat="1" ht="15" customHeight="1" x14ac:dyDescent="0.2"/>
    <row r="320" s="43" customFormat="1" ht="15" customHeight="1" x14ac:dyDescent="0.2"/>
    <row r="321" spans="15:21" ht="15" customHeight="1" x14ac:dyDescent="0.2">
      <c r="O321" s="43"/>
      <c r="P321" s="43"/>
      <c r="Q321" s="43"/>
      <c r="R321" s="43"/>
      <c r="S321" s="43"/>
      <c r="T321" s="43"/>
      <c r="U321" s="43"/>
    </row>
    <row r="322" spans="15:21" ht="15" customHeight="1" x14ac:dyDescent="0.2">
      <c r="O322" s="43"/>
      <c r="P322" s="43"/>
      <c r="Q322" s="43"/>
      <c r="R322" s="43"/>
      <c r="S322" s="43"/>
      <c r="T322" s="43"/>
      <c r="U322" s="43"/>
    </row>
    <row r="323" spans="15:21" ht="15" customHeight="1" x14ac:dyDescent="0.2">
      <c r="O323" s="43"/>
      <c r="P323" s="43"/>
      <c r="Q323" s="43"/>
      <c r="R323" s="43"/>
      <c r="S323" s="43"/>
      <c r="T323" s="43"/>
      <c r="U323" s="43"/>
    </row>
    <row r="324" spans="15:21" ht="15" customHeight="1" x14ac:dyDescent="0.2">
      <c r="O324" s="43"/>
      <c r="P324" s="43"/>
      <c r="Q324" s="43"/>
      <c r="R324" s="43"/>
      <c r="S324" s="43"/>
      <c r="T324" s="43"/>
      <c r="U324" s="43"/>
    </row>
    <row r="325" spans="15:21" ht="15" customHeight="1" x14ac:dyDescent="0.2">
      <c r="O325" s="43"/>
      <c r="P325" s="43"/>
      <c r="Q325" s="43"/>
      <c r="R325" s="43"/>
      <c r="S325" s="43"/>
      <c r="T325" s="43"/>
      <c r="U325" s="43"/>
    </row>
    <row r="326" spans="15:21" ht="15" customHeight="1" x14ac:dyDescent="0.2">
      <c r="O326" s="43"/>
      <c r="P326" s="43"/>
      <c r="Q326" s="43"/>
      <c r="R326" s="43"/>
      <c r="S326" s="43"/>
      <c r="T326" s="43"/>
      <c r="U326" s="43"/>
    </row>
    <row r="327" spans="15:21" ht="15" customHeight="1" x14ac:dyDescent="0.2">
      <c r="O327" s="43"/>
      <c r="P327" s="43"/>
      <c r="Q327" s="43"/>
      <c r="R327" s="43"/>
      <c r="S327" s="43"/>
      <c r="T327" s="43"/>
      <c r="U327" s="43"/>
    </row>
    <row r="328" spans="15:21" ht="15" customHeight="1" x14ac:dyDescent="0.2">
      <c r="O328" s="43"/>
      <c r="P328" s="43"/>
      <c r="Q328" s="43"/>
      <c r="R328" s="43"/>
      <c r="S328" s="43"/>
      <c r="T328" s="43"/>
      <c r="U328" s="43"/>
    </row>
    <row r="329" spans="15:21" ht="15" customHeight="1" x14ac:dyDescent="0.2">
      <c r="O329" s="43"/>
      <c r="P329" s="43"/>
      <c r="Q329" s="43"/>
      <c r="R329" s="43"/>
      <c r="S329" s="43"/>
      <c r="T329" s="43"/>
      <c r="U329" s="43"/>
    </row>
    <row r="330" spans="15:21" ht="15" customHeight="1" x14ac:dyDescent="0.2">
      <c r="O330" s="43"/>
      <c r="P330" s="43"/>
      <c r="Q330" s="43"/>
      <c r="R330" s="43"/>
      <c r="S330" s="43"/>
      <c r="T330" s="43"/>
      <c r="U330" s="43"/>
    </row>
    <row r="331" spans="15:21" ht="15" customHeight="1" x14ac:dyDescent="0.2">
      <c r="O331" s="43"/>
      <c r="P331" s="43"/>
      <c r="Q331" s="43"/>
      <c r="R331" s="43"/>
      <c r="S331" s="43"/>
      <c r="T331" s="43"/>
      <c r="U331" s="43"/>
    </row>
    <row r="332" spans="15:21" ht="15" customHeight="1" x14ac:dyDescent="0.2">
      <c r="O332" s="43"/>
      <c r="P332" s="43"/>
      <c r="Q332" s="43"/>
      <c r="R332" s="43"/>
      <c r="S332" s="43"/>
      <c r="T332" s="43"/>
      <c r="U332" s="43"/>
    </row>
    <row r="333" spans="15:21" ht="15" customHeight="1" x14ac:dyDescent="0.2">
      <c r="O333" s="43"/>
      <c r="P333" s="43"/>
      <c r="Q333" s="43"/>
      <c r="R333" s="43"/>
      <c r="S333" s="43"/>
      <c r="T333" s="43"/>
      <c r="U333" s="43"/>
    </row>
    <row r="334" spans="15:21" ht="15" customHeight="1" x14ac:dyDescent="0.2">
      <c r="O334" s="43"/>
      <c r="P334" s="43"/>
      <c r="Q334" s="43"/>
      <c r="R334" s="43"/>
      <c r="S334" s="43"/>
      <c r="T334" s="43"/>
      <c r="U334" s="43"/>
    </row>
    <row r="335" spans="15:21" ht="15" customHeight="1" x14ac:dyDescent="0.2">
      <c r="Q335" s="43"/>
      <c r="R335" s="43"/>
      <c r="S335" s="43"/>
      <c r="T335" s="43"/>
      <c r="U335" s="43"/>
    </row>
    <row r="336" spans="15:21" ht="15" customHeight="1" x14ac:dyDescent="0.2">
      <c r="Q336" s="43"/>
      <c r="R336" s="43"/>
    </row>
    <row r="339" spans="15:21" ht="15" customHeight="1" x14ac:dyDescent="0.2">
      <c r="O339" s="43"/>
      <c r="P339" s="43"/>
    </row>
    <row r="340" spans="15:21" ht="15" customHeight="1" x14ac:dyDescent="0.2">
      <c r="O340" s="43"/>
      <c r="P340" s="43"/>
      <c r="S340" s="43"/>
      <c r="T340" s="43"/>
      <c r="U340" s="43"/>
    </row>
    <row r="341" spans="15:21" ht="15" customHeight="1" x14ac:dyDescent="0.2">
      <c r="Q341" s="43"/>
      <c r="R341" s="43"/>
      <c r="S341" s="43"/>
      <c r="T341" s="43"/>
      <c r="U341" s="43"/>
    </row>
    <row r="342" spans="15:21" ht="15" customHeight="1" x14ac:dyDescent="0.2">
      <c r="Q342" s="43"/>
      <c r="R342" s="43"/>
    </row>
  </sheetData>
  <mergeCells count="6">
    <mergeCell ref="C39:J40"/>
    <mergeCell ref="C41:J42"/>
    <mergeCell ref="C44:J45"/>
    <mergeCell ref="C33:J34"/>
    <mergeCell ref="C29:J31"/>
    <mergeCell ref="C36:J37"/>
  </mergeCells>
  <printOptions horizontalCentered="1"/>
  <pageMargins left="0.25" right="0.25" top="0.75" bottom="0.75" header="0.3" footer="0.3"/>
  <pageSetup paperSize="3"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D60B8-6CBB-4344-A9B9-AA08B2880492}">
  <dimension ref="A1:C27"/>
  <sheetViews>
    <sheetView workbookViewId="0">
      <selection activeCell="B9" sqref="B9:C9"/>
    </sheetView>
  </sheetViews>
  <sheetFormatPr defaultRowHeight="15" x14ac:dyDescent="0.25"/>
  <cols>
    <col min="1" max="1" width="9.140625" style="343"/>
    <col min="2" max="2" width="21.140625" style="343" bestFit="1" customWidth="1"/>
    <col min="3" max="3" width="12.7109375" style="343" bestFit="1" customWidth="1"/>
    <col min="4" max="16384" width="9.140625" style="343"/>
  </cols>
  <sheetData>
    <row r="1" spans="1:3" x14ac:dyDescent="0.25">
      <c r="A1" s="343" t="s">
        <v>166</v>
      </c>
    </row>
    <row r="2" spans="1:3" x14ac:dyDescent="0.25">
      <c r="A2" s="343" t="s">
        <v>248</v>
      </c>
    </row>
    <row r="4" spans="1:3" x14ac:dyDescent="0.25">
      <c r="A4" s="347" t="s">
        <v>59</v>
      </c>
      <c r="B4" s="99" t="s">
        <v>167</v>
      </c>
      <c r="C4" s="99" t="s">
        <v>168</v>
      </c>
    </row>
    <row r="5" spans="1:3" x14ac:dyDescent="0.25">
      <c r="A5" s="199">
        <v>2022</v>
      </c>
      <c r="B5" s="190" t="s">
        <v>169</v>
      </c>
      <c r="C5" s="303">
        <f>(15796*0.75)+3*4*500</f>
        <v>17847</v>
      </c>
    </row>
    <row r="6" spans="1:3" x14ac:dyDescent="0.25">
      <c r="A6" s="199">
        <v>2023</v>
      </c>
      <c r="B6" s="190" t="s">
        <v>169</v>
      </c>
      <c r="C6" s="303">
        <f>(15796*0.78)+3*4*520</f>
        <v>18560.88</v>
      </c>
    </row>
    <row r="7" spans="1:3" x14ac:dyDescent="0.25">
      <c r="A7" s="199">
        <v>2024</v>
      </c>
      <c r="B7" s="190" t="s">
        <v>169</v>
      </c>
      <c r="C7" s="303">
        <f>(15796*0.81)+3*4*540</f>
        <v>19274.760000000002</v>
      </c>
    </row>
    <row r="8" spans="1:3" x14ac:dyDescent="0.25">
      <c r="A8" s="199">
        <v>2025</v>
      </c>
      <c r="B8" s="190" t="s">
        <v>170</v>
      </c>
      <c r="C8" s="303">
        <v>2000000</v>
      </c>
    </row>
    <row r="9" spans="1:3" x14ac:dyDescent="0.25">
      <c r="A9" s="199">
        <v>2026</v>
      </c>
      <c r="B9" s="190" t="s">
        <v>6</v>
      </c>
      <c r="C9" s="303">
        <v>0</v>
      </c>
    </row>
    <row r="10" spans="1:3" x14ac:dyDescent="0.25">
      <c r="A10" s="199">
        <v>2027</v>
      </c>
      <c r="B10" s="190" t="s">
        <v>171</v>
      </c>
      <c r="C10" s="303">
        <f>(15796*0.9)+3*4*600</f>
        <v>21416.400000000001</v>
      </c>
    </row>
    <row r="11" spans="1:3" x14ac:dyDescent="0.25">
      <c r="A11" s="199">
        <v>2028</v>
      </c>
      <c r="B11" s="190" t="s">
        <v>169</v>
      </c>
      <c r="C11" s="303">
        <f>(15796*0.93)+3*4*620</f>
        <v>22130.28</v>
      </c>
    </row>
    <row r="12" spans="1:3" x14ac:dyDescent="0.25">
      <c r="A12" s="199">
        <v>2029</v>
      </c>
      <c r="B12" s="190" t="s">
        <v>169</v>
      </c>
      <c r="C12" s="303">
        <f>(15796*0.96)+3*4*660</f>
        <v>23084.16</v>
      </c>
    </row>
    <row r="13" spans="1:3" x14ac:dyDescent="0.25">
      <c r="A13" s="199">
        <v>2030</v>
      </c>
      <c r="B13" s="190" t="s">
        <v>169</v>
      </c>
      <c r="C13" s="303">
        <f>(15796*0.99)+3*4*680</f>
        <v>23798.04</v>
      </c>
    </row>
    <row r="14" spans="1:3" x14ac:dyDescent="0.25">
      <c r="A14" s="199">
        <v>2031</v>
      </c>
      <c r="B14" s="190" t="s">
        <v>171</v>
      </c>
      <c r="C14" s="303">
        <f>(15796*1.02)+3*6*700</f>
        <v>28711.919999999998</v>
      </c>
    </row>
    <row r="15" spans="1:3" x14ac:dyDescent="0.25">
      <c r="A15" s="199">
        <v>2032</v>
      </c>
      <c r="B15" s="190" t="s">
        <v>169</v>
      </c>
      <c r="C15" s="303">
        <f>(15796*1.05)+3*6*700</f>
        <v>29185.8</v>
      </c>
    </row>
    <row r="16" spans="1:3" x14ac:dyDescent="0.25">
      <c r="A16" s="199">
        <v>2033</v>
      </c>
      <c r="B16" s="190" t="s">
        <v>169</v>
      </c>
      <c r="C16" s="303">
        <f>(15796*1.08)+3*6*700</f>
        <v>29659.68</v>
      </c>
    </row>
    <row r="17" spans="1:3" x14ac:dyDescent="0.25">
      <c r="A17" s="199">
        <v>2034</v>
      </c>
      <c r="B17" s="190" t="s">
        <v>169</v>
      </c>
      <c r="C17" s="303">
        <f>(15796*1.11)+3*6*700</f>
        <v>30133.56</v>
      </c>
    </row>
    <row r="18" spans="1:3" x14ac:dyDescent="0.25">
      <c r="A18" s="199">
        <v>2035</v>
      </c>
      <c r="B18" s="190" t="s">
        <v>169</v>
      </c>
      <c r="C18" s="303">
        <f>(15796*1.14)+3*6*700</f>
        <v>30607.439999999999</v>
      </c>
    </row>
    <row r="19" spans="1:3" x14ac:dyDescent="0.25">
      <c r="A19" s="199">
        <v>2036</v>
      </c>
      <c r="B19" s="190" t="s">
        <v>247</v>
      </c>
      <c r="C19" s="303">
        <v>3500000</v>
      </c>
    </row>
    <row r="20" spans="1:3" x14ac:dyDescent="0.25">
      <c r="A20" s="199">
        <v>2037</v>
      </c>
      <c r="B20" s="190" t="s">
        <v>6</v>
      </c>
      <c r="C20" s="303">
        <v>0</v>
      </c>
    </row>
    <row r="21" spans="1:3" x14ac:dyDescent="0.25">
      <c r="A21" s="199">
        <v>2038</v>
      </c>
      <c r="B21" s="190" t="s">
        <v>171</v>
      </c>
      <c r="C21" s="303">
        <f>(15796*1.23)</f>
        <v>19429.079999999998</v>
      </c>
    </row>
    <row r="22" spans="1:3" x14ac:dyDescent="0.25">
      <c r="A22" s="199">
        <v>2039</v>
      </c>
      <c r="B22" s="190" t="s">
        <v>169</v>
      </c>
      <c r="C22" s="303">
        <f>(15796*1.26)</f>
        <v>19902.96</v>
      </c>
    </row>
    <row r="23" spans="1:3" x14ac:dyDescent="0.25">
      <c r="A23" s="199">
        <v>2040</v>
      </c>
      <c r="B23" s="190" t="s">
        <v>169</v>
      </c>
      <c r="C23" s="303">
        <f>(15796*1.29)</f>
        <v>20376.84</v>
      </c>
    </row>
    <row r="24" spans="1:3" x14ac:dyDescent="0.25">
      <c r="A24" s="199">
        <v>2041</v>
      </c>
      <c r="B24" s="190" t="s">
        <v>172</v>
      </c>
      <c r="C24" s="303">
        <f>(15796*1.32)+3*6*700</f>
        <v>33450.720000000001</v>
      </c>
    </row>
    <row r="25" spans="1:3" x14ac:dyDescent="0.25">
      <c r="A25" s="199">
        <v>2042</v>
      </c>
      <c r="B25" s="190" t="s">
        <v>172</v>
      </c>
      <c r="C25" s="303">
        <f>(15796*1.35)+3*6*700</f>
        <v>33924.600000000006</v>
      </c>
    </row>
    <row r="27" spans="1:3" x14ac:dyDescent="0.25">
      <c r="A27" s="343" t="s">
        <v>4</v>
      </c>
      <c r="C27" s="304">
        <f>SUM(C5:C25)</f>
        <v>5921494.1199999992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652C0-21B7-47D1-A47C-8593551B6954}">
  <sheetPr>
    <tabColor rgb="FF0070C0"/>
    <pageSetUpPr fitToPage="1"/>
  </sheetPr>
  <dimension ref="A1:R91"/>
  <sheetViews>
    <sheetView view="pageBreakPreview" topLeftCell="A27" zoomScale="85" zoomScaleNormal="40" zoomScaleSheetLayoutView="85" workbookViewId="0">
      <selection activeCell="L40" sqref="L40"/>
    </sheetView>
  </sheetViews>
  <sheetFormatPr defaultRowHeight="15" outlineLevelRow="1" x14ac:dyDescent="0.25"/>
  <cols>
    <col min="1" max="1" width="9.140625" style="92"/>
    <col min="2" max="2" width="15.7109375" style="92" customWidth="1"/>
    <col min="3" max="3" width="16.85546875" style="92" customWidth="1"/>
    <col min="4" max="7" width="20.7109375" style="92" customWidth="1"/>
    <col min="8" max="8" width="20.7109375" style="343" customWidth="1"/>
    <col min="9" max="10" width="20.7109375" style="92" customWidth="1"/>
    <col min="11" max="11" width="20.7109375" style="343" customWidth="1"/>
    <col min="12" max="12" width="20.7109375" style="92" customWidth="1"/>
    <col min="13" max="18" width="15.7109375" style="92" customWidth="1"/>
    <col min="19" max="16384" width="9.140625" style="92"/>
  </cols>
  <sheetData>
    <row r="1" spans="2:18" ht="23.25" x14ac:dyDescent="0.35">
      <c r="B1" s="41" t="s">
        <v>229</v>
      </c>
      <c r="N1" s="28"/>
      <c r="O1" s="28"/>
      <c r="Q1" s="78"/>
      <c r="R1" s="28"/>
    </row>
    <row r="2" spans="2:18" x14ac:dyDescent="0.25">
      <c r="L2" s="59"/>
      <c r="M2" s="59"/>
      <c r="N2" s="78"/>
      <c r="O2" s="28"/>
    </row>
    <row r="3" spans="2:18" ht="16.5" thickBot="1" x14ac:dyDescent="0.3">
      <c r="B3" s="21" t="s">
        <v>8</v>
      </c>
      <c r="D3" s="51"/>
      <c r="E3" s="51"/>
      <c r="F3" s="51"/>
    </row>
    <row r="4" spans="2:18" ht="44.25" customHeight="1" thickBot="1" x14ac:dyDescent="0.3">
      <c r="B4" s="21"/>
      <c r="C4" s="388" t="s">
        <v>10</v>
      </c>
      <c r="D4" s="482" t="s">
        <v>56</v>
      </c>
      <c r="E4" s="483"/>
      <c r="F4" s="484"/>
      <c r="G4" s="482" t="s">
        <v>11</v>
      </c>
      <c r="H4" s="483"/>
      <c r="I4" s="488" t="s">
        <v>239</v>
      </c>
      <c r="J4" s="489"/>
      <c r="K4" s="387"/>
      <c r="L4" s="343"/>
    </row>
    <row r="5" spans="2:18" ht="35.1" customHeight="1" x14ac:dyDescent="0.25">
      <c r="B5" s="465" t="s">
        <v>0</v>
      </c>
      <c r="C5" s="478" t="s">
        <v>41</v>
      </c>
      <c r="D5" s="469" t="s">
        <v>309</v>
      </c>
      <c r="E5" s="480" t="s">
        <v>79</v>
      </c>
      <c r="F5" s="478" t="s">
        <v>80</v>
      </c>
      <c r="G5" s="469" t="s">
        <v>237</v>
      </c>
      <c r="H5" s="485" t="s">
        <v>238</v>
      </c>
      <c r="I5" s="476" t="s">
        <v>240</v>
      </c>
      <c r="J5" s="473" t="s">
        <v>243</v>
      </c>
      <c r="K5" s="485" t="s">
        <v>244</v>
      </c>
      <c r="L5" s="465" t="s">
        <v>242</v>
      </c>
    </row>
    <row r="6" spans="2:18" ht="35.1" customHeight="1" thickBot="1" x14ac:dyDescent="0.3">
      <c r="B6" s="466"/>
      <c r="C6" s="479"/>
      <c r="D6" s="470"/>
      <c r="E6" s="481"/>
      <c r="F6" s="479"/>
      <c r="G6" s="475"/>
      <c r="H6" s="486"/>
      <c r="I6" s="477"/>
      <c r="J6" s="474"/>
      <c r="K6" s="487"/>
      <c r="L6" s="466"/>
    </row>
    <row r="7" spans="2:18" ht="15" customHeight="1" x14ac:dyDescent="0.25">
      <c r="B7" s="346">
        <v>2024</v>
      </c>
      <c r="C7" s="362">
        <f>IFERROR(_xlfn.XLOOKUP($B7,'Travel Time - Interchange'!B$6:B$25,'Travel Time - Interchange'!E$6:E$25,0,0,1),0)</f>
        <v>0</v>
      </c>
      <c r="D7" s="361">
        <f>IFERROR(_xlfn.XLOOKUP($B7,'Air Quality'!B$5:B$34,'Air Quality'!D$5:D$34,0,0,1),0)</f>
        <v>0</v>
      </c>
      <c r="E7" s="428">
        <f>IFERROR(_xlfn.XLOOKUP($B7,'Air Quality'!B$5:B$34,'Air Quality'!M$5:M$34,0,0,1),0)</f>
        <v>0</v>
      </c>
      <c r="F7" s="440">
        <f>IFERROR(_xlfn.XLOOKUP($B7,'Air Quality'!B$5:B$34,'Air Quality'!E$5:E$34,0,0,1),0)</f>
        <v>0</v>
      </c>
      <c r="G7" s="361">
        <f>IFERROR(_xlfn.XLOOKUP($B7,'Safety Benefits - Mainline'!B$7:B$26,'Safety Benefits - Mainline'!E$7:E$26,0,0,1),0)</f>
        <v>0</v>
      </c>
      <c r="H7" s="440">
        <f>IFERROR(_xlfn.XLOOKUP($B7,'Safety Benefits - Interchange'!B$7:B$26,'Safety Benefits - Interchange'!E$7:E$26,0,0,1),0)</f>
        <v>0</v>
      </c>
      <c r="I7" s="361">
        <f>IFERROR(_xlfn.XLOOKUP($B7,'Operating and Maintenance Costs'!B$5:B$34,'Operating and Maintenance Costs'!E$5:E$34,0,0,1),0)</f>
        <v>18507.886516893806</v>
      </c>
      <c r="J7" s="429">
        <f>IFERROR(_xlfn.XLOOKUP($B7,'Capital Cost and RCV Calc'!B$5:B$37,'Capital Cost and RCV Calc'!G$5:G$37,0,0,1),0)</f>
        <v>0</v>
      </c>
      <c r="K7" s="440">
        <f>IFERROR(SUM(C7:E7,G7:J7),0)</f>
        <v>18507.886516893806</v>
      </c>
      <c r="L7" s="362">
        <f>IFERROR(SUM(C7,E7,G7:J7)*(1+0.07)^-($B7-Assumptions!$D$4)+F7,0)</f>
        <v>14119.578008857234</v>
      </c>
    </row>
    <row r="8" spans="2:18" ht="15" customHeight="1" x14ac:dyDescent="0.25">
      <c r="B8" s="197">
        <f>B7+1</f>
        <v>2025</v>
      </c>
      <c r="C8" s="358">
        <f>IFERROR(_xlfn.XLOOKUP($B8,'Travel Time - Interchange'!B$6:B$25,'Travel Time - Interchange'!E$6:E$25,0,0,1),0)</f>
        <v>0</v>
      </c>
      <c r="D8" s="357">
        <f>IFERROR(_xlfn.XLOOKUP($B8,'Air Quality'!B$5:B$34,'Air Quality'!D$5:D$34,0,0,1),0)</f>
        <v>0</v>
      </c>
      <c r="E8" s="430">
        <f>IFERROR(_xlfn.XLOOKUP($B8,'Air Quality'!B$5:B$34,'Air Quality'!M$5:M$34,0,0,1),0)</f>
        <v>0</v>
      </c>
      <c r="F8" s="441">
        <f>IFERROR(_xlfn.XLOOKUP($B8,'Air Quality'!B$5:B$34,'Air Quality'!E$5:E$34,0,0,1),0)</f>
        <v>0</v>
      </c>
      <c r="G8" s="357">
        <f>IFERROR(_xlfn.XLOOKUP($B8,'Safety Benefits - Mainline'!B$7:B$26,'Safety Benefits - Mainline'!E$7:E$26,0,0,1),0)</f>
        <v>0</v>
      </c>
      <c r="H8" s="441">
        <f>IFERROR(_xlfn.XLOOKUP($B8,'Safety Benefits - Interchange'!B$7:B$26,'Safety Benefits - Interchange'!E$7:E$26,0,0,1),0)</f>
        <v>0</v>
      </c>
      <c r="I8" s="357">
        <f>IFERROR(_xlfn.XLOOKUP($B8,'Operating and Maintenance Costs'!B$5:B$34,'Operating and Maintenance Costs'!E$5:E$34,0,0,1),0)</f>
        <v>1920427.1821691999</v>
      </c>
      <c r="J8" s="431">
        <f>IFERROR(_xlfn.XLOOKUP($B8,'Capital Cost and RCV Calc'!B$5:B$37,'Capital Cost and RCV Calc'!G$5:G$37,0,0,1),0)</f>
        <v>0</v>
      </c>
      <c r="K8" s="441">
        <f t="shared" ref="K8:K39" si="0">IFERROR(SUM(C8:E8,G8:J8),0)</f>
        <v>1920427.1821691999</v>
      </c>
      <c r="L8" s="358">
        <f>IFERROR(SUM(C8,E8,G8:J8)*(1+0.07)^-($B8-Assumptions!$D$4)+F8,0)</f>
        <v>1369238.0395914046</v>
      </c>
    </row>
    <row r="9" spans="2:18" ht="15" customHeight="1" x14ac:dyDescent="0.25">
      <c r="B9" s="197">
        <f>B8+1</f>
        <v>2026</v>
      </c>
      <c r="C9" s="358">
        <f>IFERROR(_xlfn.XLOOKUP($B9,'Travel Time - Interchange'!B$6:B$25,'Travel Time - Interchange'!E$6:E$25,0,0,1),0)</f>
        <v>0</v>
      </c>
      <c r="D9" s="357">
        <f>IFERROR(_xlfn.XLOOKUP($B9,'Air Quality'!B$5:B$34,'Air Quality'!D$5:D$34,0,0,1),0)</f>
        <v>0</v>
      </c>
      <c r="E9" s="430">
        <f>IFERROR(_xlfn.XLOOKUP($B9,'Air Quality'!B$5:B$34,'Air Quality'!M$5:M$34,0,0,1),0)</f>
        <v>0</v>
      </c>
      <c r="F9" s="441">
        <f>IFERROR(_xlfn.XLOOKUP($B9,'Air Quality'!B$5:B$34,'Air Quality'!E$5:E$34,0,0,1),0)</f>
        <v>0</v>
      </c>
      <c r="G9" s="357">
        <f>IFERROR(_xlfn.XLOOKUP($B9,'Safety Benefits - Mainline'!B$7:B$26,'Safety Benefits - Mainline'!E$7:E$26,0,0,1),0)</f>
        <v>0</v>
      </c>
      <c r="H9" s="441">
        <f>IFERROR(_xlfn.XLOOKUP($B9,'Safety Benefits - Interchange'!B$7:B$26,'Safety Benefits - Interchange'!E$7:E$26,0,0,1),0)</f>
        <v>0</v>
      </c>
      <c r="I9" s="357">
        <f>IFERROR(_xlfn.XLOOKUP($B9,'Operating and Maintenance Costs'!B$5:B$34,'Operating and Maintenance Costs'!E$5:E$34,0,0,1),0)</f>
        <v>0</v>
      </c>
      <c r="J9" s="431">
        <f>IFERROR(_xlfn.XLOOKUP($B9,'Capital Cost and RCV Calc'!B$5:B$37,'Capital Cost and RCV Calc'!G$5:G$37,0,0,1),0)</f>
        <v>0</v>
      </c>
      <c r="K9" s="441">
        <f t="shared" si="0"/>
        <v>0</v>
      </c>
      <c r="L9" s="358">
        <f>IFERROR(SUM(C9,E9,G9:J9)*(1+0.07)^-($B9-Assumptions!$D$4)+F9,0)</f>
        <v>0</v>
      </c>
      <c r="M9" s="205"/>
      <c r="N9" s="205"/>
    </row>
    <row r="10" spans="2:18" ht="15" customHeight="1" thickBot="1" x14ac:dyDescent="0.3">
      <c r="B10" s="295">
        <f>B9+1</f>
        <v>2027</v>
      </c>
      <c r="C10" s="360">
        <f>IFERROR(_xlfn.XLOOKUP($B10,'Travel Time - Interchange'!B$6:B$25,'Travel Time - Interchange'!E$6:E$25,0,0,1),0)</f>
        <v>0</v>
      </c>
      <c r="D10" s="359">
        <f>IFERROR(_xlfn.XLOOKUP($B10,'Air Quality'!B$5:B$34,'Air Quality'!D$5:D$34,0,0,1),0)</f>
        <v>0</v>
      </c>
      <c r="E10" s="432">
        <f>IFERROR(_xlfn.XLOOKUP($B10,'Air Quality'!B$5:B$34,'Air Quality'!M$5:M$34,0,0,1),0)</f>
        <v>0</v>
      </c>
      <c r="F10" s="442">
        <f>IFERROR(_xlfn.XLOOKUP($B10,'Air Quality'!B$5:B$34,'Air Quality'!E$5:E$34,0,0,1),0)</f>
        <v>0</v>
      </c>
      <c r="G10" s="359">
        <f>IFERROR(_xlfn.XLOOKUP($B10,'Safety Benefits - Mainline'!B$7:B$26,'Safety Benefits - Mainline'!E$7:E$26,0,0,1),0)</f>
        <v>0</v>
      </c>
      <c r="H10" s="442">
        <f>IFERROR(_xlfn.XLOOKUP($B10,'Safety Benefits - Interchange'!B$7:B$26,'Safety Benefits - Interchange'!E$7:E$26,0,0,1),0)</f>
        <v>0</v>
      </c>
      <c r="I10" s="359">
        <f>IFERROR(_xlfn.XLOOKUP($B10,'Operating and Maintenance Costs'!B$5:B$34,'Operating and Maintenance Costs'!E$5:E$34,0,0,1),0)</f>
        <v>20564.318352104227</v>
      </c>
      <c r="J10" s="433">
        <f>IFERROR(_xlfn.XLOOKUP($B10,'Capital Cost and RCV Calc'!B$5:B$37,'Capital Cost and RCV Calc'!G$5:G$37,0,0,1),0)</f>
        <v>0</v>
      </c>
      <c r="K10" s="442">
        <f t="shared" si="0"/>
        <v>20564.318352104227</v>
      </c>
      <c r="L10" s="360">
        <f>IFERROR(SUM(C10,E10,G10:J10)*(1+0.07)^-($B10-Assumptions!$D$4)+F10,0)</f>
        <v>12806.423945805467</v>
      </c>
      <c r="M10" s="205"/>
    </row>
    <row r="11" spans="2:18" ht="15" customHeight="1" thickTop="1" x14ac:dyDescent="0.25">
      <c r="B11" s="449">
        <f t="shared" ref="B11:B39" si="1">B10+1</f>
        <v>2028</v>
      </c>
      <c r="C11" s="450">
        <f>IFERROR(_xlfn.XLOOKUP($B11,'Travel Time - Interchange'!B$6:B$25,'Travel Time - Interchange'!E$6:E$25,0,0,1),0)</f>
        <v>4836.7037073593092</v>
      </c>
      <c r="D11" s="451">
        <f>IFERROR(_xlfn.XLOOKUP($B11,'Air Quality'!B$5:B$34,'Air Quality'!D$5:D$34,0,0,1),0)</f>
        <v>298.0326581318339</v>
      </c>
      <c r="E11" s="452">
        <f>IFERROR(_xlfn.XLOOKUP($B11,'Air Quality'!B$5:B$34,'Air Quality'!M$5:M$34,0,0,1),0)</f>
        <v>218.85287993030448</v>
      </c>
      <c r="F11" s="453">
        <f>IFERROR(_xlfn.XLOOKUP($B11,'Air Quality'!B$5:B$34,'Air Quality'!E$5:E$34,0,0,1),0)</f>
        <v>235.26973245639797</v>
      </c>
      <c r="G11" s="454">
        <f>IFERROR(_xlfn.XLOOKUP($B11,'Safety Benefits - Mainline'!B$7:B$26,'Safety Benefits - Mainline'!E$7:E$26,0,0,1),0)</f>
        <v>4919741.5642858744</v>
      </c>
      <c r="H11" s="461">
        <f>IFERROR(_xlfn.XLOOKUP($B11,'Safety Benefits - Interchange'!B$7:B$26,'Safety Benefits - Interchange'!E$7:E$26,0,0,1),0)</f>
        <v>1252458.2829773352</v>
      </c>
      <c r="I11" s="454">
        <f>IFERROR(_xlfn.XLOOKUP($B11,'Operating and Maintenance Costs'!B$5:B$34,'Operating and Maintenance Costs'!E$5:E$34,0,0,1),0)</f>
        <v>21249.795630507699</v>
      </c>
      <c r="J11" s="455">
        <f>IFERROR(_xlfn.XLOOKUP($B11,'Capital Cost and RCV Calc'!B$5:B$37,'Capital Cost and RCV Calc'!G$5:G$37,0,0,1),0)</f>
        <v>0</v>
      </c>
      <c r="K11" s="453">
        <f t="shared" si="0"/>
        <v>6198803.2321391394</v>
      </c>
      <c r="L11" s="450">
        <f>IFERROR(SUM(C11,E11,G11:J11)*(1+0.07)^-($B11-Assumptions!$D$4)+F11,0)</f>
        <v>3607821.730524132</v>
      </c>
    </row>
    <row r="12" spans="2:18" ht="15" customHeight="1" x14ac:dyDescent="0.25">
      <c r="B12" s="31">
        <f t="shared" si="1"/>
        <v>2029</v>
      </c>
      <c r="C12" s="208">
        <f>IFERROR(_xlfn.XLOOKUP($B12,'Travel Time - Interchange'!B$6:B$25,'Travel Time - Interchange'!E$6:E$25,0,0,1),0)</f>
        <v>5244.197041334648</v>
      </c>
      <c r="D12" s="436">
        <f>IFERROR(_xlfn.XLOOKUP($B12,'Air Quality'!B$5:B$34,'Air Quality'!D$5:D$34,0,0,1),0)</f>
        <v>315.18585421854698</v>
      </c>
      <c r="E12" s="437">
        <f>IFERROR(_xlfn.XLOOKUP($B12,'Air Quality'!B$5:B$34,'Air Quality'!M$5:M$34,0,0,1),0)</f>
        <v>231.55832629669021</v>
      </c>
      <c r="F12" s="444">
        <f>IFERROR(_xlfn.XLOOKUP($B12,'Air Quality'!B$5:B$34,'Air Quality'!E$5:E$34,0,0,1),0)</f>
        <v>241.56371247111355</v>
      </c>
      <c r="G12" s="357">
        <f>IFERROR(_xlfn.XLOOKUP($B12,'Safety Benefits - Mainline'!B$7:B$26,'Safety Benefits - Mainline'!E$7:E$26,0,0,1),0)</f>
        <v>4928848.1143638194</v>
      </c>
      <c r="H12" s="441">
        <f>IFERROR(_xlfn.XLOOKUP($B12,'Safety Benefits - Interchange'!B$7:B$26,'Safety Benefits - Interchange'!E$7:E$26,0,0,1),0)</f>
        <v>1256941.4446083978</v>
      </c>
      <c r="I12" s="357">
        <f>IFERROR(_xlfn.XLOOKUP($B12,'Operating and Maintenance Costs'!B$5:B$34,'Operating and Maintenance Costs'!E$5:E$34,0,0,1),0)</f>
        <v>22165.724170771478</v>
      </c>
      <c r="J12" s="431">
        <f>IFERROR(_xlfn.XLOOKUP($B12,'Capital Cost and RCV Calc'!B$5:B$37,'Capital Cost and RCV Calc'!G$5:G$37,0,0,1),0)</f>
        <v>0</v>
      </c>
      <c r="K12" s="444">
        <f t="shared" si="0"/>
        <v>6213746.2243648386</v>
      </c>
      <c r="L12" s="208">
        <f>IFERROR(SUM(C12,E12,G12:J12)*(1+0.07)^-($B12-Assumptions!$D$4)+F12,0)</f>
        <v>3379936.3627780625</v>
      </c>
    </row>
    <row r="13" spans="2:18" ht="15" customHeight="1" x14ac:dyDescent="0.25">
      <c r="B13" s="31">
        <f t="shared" si="1"/>
        <v>2030</v>
      </c>
      <c r="C13" s="208">
        <f>IFERROR(_xlfn.XLOOKUP($B13,'Travel Time - Interchange'!B$6:B$25,'Travel Time - Interchange'!E$6:E$25,0,0,1),0)</f>
        <v>5664.0669173316901</v>
      </c>
      <c r="D13" s="436">
        <f>IFERROR(_xlfn.XLOOKUP($B13,'Air Quality'!B$5:B$34,'Air Quality'!D$5:D$34,0,0,1),0)</f>
        <v>332.86029015662939</v>
      </c>
      <c r="E13" s="437">
        <f>IFERROR(_xlfn.XLOOKUP($B13,'Air Quality'!B$5:B$34,'Air Quality'!M$5:M$34,0,0,1),0)</f>
        <v>245.42428253937629</v>
      </c>
      <c r="F13" s="444">
        <f>IFERROR(_xlfn.XLOOKUP($B13,'Air Quality'!B$5:B$34,'Air Quality'!E$5:E$34,0,0,1),0)</f>
        <v>247.67931641630622</v>
      </c>
      <c r="G13" s="357">
        <f>IFERROR(_xlfn.XLOOKUP($B13,'Safety Benefits - Mainline'!B$7:B$26,'Safety Benefits - Mainline'!E$7:E$26,0,0,1),0)</f>
        <v>4937954.6644417495</v>
      </c>
      <c r="H13" s="441">
        <f>IFERROR(_xlfn.XLOOKUP($B13,'Safety Benefits - Interchange'!B$7:B$26,'Safety Benefits - Interchange'!E$7:E$26,0,0,1),0)</f>
        <v>1261424.6062394679</v>
      </c>
      <c r="I13" s="357">
        <f>IFERROR(_xlfn.XLOOKUP($B13,'Operating and Maintenance Costs'!B$5:B$34,'Operating and Maintenance Costs'!E$5:E$34,0,0,1),0)</f>
        <v>21349.235350000425</v>
      </c>
      <c r="J13" s="431">
        <f>IFERROR(_xlfn.XLOOKUP($B13,'Capital Cost and RCV Calc'!B$5:B$37,'Capital Cost and RCV Calc'!G$5:G$37,0,0,1),0)</f>
        <v>0</v>
      </c>
      <c r="K13" s="444">
        <f t="shared" si="0"/>
        <v>6226970.8575212453</v>
      </c>
      <c r="L13" s="208">
        <f>IFERROR(SUM(C13,E13,G13:J13)*(1+0.07)^-($B13-Assumptions!$D$4)+F13,0)</f>
        <v>3165554.6975879776</v>
      </c>
    </row>
    <row r="14" spans="2:18" ht="15" customHeight="1" x14ac:dyDescent="0.25">
      <c r="B14" s="31">
        <f t="shared" si="1"/>
        <v>2031</v>
      </c>
      <c r="C14" s="208">
        <f>IFERROR(_xlfn.XLOOKUP($B14,'Travel Time - Interchange'!B$6:B$25,'Travel Time - Interchange'!E$6:E$25,0,0,1),0)</f>
        <v>6096.3133353477278</v>
      </c>
      <c r="D14" s="436">
        <f>IFERROR(_xlfn.XLOOKUP($B14,'Air Quality'!B$5:B$34,'Air Quality'!D$5:D$34,0,0,1),0)</f>
        <v>350.93819237604248</v>
      </c>
      <c r="E14" s="437">
        <f>IFERROR(_xlfn.XLOOKUP($B14,'Air Quality'!B$5:B$34,'Air Quality'!M$5:M$34,0,0,1),0)</f>
        <v>254.64626903690697</v>
      </c>
      <c r="F14" s="444">
        <f>IFERROR(_xlfn.XLOOKUP($B14,'Air Quality'!B$5:B$34,'Air Quality'!E$5:E$34,0,0,1),0)</f>
        <v>253.52521694356264</v>
      </c>
      <c r="G14" s="357">
        <f>IFERROR(_xlfn.XLOOKUP($B14,'Safety Benefits - Mainline'!B$7:B$26,'Safety Benefits - Mainline'!E$7:E$26,0,0,1),0)</f>
        <v>4947061.2145196944</v>
      </c>
      <c r="H14" s="441">
        <f>IFERROR(_xlfn.XLOOKUP($B14,'Safety Benefits - Interchange'!B$7:B$26,'Safety Benefits - Interchange'!E$7:E$26,0,0,1),0)</f>
        <v>1265907.7678705305</v>
      </c>
      <c r="I14" s="357">
        <f>IFERROR(_xlfn.XLOOKUP($B14,'Operating and Maintenance Costs'!B$5:B$34,'Operating and Maintenance Costs'!E$5:E$34,0,0,1),0)</f>
        <v>26022.095586741805</v>
      </c>
      <c r="J14" s="431">
        <f>IFERROR(_xlfn.XLOOKUP($B14,'Capital Cost and RCV Calc'!B$5:B$37,'Capital Cost and RCV Calc'!G$5:G$37,0,0,1),0)</f>
        <v>0</v>
      </c>
      <c r="K14" s="444">
        <f t="shared" si="0"/>
        <v>6245692.9757737266</v>
      </c>
      <c r="L14" s="208">
        <f>IFERROR(SUM(C14,E14,G14:J14)*(1+0.07)^-($B14-Assumptions!$D$4)+F14,0)</f>
        <v>2967370.538248416</v>
      </c>
    </row>
    <row r="15" spans="2:18" ht="15" customHeight="1" x14ac:dyDescent="0.25">
      <c r="B15" s="31">
        <f t="shared" si="1"/>
        <v>2032</v>
      </c>
      <c r="C15" s="208">
        <f>IFERROR(_xlfn.XLOOKUP($B15,'Travel Time - Interchange'!B$6:B$25,'Travel Time - Interchange'!E$6:E$25,0,0,1),0)</f>
        <v>6540.9362953861501</v>
      </c>
      <c r="D15" s="436">
        <f>IFERROR(_xlfn.XLOOKUP($B15,'Air Quality'!B$5:B$34,'Air Quality'!D$5:D$34,0,0,1),0)</f>
        <v>369.41956087679472</v>
      </c>
      <c r="E15" s="437">
        <f>IFERROR(_xlfn.XLOOKUP($B15,'Air Quality'!B$5:B$34,'Air Quality'!M$5:M$34,0,0,1),0)</f>
        <v>263.86825553444078</v>
      </c>
      <c r="F15" s="444">
        <f>IFERROR(_xlfn.XLOOKUP($B15,'Air Quality'!B$5:B$34,'Air Quality'!E$5:E$34,0,0,1),0)</f>
        <v>259.10344734870705</v>
      </c>
      <c r="G15" s="357">
        <f>IFERROR(_xlfn.XLOOKUP($B15,'Safety Benefits - Mainline'!B$7:B$26,'Safety Benefits - Mainline'!E$7:E$26,0,0,1),0)</f>
        <v>4956167.7645976245</v>
      </c>
      <c r="H15" s="441">
        <f>IFERROR(_xlfn.XLOOKUP($B15,'Safety Benefits - Interchange'!B$7:B$26,'Safety Benefits - Interchange'!E$7:E$26,0,0,1),0)</f>
        <v>1270390.9295015931</v>
      </c>
      <c r="I15" s="357">
        <f>IFERROR(_xlfn.XLOOKUP($B15,'Operating and Maintenance Costs'!B$5:B$34,'Operating and Maintenance Costs'!E$5:E$34,0,0,1),0)</f>
        <v>26431.607479067567</v>
      </c>
      <c r="J15" s="431">
        <f>IFERROR(_xlfn.XLOOKUP($B15,'Capital Cost and RCV Calc'!B$5:B$37,'Capital Cost and RCV Calc'!G$5:G$37,0,0,1),0)</f>
        <v>0</v>
      </c>
      <c r="K15" s="444">
        <f t="shared" si="0"/>
        <v>6260164.5256900825</v>
      </c>
      <c r="L15" s="208">
        <f>IFERROR(SUM(C15,E15,G15:J15)*(1+0.07)^-($B15-Assumptions!$D$4)+F15,0)</f>
        <v>2779682.9929653439</v>
      </c>
    </row>
    <row r="16" spans="2:18" ht="15" customHeight="1" x14ac:dyDescent="0.25">
      <c r="B16" s="31">
        <f t="shared" si="1"/>
        <v>2033</v>
      </c>
      <c r="C16" s="208">
        <f>IFERROR(_xlfn.XLOOKUP($B16,'Travel Time - Interchange'!B$6:B$25,'Travel Time - Interchange'!E$6:E$25,0,0,1),0)</f>
        <v>6997.9357974460154</v>
      </c>
      <c r="D16" s="436">
        <f>IFERROR(_xlfn.XLOOKUP($B16,'Air Quality'!B$5:B$34,'Air Quality'!D$5:D$34,0,0,1),0)</f>
        <v>388.30439565887758</v>
      </c>
      <c r="E16" s="437">
        <f>IFERROR(_xlfn.XLOOKUP($B16,'Air Quality'!B$5:B$34,'Air Quality'!M$5:M$34,0,0,1),0)</f>
        <v>273.0902420319714</v>
      </c>
      <c r="F16" s="444">
        <f>IFERROR(_xlfn.XLOOKUP($B16,'Air Quality'!B$5:B$34,'Air Quality'!E$5:E$34,0,0,1),0)</f>
        <v>264.41639854915383</v>
      </c>
      <c r="G16" s="357">
        <f>IFERROR(_xlfn.XLOOKUP($B16,'Safety Benefits - Mainline'!B$7:B$26,'Safety Benefits - Mainline'!E$7:E$26,0,0,1),0)</f>
        <v>4965274.3146755695</v>
      </c>
      <c r="H16" s="441">
        <f>IFERROR(_xlfn.XLOOKUP($B16,'Safety Benefits - Interchange'!B$7:B$26,'Safety Benefits - Interchange'!E$7:E$26,0,0,1),0)</f>
        <v>1274874.0911326706</v>
      </c>
      <c r="I16" s="357">
        <f>IFERROR(_xlfn.XLOOKUP($B16,'Operating and Maintenance Costs'!B$5:B$34,'Operating and Maintenance Costs'!E$5:E$34,0,0,1),0)</f>
        <v>23564.102427739803</v>
      </c>
      <c r="J16" s="431">
        <f>IFERROR(_xlfn.XLOOKUP($B16,'Capital Cost and RCV Calc'!B$5:B$37,'Capital Cost and RCV Calc'!G$5:G$37,0,0,1),0)</f>
        <v>0</v>
      </c>
      <c r="K16" s="444">
        <f t="shared" si="0"/>
        <v>6271371.8386711171</v>
      </c>
      <c r="L16" s="208">
        <f>IFERROR(SUM(C16,E16,G16:J16)*(1+0.07)^-($B16-Assumptions!$D$4)+F16,0)</f>
        <v>2602499.6364172748</v>
      </c>
    </row>
    <row r="17" spans="2:12" ht="15" customHeight="1" x14ac:dyDescent="0.25">
      <c r="B17" s="31">
        <f t="shared" si="1"/>
        <v>2034</v>
      </c>
      <c r="C17" s="208">
        <f>IFERROR(_xlfn.XLOOKUP($B17,'Travel Time - Interchange'!B$6:B$25,'Travel Time - Interchange'!E$6:E$25,0,0,1),0)</f>
        <v>7467.311841526538</v>
      </c>
      <c r="D17" s="436">
        <f>IFERROR(_xlfn.XLOOKUP($B17,'Air Quality'!B$5:B$34,'Air Quality'!D$5:D$34,0,0,1),0)</f>
        <v>407.59269672229533</v>
      </c>
      <c r="E17" s="437">
        <f>IFERROR(_xlfn.XLOOKUP($B17,'Air Quality'!B$5:B$34,'Air Quality'!M$5:M$34,0,0,1),0)</f>
        <v>282.31222852950214</v>
      </c>
      <c r="F17" s="444">
        <f>IFERROR(_xlfn.XLOOKUP($B17,'Air Quality'!B$5:B$34,'Air Quality'!E$5:E$34,0,0,1),0)</f>
        <v>269.46678932473782</v>
      </c>
      <c r="G17" s="357">
        <f>IFERROR(_xlfn.XLOOKUP($B17,'Safety Benefits - Mainline'!B$7:B$26,'Safety Benefits - Mainline'!E$7:E$26,0,0,1),0)</f>
        <v>4974380.8647535145</v>
      </c>
      <c r="H17" s="441">
        <f>IFERROR(_xlfn.XLOOKUP($B17,'Safety Benefits - Interchange'!B$7:B$26,'Safety Benefits - Interchange'!E$7:E$26,0,0,1),0)</f>
        <v>1279357.2527637333</v>
      </c>
      <c r="I17" s="357">
        <f>IFERROR(_xlfn.XLOOKUP($B17,'Operating and Maintenance Costs'!B$5:B$34,'Operating and Maintenance Costs'!E$5:E$34,0,0,1),0)</f>
        <v>23882.586071630743</v>
      </c>
      <c r="J17" s="431">
        <f>IFERROR(_xlfn.XLOOKUP($B17,'Capital Cost and RCV Calc'!B$5:B$37,'Capital Cost and RCV Calc'!G$5:G$37,0,0,1),0)</f>
        <v>0</v>
      </c>
      <c r="K17" s="444">
        <f t="shared" si="0"/>
        <v>6285777.9203556571</v>
      </c>
      <c r="L17" s="208">
        <f>IFERROR(SUM(C17,E17,G17:J17)*(1+0.07)^-($B17-Assumptions!$D$4)+F17,0)</f>
        <v>2437844.4460341721</v>
      </c>
    </row>
    <row r="18" spans="2:12" ht="15" customHeight="1" x14ac:dyDescent="0.25">
      <c r="B18" s="31">
        <f t="shared" si="1"/>
        <v>2035</v>
      </c>
      <c r="C18" s="208">
        <f>IFERROR(_xlfn.XLOOKUP($B18,'Travel Time - Interchange'!B$6:B$25,'Travel Time - Interchange'!E$6:E$25,0,0,1),0)</f>
        <v>7949.0644276269886</v>
      </c>
      <c r="D18" s="436">
        <f>IFERROR(_xlfn.XLOOKUP($B18,'Air Quality'!B$5:B$34,'Air Quality'!D$5:D$34,0,0,1),0)</f>
        <v>427.2844640670524</v>
      </c>
      <c r="E18" s="437">
        <f>IFERROR(_xlfn.XLOOKUP($B18,'Air Quality'!B$5:B$34,'Air Quality'!M$5:M$34,0,0,1),0)</f>
        <v>291.53421502703588</v>
      </c>
      <c r="F18" s="444">
        <f>IFERROR(_xlfn.XLOOKUP($B18,'Air Quality'!B$5:B$34,'Air Quality'!E$5:E$34,0,0,1),0)</f>
        <v>274.2576381984411</v>
      </c>
      <c r="G18" s="357">
        <f>IFERROR(_xlfn.XLOOKUP($B18,'Safety Benefits - Mainline'!B$7:B$26,'Safety Benefits - Mainline'!E$7:E$26,0,0,1),0)</f>
        <v>4983487.4148314595</v>
      </c>
      <c r="H18" s="441">
        <f>IFERROR(_xlfn.XLOOKUP($B18,'Safety Benefits - Interchange'!B$7:B$26,'Safety Benefits - Interchange'!E$7:E$26,0,0,1),0)</f>
        <v>1283840.4143947959</v>
      </c>
      <c r="I18" s="357">
        <f>IFERROR(_xlfn.XLOOKUP($B18,'Operating and Maintenance Costs'!B$5:B$34,'Operating and Maintenance Costs'!E$5:E$34,0,0,1),0)</f>
        <v>24201.069715521684</v>
      </c>
      <c r="J18" s="431">
        <f>IFERROR(_xlfn.XLOOKUP($B18,'Capital Cost and RCV Calc'!B$5:B$37,'Capital Cost and RCV Calc'!G$5:G$37,0,0,1),0)</f>
        <v>0</v>
      </c>
      <c r="K18" s="444">
        <f t="shared" si="0"/>
        <v>6300196.7820484973</v>
      </c>
      <c r="L18" s="208">
        <f>IFERROR(SUM(C18,E18,G18:J18)*(1+0.07)^-($B18-Assumptions!$D$4)+F18,0)</f>
        <v>2283600.636702023</v>
      </c>
    </row>
    <row r="19" spans="2:12" ht="15" customHeight="1" x14ac:dyDescent="0.25">
      <c r="B19" s="31">
        <f t="shared" si="1"/>
        <v>2036</v>
      </c>
      <c r="C19" s="208">
        <f>IFERROR(_xlfn.XLOOKUP($B19,'Travel Time - Interchange'!B$6:B$25,'Travel Time - Interchange'!E$6:E$25,0,0,1),0)</f>
        <v>8443.1935557495872</v>
      </c>
      <c r="D19" s="436">
        <f>IFERROR(_xlfn.XLOOKUP($B19,'Air Quality'!B$5:B$34,'Air Quality'!D$5:D$34,0,0,1),0)</f>
        <v>453.95881089450961</v>
      </c>
      <c r="E19" s="437">
        <f>IFERROR(_xlfn.XLOOKUP($B19,'Air Quality'!B$5:B$34,'Air Quality'!M$5:M$34,0,0,1),0)</f>
        <v>300.75620152456656</v>
      </c>
      <c r="F19" s="444">
        <f>IFERROR(_xlfn.XLOOKUP($B19,'Air Quality'!B$5:B$34,'Air Quality'!E$5:E$34,0,0,1),0)</f>
        <v>282.89212271713427</v>
      </c>
      <c r="G19" s="357">
        <f>IFERROR(_xlfn.XLOOKUP($B19,'Safety Benefits - Mainline'!B$7:B$26,'Safety Benefits - Mainline'!E$7:E$26,0,0,1),0)</f>
        <v>4992593.9649094045</v>
      </c>
      <c r="H19" s="441">
        <f>IFERROR(_xlfn.XLOOKUP($B19,'Safety Benefits - Interchange'!B$7:B$26,'Safety Benefits - Interchange'!E$7:E$26,0,0,1),0)</f>
        <v>1288323.576025866</v>
      </c>
      <c r="I19" s="357">
        <f>IFERROR(_xlfn.XLOOKUP($B19,'Operating and Maintenance Costs'!B$5:B$34,'Operating and Maintenance Costs'!E$5:E$34,0,0,1),0)</f>
        <v>3355422.4162626625</v>
      </c>
      <c r="J19" s="431">
        <f>IFERROR(_xlfn.XLOOKUP($B19,'Capital Cost and RCV Calc'!B$5:B$37,'Capital Cost and RCV Calc'!G$5:G$37,0,0,1),0)</f>
        <v>0</v>
      </c>
      <c r="K19" s="444">
        <f t="shared" si="0"/>
        <v>9645537.8657661024</v>
      </c>
      <c r="L19" s="208">
        <f>IFERROR(SUM(C19,E19,G19:J19)*(1+0.07)^-($B19-Assumptions!$D$4)+F19,0)</f>
        <v>3267406.5100596277</v>
      </c>
    </row>
    <row r="20" spans="2:12" ht="15" customHeight="1" x14ac:dyDescent="0.25">
      <c r="B20" s="31">
        <f t="shared" si="1"/>
        <v>2037</v>
      </c>
      <c r="C20" s="208">
        <f>IFERROR(_xlfn.XLOOKUP($B20,'Travel Time - Interchange'!B$6:B$25,'Travel Time - Interchange'!E$6:E$25,0,0,1),0)</f>
        <v>8949.6992258936243</v>
      </c>
      <c r="D20" s="436">
        <f>IFERROR(_xlfn.XLOOKUP($B20,'Air Quality'!B$5:B$34,'Air Quality'!D$5:D$34,0,0,1),0)</f>
        <v>474.65924394260412</v>
      </c>
      <c r="E20" s="437">
        <f>IFERROR(_xlfn.XLOOKUP($B20,'Air Quality'!B$5:B$34,'Air Quality'!M$5:M$34,0,0,1),0)</f>
        <v>309.97818802210037</v>
      </c>
      <c r="F20" s="444">
        <f>IFERROR(_xlfn.XLOOKUP($B20,'Air Quality'!B$5:B$34,'Air Quality'!E$5:E$34,0,0,1),0)</f>
        <v>287.17664875752058</v>
      </c>
      <c r="G20" s="357">
        <f>IFERROR(_xlfn.XLOOKUP($B20,'Safety Benefits - Mainline'!B$7:B$26,'Safety Benefits - Mainline'!E$7:E$26,0,0,1),0)</f>
        <v>5001700.5149873346</v>
      </c>
      <c r="H20" s="441">
        <f>IFERROR(_xlfn.XLOOKUP($B20,'Safety Benefits - Interchange'!B$7:B$26,'Safety Benefits - Interchange'!E$7:E$26,0,0,1),0)</f>
        <v>1292806.7376569286</v>
      </c>
      <c r="I20" s="357">
        <f>IFERROR(_xlfn.XLOOKUP($B20,'Operating and Maintenance Costs'!B$5:B$34,'Operating and Maintenance Costs'!E$5:E$34,0,0,1),0)</f>
        <v>-7259.2147485995756</v>
      </c>
      <c r="J20" s="431">
        <f>IFERROR(_xlfn.XLOOKUP($B20,'Capital Cost and RCV Calc'!B$5:B$37,'Capital Cost and RCV Calc'!G$5:G$37,0,0,1),0)</f>
        <v>0</v>
      </c>
      <c r="K20" s="444">
        <f t="shared" si="0"/>
        <v>6296982.3745535221</v>
      </c>
      <c r="L20" s="208">
        <f>IFERROR(SUM(C20,E20,G20:J20)*(1+0.07)^-($B20-Assumptions!$D$4)+F20,0)</f>
        <v>1993600.2686754544</v>
      </c>
    </row>
    <row r="21" spans="2:12" ht="15" customHeight="1" x14ac:dyDescent="0.25">
      <c r="B21" s="31">
        <f t="shared" si="1"/>
        <v>2038</v>
      </c>
      <c r="C21" s="208">
        <f>IFERROR(_xlfn.XLOOKUP($B21,'Travel Time - Interchange'!B$6:B$25,'Travel Time - Interchange'!E$6:E$25,0,0,1),0)</f>
        <v>9468.5814380582942</v>
      </c>
      <c r="D21" s="436">
        <f>IFERROR(_xlfn.XLOOKUP($B21,'Air Quality'!B$5:B$34,'Air Quality'!D$5:D$34,0,0,1),0)</f>
        <v>495.76314327202886</v>
      </c>
      <c r="E21" s="437">
        <f>IFERROR(_xlfn.XLOOKUP($B21,'Air Quality'!B$5:B$34,'Air Quality'!M$5:M$34,0,0,1),0)</f>
        <v>319.20017451963105</v>
      </c>
      <c r="F21" s="444">
        <f>IFERROR(_xlfn.XLOOKUP($B21,'Air Quality'!B$5:B$34,'Air Quality'!E$5:E$34,0,0,1),0)</f>
        <v>291.20859701288833</v>
      </c>
      <c r="G21" s="357">
        <f>IFERROR(_xlfn.XLOOKUP($B21,'Safety Benefits - Mainline'!B$7:B$26,'Safety Benefits - Mainline'!E$7:E$26,0,0,1),0)</f>
        <v>5010807.0650652796</v>
      </c>
      <c r="H21" s="441">
        <f>IFERROR(_xlfn.XLOOKUP($B21,'Safety Benefits - Interchange'!B$7:B$26,'Safety Benefits - Interchange'!E$7:E$26,0,0,1),0)</f>
        <v>1297289.8992879912</v>
      </c>
      <c r="I21" s="357">
        <f>IFERROR(_xlfn.XLOOKUP($B21,'Operating and Maintenance Costs'!B$5:B$34,'Operating and Maintenance Costs'!E$5:E$34,0,0,1),0)</f>
        <v>11215.371560955413</v>
      </c>
      <c r="J21" s="431">
        <f>IFERROR(_xlfn.XLOOKUP($B21,'Capital Cost and RCV Calc'!B$5:B$37,'Capital Cost and RCV Calc'!G$5:G$37,0,0,1),0)</f>
        <v>0</v>
      </c>
      <c r="K21" s="444">
        <f t="shared" si="0"/>
        <v>6329595.8806700762</v>
      </c>
      <c r="L21" s="208">
        <f>IFERROR(SUM(C21,E21,G21:J21)*(1+0.07)^-($B21-Assumptions!$D$4)+F21,0)</f>
        <v>1872843.5561599808</v>
      </c>
    </row>
    <row r="22" spans="2:12" ht="15" customHeight="1" x14ac:dyDescent="0.25">
      <c r="B22" s="31">
        <f t="shared" si="1"/>
        <v>2039</v>
      </c>
      <c r="C22" s="208">
        <f>IFERROR(_xlfn.XLOOKUP($B22,'Travel Time - Interchange'!B$6:B$25,'Travel Time - Interchange'!E$6:E$25,0,0,1),0)</f>
        <v>9999.8401922427875</v>
      </c>
      <c r="D22" s="436">
        <f>IFERROR(_xlfn.XLOOKUP($B22,'Air Quality'!B$5:B$34,'Air Quality'!D$5:D$34,0,0,1),0)</f>
        <v>517.27050888279337</v>
      </c>
      <c r="E22" s="437">
        <f>IFERROR(_xlfn.XLOOKUP($B22,'Air Quality'!B$5:B$34,'Air Quality'!M$5:M$34,0,0,1),0)</f>
        <v>328.4221610171648</v>
      </c>
      <c r="F22" s="444">
        <f>IFERROR(_xlfn.XLOOKUP($B22,'Air Quality'!B$5:B$34,'Air Quality'!E$5:E$34,0,0,1),0)</f>
        <v>294.99214329775077</v>
      </c>
      <c r="G22" s="357">
        <f>IFERROR(_xlfn.XLOOKUP($B22,'Safety Benefits - Mainline'!B$7:B$26,'Safety Benefits - Mainline'!E$7:E$26,0,0,1),0)</f>
        <v>5019913.6151432097</v>
      </c>
      <c r="H22" s="441">
        <f>IFERROR(_xlfn.XLOOKUP($B22,'Safety Benefits - Interchange'!B$7:B$26,'Safety Benefits - Interchange'!E$7:E$26,0,0,1),0)</f>
        <v>1301773.0609190688</v>
      </c>
      <c r="I22" s="357">
        <f>IFERROR(_xlfn.XLOOKUP($B22,'Operating and Maintenance Costs'!B$5:B$34,'Operating and Maintenance Costs'!E$5:E$34,0,0,1),0)</f>
        <v>10144.618181265156</v>
      </c>
      <c r="J22" s="431">
        <f>IFERROR(_xlfn.XLOOKUP($B22,'Capital Cost and RCV Calc'!B$5:B$37,'Capital Cost and RCV Calc'!G$5:G$37,0,0,1),0)</f>
        <v>0</v>
      </c>
      <c r="K22" s="444">
        <f t="shared" si="0"/>
        <v>6342676.8271056861</v>
      </c>
      <c r="L22" s="208">
        <f>IFERROR(SUM(C22,E22,G22:J22)*(1+0.07)^-($B22-Assumptions!$D$4)+F22,0)</f>
        <v>1753954.9588266448</v>
      </c>
    </row>
    <row r="23" spans="2:12" ht="15" customHeight="1" x14ac:dyDescent="0.25">
      <c r="B23" s="31">
        <f t="shared" si="1"/>
        <v>2040</v>
      </c>
      <c r="C23" s="208">
        <f>IFERROR(_xlfn.XLOOKUP($B23,'Travel Time - Interchange'!B$6:B$25,'Travel Time - Interchange'!E$6:E$25,0,0,1),0)</f>
        <v>10543.475488449541</v>
      </c>
      <c r="D23" s="436">
        <f>IFERROR(_xlfn.XLOOKUP($B23,'Air Quality'!B$5:B$34,'Air Quality'!D$5:D$34,0,0,1),0)</f>
        <v>539.18134077488776</v>
      </c>
      <c r="E23" s="437">
        <f>IFERROR(_xlfn.XLOOKUP($B23,'Air Quality'!B$5:B$34,'Air Quality'!M$5:M$34,0,0,1),0)</f>
        <v>337.64414751469553</v>
      </c>
      <c r="F23" s="444">
        <f>IFERROR(_xlfn.XLOOKUP($B23,'Air Quality'!B$5:B$34,'Air Quality'!E$5:E$34,0,0,1),0)</f>
        <v>298.53163549673525</v>
      </c>
      <c r="G23" s="357">
        <f>IFERROR(_xlfn.XLOOKUP($B23,'Safety Benefits - Mainline'!B$7:B$26,'Safety Benefits - Mainline'!E$7:E$26,0,0,1),0)</f>
        <v>5029020.1652211547</v>
      </c>
      <c r="H23" s="441">
        <f>IFERROR(_xlfn.XLOOKUP($B23,'Safety Benefits - Interchange'!B$7:B$26,'Safety Benefits - Interchange'!E$7:E$26,0,0,1),0)</f>
        <v>1306256.2225501314</v>
      </c>
      <c r="I23" s="357">
        <f>IFERROR(_xlfn.XLOOKUP($B23,'Operating and Maintenance Costs'!B$5:B$34,'Operating and Maintenance Costs'!E$5:E$34,0,0,1),0)</f>
        <v>10418.163829093333</v>
      </c>
      <c r="J23" s="431">
        <f>IFERROR(_xlfn.XLOOKUP($B23,'Capital Cost and RCV Calc'!B$5:B$37,'Capital Cost and RCV Calc'!G$5:G$37,0,0,1),0)</f>
        <v>0</v>
      </c>
      <c r="K23" s="444">
        <f t="shared" si="0"/>
        <v>6357114.8525771182</v>
      </c>
      <c r="L23" s="208">
        <f>IFERROR(SUM(C23,E23,G23:J23)*(1+0.07)^-($B23-Assumptions!$D$4)+F23,0)</f>
        <v>1642958.4779072909</v>
      </c>
    </row>
    <row r="24" spans="2:12" ht="15" customHeight="1" x14ac:dyDescent="0.25">
      <c r="B24" s="31">
        <f t="shared" si="1"/>
        <v>2041</v>
      </c>
      <c r="C24" s="208">
        <f>IFERROR(_xlfn.XLOOKUP($B24,'Travel Time - Interchange'!B$6:B$25,'Travel Time - Interchange'!E$6:E$25,0,0,1),0)</f>
        <v>11099.487326677776</v>
      </c>
      <c r="D24" s="436">
        <f>IFERROR(_xlfn.XLOOKUP($B24,'Air Quality'!B$5:B$34,'Air Quality'!D$5:D$34,0,0,1),0)</f>
        <v>561.49563894832227</v>
      </c>
      <c r="E24" s="437">
        <f>IFERROR(_xlfn.XLOOKUP($B24,'Air Quality'!B$5:B$34,'Air Quality'!M$5:M$34,0,0,1),0)</f>
        <v>346.86613401222928</v>
      </c>
      <c r="F24" s="444">
        <f>IFERROR(_xlfn.XLOOKUP($B24,'Air Quality'!B$5:B$34,'Air Quality'!E$5:E$34,0,0,1),0)</f>
        <v>301.83157414276735</v>
      </c>
      <c r="G24" s="357">
        <f>IFERROR(_xlfn.XLOOKUP($B24,'Safety Benefits - Mainline'!B$7:B$26,'Safety Benefits - Mainline'!E$7:E$26,0,0,1),0)</f>
        <v>5038126.7152990848</v>
      </c>
      <c r="H24" s="441">
        <f>IFERROR(_xlfn.XLOOKUP($B24,'Safety Benefits - Interchange'!B$7:B$26,'Safety Benefits - Interchange'!E$7:E$26,0,0,1),0)</f>
        <v>1310739.384181194</v>
      </c>
      <c r="I24" s="357">
        <f>IFERROR(_xlfn.XLOOKUP($B24,'Operating and Maintenance Costs'!B$5:B$34,'Operating and Maintenance Costs'!E$5:E$34,0,0,1),0)</f>
        <v>22790.400724587475</v>
      </c>
      <c r="J24" s="431">
        <f>IFERROR(_xlfn.XLOOKUP($B24,'Capital Cost and RCV Calc'!B$5:B$37,'Capital Cost and RCV Calc'!G$5:G$37,0,0,1),0)</f>
        <v>0</v>
      </c>
      <c r="K24" s="444">
        <f t="shared" si="0"/>
        <v>6383664.3493045038</v>
      </c>
      <c r="L24" s="208">
        <f>IFERROR(SUM(C24,E24,G24:J24)*(1+0.07)^-($B24-Assumptions!$D$4)+F24,0)</f>
        <v>1541904.7047541544</v>
      </c>
    </row>
    <row r="25" spans="2:12" ht="15" customHeight="1" x14ac:dyDescent="0.25">
      <c r="B25" s="31">
        <f t="shared" si="1"/>
        <v>2042</v>
      </c>
      <c r="C25" s="208">
        <f>IFERROR(_xlfn.XLOOKUP($B25,'Travel Time - Interchange'!B$6:B$25,'Travel Time - Interchange'!E$6:E$25,0,0,1),0)</f>
        <v>11667.875706926967</v>
      </c>
      <c r="D25" s="436">
        <f>IFERROR(_xlfn.XLOOKUP($B25,'Air Quality'!B$5:B$34,'Air Quality'!D$5:D$34,0,0,1),0)</f>
        <v>584.21340340308655</v>
      </c>
      <c r="E25" s="437">
        <f>IFERROR(_xlfn.XLOOKUP($B25,'Air Quality'!B$5:B$34,'Air Quality'!M$5:M$34,0,0,1),0)</f>
        <v>356.08812050975996</v>
      </c>
      <c r="F25" s="444">
        <f>IFERROR(_xlfn.XLOOKUP($B25,'Air Quality'!B$5:B$34,'Air Quality'!E$5:E$34,0,0,1),0)</f>
        <v>304.89659415116364</v>
      </c>
      <c r="G25" s="357">
        <f>IFERROR(_xlfn.XLOOKUP($B25,'Safety Benefits - Mainline'!B$7:B$26,'Safety Benefits - Mainline'!E$7:E$26,0,0,1),0)</f>
        <v>5047233.2653770298</v>
      </c>
      <c r="H25" s="441">
        <f>IFERROR(_xlfn.XLOOKUP($B25,'Safety Benefits - Interchange'!B$7:B$26,'Safety Benefits - Interchange'!E$7:E$26,0,0,1),0)</f>
        <v>1315222.5458122641</v>
      </c>
      <c r="I25" s="357">
        <f>IFERROR(_xlfn.XLOOKUP($B25,'Operating and Maintenance Costs'!B$5:B$34,'Operating and Maintenance Costs'!E$5:E$34,0,0,1),0)</f>
        <v>20989.885015672924</v>
      </c>
      <c r="J25" s="431">
        <f>IFERROR(_xlfn.XLOOKUP($B25,'Capital Cost and RCV Calc'!B$5:B$37,'Capital Cost and RCV Calc'!G$5:G$37,0,0,1),0)</f>
        <v>0</v>
      </c>
      <c r="K25" s="444">
        <f t="shared" si="0"/>
        <v>6396053.8734358065</v>
      </c>
      <c r="L25" s="208">
        <f>IFERROR(SUM(C25,E25,G25:J25)*(1+0.07)^-($B25-Assumptions!$D$4)+F25,0)</f>
        <v>1443846.5963687389</v>
      </c>
    </row>
    <row r="26" spans="2:12" ht="15" customHeight="1" x14ac:dyDescent="0.25">
      <c r="B26" s="31">
        <f t="shared" si="1"/>
        <v>2043</v>
      </c>
      <c r="C26" s="208">
        <f>IFERROR(_xlfn.XLOOKUP($B26,'Travel Time - Interchange'!B$6:B$25,'Travel Time - Interchange'!E$6:E$25,0,0,1),0)</f>
        <v>12248.640629195528</v>
      </c>
      <c r="D26" s="436">
        <f>IFERROR(_xlfn.XLOOKUP($B26,'Air Quality'!B$5:B$34,'Air Quality'!D$5:D$34,0,0,1),0)</f>
        <v>615.32587932523279</v>
      </c>
      <c r="E26" s="437">
        <f>IFERROR(_xlfn.XLOOKUP($B26,'Air Quality'!B$5:B$34,'Air Quality'!M$5:M$34,0,0,1),0)</f>
        <v>365.31010700729377</v>
      </c>
      <c r="F26" s="444">
        <f>IFERROR(_xlfn.XLOOKUP($B26,'Air Quality'!B$5:B$34,'Air Quality'!E$5:E$34,0,0,1),0)</f>
        <v>311.78054564934149</v>
      </c>
      <c r="G26" s="357">
        <f>IFERROR(_xlfn.XLOOKUP($B26,'Safety Benefits - Mainline'!B$7:B$26,'Safety Benefits - Mainline'!E$7:E$26,0,0,1),0)</f>
        <v>5056339.8154549599</v>
      </c>
      <c r="H26" s="441">
        <f>IFERROR(_xlfn.XLOOKUP($B26,'Safety Benefits - Interchange'!B$7:B$26,'Safety Benefits - Interchange'!E$7:E$26,0,0,1),0)</f>
        <v>1319705.7074433267</v>
      </c>
      <c r="I26" s="357">
        <f>IFERROR(_xlfn.XLOOKUP($B26,'Operating and Maintenance Costs'!B$5:B$34,'Operating and Maintenance Costs'!E$5:E$34,0,0,1),0)</f>
        <v>28856.683352270898</v>
      </c>
      <c r="J26" s="431">
        <f>IFERROR(_xlfn.XLOOKUP($B26,'Capital Cost and RCV Calc'!B$5:B$37,'Capital Cost and RCV Calc'!G$5:G$37,0,0,1),0)</f>
        <v>0</v>
      </c>
      <c r="K26" s="444">
        <f t="shared" si="0"/>
        <v>6418131.4828660861</v>
      </c>
      <c r="L26" s="208">
        <f>IFERROR(SUM(C26,E26,G26:J26)*(1+0.07)^-($B26-Assumptions!$D$4)+F26,0)</f>
        <v>1354066.8126795494</v>
      </c>
    </row>
    <row r="27" spans="2:12" ht="15" customHeight="1" x14ac:dyDescent="0.25">
      <c r="B27" s="31">
        <f t="shared" si="1"/>
        <v>2044</v>
      </c>
      <c r="C27" s="208">
        <f>IFERROR(_xlfn.XLOOKUP($B27,'Travel Time - Interchange'!B$6:B$25,'Travel Time - Interchange'!E$6:E$25,0,0,1),0)</f>
        <v>12841.782093486407</v>
      </c>
      <c r="D27" s="436">
        <f>IFERROR(_xlfn.XLOOKUP($B27,'Air Quality'!B$5:B$34,'Air Quality'!D$5:D$34,0,0,1),0)</f>
        <v>639.05230948333428</v>
      </c>
      <c r="E27" s="437">
        <f>IFERROR(_xlfn.XLOOKUP($B27,'Air Quality'!B$5:B$34,'Air Quality'!M$5:M$34,0,0,1),0)</f>
        <v>374.53209350482439</v>
      </c>
      <c r="F27" s="444">
        <f>IFERROR(_xlfn.XLOOKUP($B27,'Air Quality'!B$5:B$34,'Air Quality'!E$5:E$34,0,0,1),0)</f>
        <v>314.37139032052914</v>
      </c>
      <c r="G27" s="357">
        <f>IFERROR(_xlfn.XLOOKUP($B27,'Safety Benefits - Mainline'!B$7:B$26,'Safety Benefits - Mainline'!E$7:E$26,0,0,1),0)</f>
        <v>5065446.3655329198</v>
      </c>
      <c r="H27" s="441">
        <f>IFERROR(_xlfn.XLOOKUP($B27,'Safety Benefits - Interchange'!B$7:B$26,'Safety Benefits - Interchange'!E$7:E$26,0,0,1),0)</f>
        <v>1324188.8690743968</v>
      </c>
      <c r="I27" s="357">
        <f>IFERROR(_xlfn.XLOOKUP($B27,'Operating and Maintenance Costs'!B$5:B$34,'Operating and Maintenance Costs'!E$5:E$34,0,0,1),0)</f>
        <v>33845.350836563535</v>
      </c>
      <c r="J27" s="431">
        <f>IFERROR(_xlfn.XLOOKUP($B27,'Capital Cost and RCV Calc'!B$5:B$37,'Capital Cost and RCV Calc'!G$5:G$37,0,0,1),0)</f>
        <v>0</v>
      </c>
      <c r="K27" s="444">
        <f t="shared" si="0"/>
        <v>6437335.9519403549</v>
      </c>
      <c r="L27" s="208">
        <f>IFERROR(SUM(C27,E27,G27:J27)*(1+0.07)^-($B27-Assumptions!$D$4)+F27,0)</f>
        <v>1269287.408787444</v>
      </c>
    </row>
    <row r="28" spans="2:12" ht="15" customHeight="1" x14ac:dyDescent="0.25">
      <c r="B28" s="31">
        <f t="shared" si="1"/>
        <v>2045</v>
      </c>
      <c r="C28" s="208">
        <f>IFERROR(_xlfn.XLOOKUP($B28,'Travel Time - Interchange'!B$6:B$25,'Travel Time - Interchange'!E$6:E$25,0,0,1),0)</f>
        <v>13447.300099798782</v>
      </c>
      <c r="D28" s="436">
        <f>IFERROR(_xlfn.XLOOKUP($B28,'Air Quality'!B$5:B$34,'Air Quality'!D$5:D$34,0,0,1),0)</f>
        <v>663.18220592277589</v>
      </c>
      <c r="E28" s="437">
        <f>IFERROR(_xlfn.XLOOKUP($B28,'Air Quality'!B$5:B$34,'Air Quality'!M$5:M$34,0,0,1),0)</f>
        <v>383.75408000235819</v>
      </c>
      <c r="F28" s="444">
        <f>IFERROR(_xlfn.XLOOKUP($B28,'Air Quality'!B$5:B$34,'Air Quality'!E$5:E$34,0,0,1),0)</f>
        <v>316.73951498395058</v>
      </c>
      <c r="G28" s="357">
        <f>IFERROR(_xlfn.XLOOKUP($B28,'Safety Benefits - Mainline'!B$7:B$26,'Safety Benefits - Mainline'!E$7:E$26,0,0,1),0)</f>
        <v>5074552.9156108499</v>
      </c>
      <c r="H28" s="441">
        <f>IFERROR(_xlfn.XLOOKUP($B28,'Safety Benefits - Interchange'!B$7:B$26,'Safety Benefits - Interchange'!E$7:E$26,0,0,1),0)</f>
        <v>1328672.0307054669</v>
      </c>
      <c r="I28" s="357">
        <f>IFERROR(_xlfn.XLOOKUP($B28,'Operating and Maintenance Costs'!B$5:B$34,'Operating and Maintenance Costs'!E$5:E$34,0,0,1),0)</f>
        <v>38834.018320856172</v>
      </c>
      <c r="J28" s="431">
        <f>IFERROR(_xlfn.XLOOKUP($B28,'Capital Cost and RCV Calc'!B$5:B$37,'Capital Cost and RCV Calc'!G$5:G$37,0,0,1),0)</f>
        <v>0</v>
      </c>
      <c r="K28" s="444">
        <f t="shared" si="0"/>
        <v>6456553.2010228969</v>
      </c>
      <c r="L28" s="208">
        <f>IFERROR(SUM(C28,E28,G28:J28)*(1+0.07)^-($B28-Assumptions!$D$4)+F28,0)</f>
        <v>1189809.1656560472</v>
      </c>
    </row>
    <row r="29" spans="2:12" ht="15" customHeight="1" x14ac:dyDescent="0.25">
      <c r="B29" s="31">
        <f>B28+1</f>
        <v>2046</v>
      </c>
      <c r="C29" s="208">
        <f>IFERROR(_xlfn.XLOOKUP($B29,'Travel Time - Interchange'!B$6:B$25,'Travel Time - Interchange'!E$6:E$25,0,0,1),0)</f>
        <v>14065.194648131832</v>
      </c>
      <c r="D29" s="436">
        <f>IFERROR(_xlfn.XLOOKUP($B29,'Air Quality'!B$5:B$34,'Air Quality'!D$5:D$34,0,0,1),0)</f>
        <v>687.71556864354739</v>
      </c>
      <c r="E29" s="437">
        <f>IFERROR(_xlfn.XLOOKUP($B29,'Air Quality'!B$5:B$34,'Air Quality'!M$5:M$34,0,0,1),0)</f>
        <v>392.97606649988887</v>
      </c>
      <c r="F29" s="444">
        <f>IFERROR(_xlfn.XLOOKUP($B29,'Air Quality'!B$5:B$34,'Air Quality'!E$5:E$34,0,0,1),0)</f>
        <v>318.89008315738585</v>
      </c>
      <c r="G29" s="357">
        <f>IFERROR(_xlfn.XLOOKUP($B29,'Safety Benefits - Mainline'!B$7:B$26,'Safety Benefits - Mainline'!E$7:E$26,0,0,1),0)</f>
        <v>5083659.4656887949</v>
      </c>
      <c r="H29" s="441">
        <f>IFERROR(_xlfn.XLOOKUP($B29,'Safety Benefits - Interchange'!B$7:B$26,'Safety Benefits - Interchange'!E$7:E$26,0,0,1),0)</f>
        <v>1333155.1923365295</v>
      </c>
      <c r="I29" s="357">
        <f>IFERROR(_xlfn.XLOOKUP($B29,'Operating and Maintenance Costs'!B$5:B$34,'Operating and Maintenance Costs'!E$5:E$34,0,0,1),0)</f>
        <v>43822.685805148816</v>
      </c>
      <c r="J29" s="431">
        <f>IFERROR(_xlfn.XLOOKUP($B29,'Capital Cost and RCV Calc'!B$5:B$37,'Capital Cost and RCV Calc'!G$5:G$37,0,0,1),0)</f>
        <v>0</v>
      </c>
      <c r="K29" s="444">
        <f t="shared" si="0"/>
        <v>6475783.2301137485</v>
      </c>
      <c r="L29" s="208">
        <f>IFERROR(SUM(C29,E29,G29:J29)*(1+0.07)^-($B29-Assumptions!$D$4)+F29,0)</f>
        <v>1115301.1545064081</v>
      </c>
    </row>
    <row r="30" spans="2:12" ht="15" customHeight="1" thickBot="1" x14ac:dyDescent="0.3">
      <c r="B30" s="456">
        <f>B29+1</f>
        <v>2047</v>
      </c>
      <c r="C30" s="457">
        <f>IFERROR(_xlfn.XLOOKUP($B30,'Travel Time - Interchange'!B$6:B$25,'Travel Time - Interchange'!E$6:E$25,0,0,1),0)</f>
        <v>14695.465738484449</v>
      </c>
      <c r="D30" s="458">
        <f>IFERROR(_xlfn.XLOOKUP($B30,'Air Quality'!B$5:B$34,'Air Quality'!D$5:D$34,0,0,1),0)</f>
        <v>712.65239764565899</v>
      </c>
      <c r="E30" s="459">
        <f>IFERROR(_xlfn.XLOOKUP($B30,'Air Quality'!B$5:B$34,'Air Quality'!M$5:M$34,0,0,1),0)</f>
        <v>402.19805299742268</v>
      </c>
      <c r="F30" s="460">
        <f>IFERROR(_xlfn.XLOOKUP($B30,'Air Quality'!B$5:B$34,'Air Quality'!E$5:E$34,0,0,1),0)</f>
        <v>320.82830998514618</v>
      </c>
      <c r="G30" s="359">
        <f>IFERROR(_xlfn.XLOOKUP($B30,'Safety Benefits - Mainline'!B$7:B$26,'Safety Benefits - Mainline'!E$7:E$26,0,0,1),0)</f>
        <v>5092766.0157667249</v>
      </c>
      <c r="H30" s="442">
        <f>IFERROR(_xlfn.XLOOKUP($B30,'Safety Benefits - Interchange'!B$7:B$26,'Safety Benefits - Interchange'!E$7:E$26,0,0,1),0)</f>
        <v>1337638.3539675996</v>
      </c>
      <c r="I30" s="359">
        <f>IFERROR(_xlfn.XLOOKUP($B30,'Operating and Maintenance Costs'!B$5:B$34,'Operating and Maintenance Costs'!E$5:E$34,0,0,1),0)</f>
        <v>48811.353289441453</v>
      </c>
      <c r="J30" s="433">
        <f>IFERROR(_xlfn.XLOOKUP($B30,'Capital Cost and RCV Calc'!B$5:B$37,'Capital Cost and RCV Calc'!G$5:G$37,0,0,1),0)</f>
        <v>17448716.193752799</v>
      </c>
      <c r="K30" s="460">
        <f t="shared" si="0"/>
        <v>23943742.232965693</v>
      </c>
      <c r="L30" s="457">
        <f>IFERROR(SUM(C30,E30,G30:J30)*(1+0.07)^-($B30-Assumptions!$D$4)+F30,0)</f>
        <v>3853481.3729953854</v>
      </c>
    </row>
    <row r="31" spans="2:12" ht="15" hidden="1" customHeight="1" outlineLevel="1" thickTop="1" x14ac:dyDescent="0.25">
      <c r="B31" s="48">
        <f t="shared" si="1"/>
        <v>2048</v>
      </c>
      <c r="C31" s="427">
        <f>IFERROR(_xlfn.XLOOKUP($B31,'Travel Time - Interchange'!B$6:B$25,'Travel Time - Interchange'!E$6:E$25,0,0,1),0)</f>
        <v>0</v>
      </c>
      <c r="D31" s="434">
        <f>IFERROR(_xlfn.XLOOKUP($B31,'Air Quality'!B$5:B$34,'Air Quality'!D$5:D$34,0,0,1),0)</f>
        <v>0</v>
      </c>
      <c r="E31" s="435">
        <f>IFERROR(_xlfn.XLOOKUP($B31,'Air Quality'!B$5:B$34,'Air Quality'!M$5:M$34,0,0,1),0)</f>
        <v>0</v>
      </c>
      <c r="F31" s="443">
        <f>IFERROR(_xlfn.XLOOKUP($B31,'Air Quality'!B$5:B$34,'Air Quality'!E$5:E$34,0,0,1),0)</f>
        <v>0</v>
      </c>
      <c r="G31" s="447">
        <f>IFERROR(_xlfn.XLOOKUP($B31,'Safety Benefits - Mainline'!B$7:B$26,'Safety Benefits - Mainline'!E$7:E$26,0,0,1),0)</f>
        <v>0</v>
      </c>
      <c r="H31" s="462">
        <f>IFERROR(_xlfn.XLOOKUP($B31,'Safety Benefits - Interchange'!B$7:B$26,'Safety Benefits - Interchange'!E$7:E$26,0,0,1),0)</f>
        <v>0</v>
      </c>
      <c r="I31" s="447">
        <f>IFERROR(_xlfn.XLOOKUP($B31,'Operating and Maintenance Costs'!B$5:B$34,'Operating and Maintenance Costs'!E$5:E$34,0,0,1),0)</f>
        <v>0</v>
      </c>
      <c r="J31" s="448">
        <f>IFERROR(_xlfn.XLOOKUP($B31,'Capital Cost and RCV Calc'!B$5:B$37,'Capital Cost and RCV Calc'!G$5:G$37,0,0,1),0)</f>
        <v>0</v>
      </c>
      <c r="K31" s="443">
        <f t="shared" si="0"/>
        <v>0</v>
      </c>
      <c r="L31" s="427">
        <f>IFERROR(SUM(C31,E31,G31:J31)*(1+0.07)^-($B31-Assumptions!$D$4)+F31,0)</f>
        <v>0</v>
      </c>
    </row>
    <row r="32" spans="2:12" ht="15" hidden="1" customHeight="1" outlineLevel="1" x14ac:dyDescent="0.25">
      <c r="B32" s="31">
        <f t="shared" si="1"/>
        <v>2049</v>
      </c>
      <c r="C32" s="208">
        <f>IFERROR(_xlfn.XLOOKUP($B32,'Travel Time - Interchange'!B$6:B$25,'Travel Time - Interchange'!E$6:E$25,0,0,1),0)</f>
        <v>0</v>
      </c>
      <c r="D32" s="436">
        <f>IFERROR(_xlfn.XLOOKUP($B32,'Air Quality'!B$5:B$34,'Air Quality'!D$5:D$34,0,0,1),0)</f>
        <v>0</v>
      </c>
      <c r="E32" s="437">
        <f>IFERROR(_xlfn.XLOOKUP($B32,'Air Quality'!B$5:B$34,'Air Quality'!M$5:M$34,0,0,1),0)</f>
        <v>0</v>
      </c>
      <c r="F32" s="444">
        <f>IFERROR(_xlfn.XLOOKUP($B32,'Air Quality'!B$5:B$34,'Air Quality'!E$5:E$34,0,0,1),0)</f>
        <v>0</v>
      </c>
      <c r="G32" s="357">
        <f>IFERROR(_xlfn.XLOOKUP($B32,'Safety Benefits - Mainline'!B$7:B$26,'Safety Benefits - Mainline'!E$7:E$26,0,0,1),0)</f>
        <v>0</v>
      </c>
      <c r="H32" s="441">
        <f>IFERROR(_xlfn.XLOOKUP($B32,'Safety Benefits - Interchange'!B$7:B$26,'Safety Benefits - Interchange'!E$7:E$26,0,0,1),0)</f>
        <v>0</v>
      </c>
      <c r="I32" s="357">
        <f>IFERROR(_xlfn.XLOOKUP($B32,'Operating and Maintenance Costs'!B$5:B$34,'Operating and Maintenance Costs'!E$5:E$34,0,0,1),0)</f>
        <v>0</v>
      </c>
      <c r="J32" s="431">
        <f>IFERROR(_xlfn.XLOOKUP($B32,'Capital Cost and RCV Calc'!B$5:B$37,'Capital Cost and RCV Calc'!G$5:G$37,0,0,1),0)</f>
        <v>0</v>
      </c>
      <c r="K32" s="444">
        <f t="shared" si="0"/>
        <v>0</v>
      </c>
      <c r="L32" s="208">
        <f>IFERROR(SUM(C32,E32,G32:J32)*(1+0.07)^-($B32-Assumptions!$D$4)+F32,0)</f>
        <v>0</v>
      </c>
    </row>
    <row r="33" spans="1:15" ht="15" hidden="1" customHeight="1" outlineLevel="1" x14ac:dyDescent="0.25">
      <c r="B33" s="31">
        <f t="shared" si="1"/>
        <v>2050</v>
      </c>
      <c r="C33" s="208">
        <f>IFERROR(_xlfn.XLOOKUP($B33,'Travel Time - Interchange'!B$6:B$25,'Travel Time - Interchange'!E$6:E$25,0,0,1),0)</f>
        <v>0</v>
      </c>
      <c r="D33" s="436">
        <f>IFERROR(_xlfn.XLOOKUP($B33,'Air Quality'!B$5:B$34,'Air Quality'!D$5:D$34,0,0,1),0)</f>
        <v>0</v>
      </c>
      <c r="E33" s="437">
        <f>IFERROR(_xlfn.XLOOKUP($B33,'Air Quality'!B$5:B$34,'Air Quality'!M$5:M$34,0,0,1),0)</f>
        <v>0</v>
      </c>
      <c r="F33" s="444">
        <f>IFERROR(_xlfn.XLOOKUP($B33,'Air Quality'!B$5:B$34,'Air Quality'!E$5:E$34,0,0,1),0)</f>
        <v>0</v>
      </c>
      <c r="G33" s="357">
        <f>IFERROR(_xlfn.XLOOKUP($B33,'Safety Benefits - Mainline'!B$7:B$26,'Safety Benefits - Mainline'!E$7:E$26,0,0,1),0)</f>
        <v>0</v>
      </c>
      <c r="H33" s="441">
        <f>IFERROR(_xlfn.XLOOKUP($B33,'Safety Benefits - Interchange'!B$7:B$26,'Safety Benefits - Interchange'!E$7:E$26,0,0,1),0)</f>
        <v>0</v>
      </c>
      <c r="I33" s="357">
        <f>IFERROR(_xlfn.XLOOKUP($B33,'Operating and Maintenance Costs'!B$5:B$34,'Operating and Maintenance Costs'!E$5:E$34,0,0,1),0)</f>
        <v>0</v>
      </c>
      <c r="J33" s="431">
        <f>IFERROR(_xlfn.XLOOKUP($B33,'Capital Cost and RCV Calc'!B$5:B$37,'Capital Cost and RCV Calc'!G$5:G$37,0,0,1),0)</f>
        <v>0</v>
      </c>
      <c r="K33" s="444">
        <f t="shared" si="0"/>
        <v>0</v>
      </c>
      <c r="L33" s="208">
        <f>IFERROR(SUM(C33,E33,G33:J33)*(1+0.07)^-($B33-Assumptions!$D$4)+F33,0)</f>
        <v>0</v>
      </c>
    </row>
    <row r="34" spans="1:15" ht="15" hidden="1" customHeight="1" outlineLevel="1" x14ac:dyDescent="0.25">
      <c r="B34" s="31">
        <f t="shared" si="1"/>
        <v>2051</v>
      </c>
      <c r="C34" s="208">
        <f>IFERROR(_xlfn.XLOOKUP($B34,'Travel Time - Interchange'!B$6:B$25,'Travel Time - Interchange'!E$6:E$25,0,0,1),0)</f>
        <v>0</v>
      </c>
      <c r="D34" s="436">
        <f>IFERROR(_xlfn.XLOOKUP($B34,'Air Quality'!B$5:B$34,'Air Quality'!D$5:D$34,0,0,1),0)</f>
        <v>0</v>
      </c>
      <c r="E34" s="437">
        <f>IFERROR(_xlfn.XLOOKUP($B34,'Air Quality'!B$5:B$34,'Air Quality'!M$5:M$34,0,0,1),0)</f>
        <v>0</v>
      </c>
      <c r="F34" s="444">
        <f>IFERROR(_xlfn.XLOOKUP($B34,'Air Quality'!B$5:B$34,'Air Quality'!E$5:E$34,0,0,1),0)</f>
        <v>0</v>
      </c>
      <c r="G34" s="357">
        <f>IFERROR(_xlfn.XLOOKUP($B34,'Safety Benefits - Mainline'!B$7:B$26,'Safety Benefits - Mainline'!E$7:E$26,0,0,1),0)</f>
        <v>0</v>
      </c>
      <c r="H34" s="441">
        <f>IFERROR(_xlfn.XLOOKUP($B34,'Safety Benefits - Interchange'!B$7:B$26,'Safety Benefits - Interchange'!E$7:E$26,0,0,1),0)</f>
        <v>0</v>
      </c>
      <c r="I34" s="357">
        <f>IFERROR(_xlfn.XLOOKUP($B34,'Operating and Maintenance Costs'!B$5:B$34,'Operating and Maintenance Costs'!E$5:E$34,0,0,1),0)</f>
        <v>0</v>
      </c>
      <c r="J34" s="431">
        <f>IFERROR(_xlfn.XLOOKUP($B34,'Capital Cost and RCV Calc'!B$5:B$37,'Capital Cost and RCV Calc'!G$5:G$37,0,0,1),0)</f>
        <v>0</v>
      </c>
      <c r="K34" s="444">
        <f t="shared" si="0"/>
        <v>0</v>
      </c>
      <c r="L34" s="208">
        <f>IFERROR(SUM(C34,E34,G34:J34)*(1+0.07)^-($B34-Assumptions!$D$4)+F34,0)</f>
        <v>0</v>
      </c>
    </row>
    <row r="35" spans="1:15" ht="15" hidden="1" customHeight="1" outlineLevel="1" x14ac:dyDescent="0.25">
      <c r="B35" s="31">
        <f t="shared" si="1"/>
        <v>2052</v>
      </c>
      <c r="C35" s="208">
        <f>IFERROR(_xlfn.XLOOKUP($B35,'Travel Time - Interchange'!B$6:B$25,'Travel Time - Interchange'!E$6:E$25,0,0,1),0)</f>
        <v>0</v>
      </c>
      <c r="D35" s="436">
        <f>IFERROR(_xlfn.XLOOKUP($B35,'Air Quality'!B$5:B$34,'Air Quality'!D$5:D$34,0,0,1),0)</f>
        <v>0</v>
      </c>
      <c r="E35" s="437">
        <f>IFERROR(_xlfn.XLOOKUP($B35,'Air Quality'!B$5:B$34,'Air Quality'!M$5:M$34,0,0,1),0)</f>
        <v>0</v>
      </c>
      <c r="F35" s="444">
        <f>IFERROR(_xlfn.XLOOKUP($B35,'Air Quality'!B$5:B$34,'Air Quality'!E$5:E$34,0,0,1),0)</f>
        <v>0</v>
      </c>
      <c r="G35" s="357">
        <f>IFERROR(_xlfn.XLOOKUP($B35,'Safety Benefits - Mainline'!B$7:B$26,'Safety Benefits - Mainline'!E$7:E$26,0,0,1),0)</f>
        <v>0</v>
      </c>
      <c r="H35" s="441">
        <f>IFERROR(_xlfn.XLOOKUP($B35,'Safety Benefits - Interchange'!B$7:B$26,'Safety Benefits - Interchange'!E$7:E$26,0,0,1),0)</f>
        <v>0</v>
      </c>
      <c r="I35" s="357">
        <f>IFERROR(_xlfn.XLOOKUP($B35,'Operating and Maintenance Costs'!B$5:B$34,'Operating and Maintenance Costs'!E$5:E$34,0,0,1),0)</f>
        <v>0</v>
      </c>
      <c r="J35" s="431">
        <f>IFERROR(_xlfn.XLOOKUP($B35,'Capital Cost and RCV Calc'!B$5:B$37,'Capital Cost and RCV Calc'!G$5:G$37,0,0,1),0)</f>
        <v>0</v>
      </c>
      <c r="K35" s="444">
        <f t="shared" si="0"/>
        <v>0</v>
      </c>
      <c r="L35" s="208">
        <f>IFERROR(SUM(C35,E35,G35:J35)*(1+0.07)^-($B35-Assumptions!$D$4)+F35,0)</f>
        <v>0</v>
      </c>
    </row>
    <row r="36" spans="1:15" ht="15" hidden="1" customHeight="1" outlineLevel="1" x14ac:dyDescent="0.25">
      <c r="B36" s="31">
        <f t="shared" si="1"/>
        <v>2053</v>
      </c>
      <c r="C36" s="208">
        <f>IFERROR(_xlfn.XLOOKUP($B36,'Travel Time - Interchange'!B$6:B$25,'Travel Time - Interchange'!E$6:E$25,0,0,1),0)</f>
        <v>0</v>
      </c>
      <c r="D36" s="436">
        <f>IFERROR(_xlfn.XLOOKUP($B36,'Air Quality'!B$5:B$34,'Air Quality'!D$5:D$34,0,0,1),0)</f>
        <v>0</v>
      </c>
      <c r="E36" s="437">
        <f>IFERROR(_xlfn.XLOOKUP($B36,'Air Quality'!B$5:B$34,'Air Quality'!M$5:M$34,0,0,1),0)</f>
        <v>0</v>
      </c>
      <c r="F36" s="444">
        <f>IFERROR(_xlfn.XLOOKUP($B36,'Air Quality'!B$5:B$34,'Air Quality'!E$5:E$34,0,0,1),0)</f>
        <v>0</v>
      </c>
      <c r="G36" s="357">
        <f>IFERROR(_xlfn.XLOOKUP($B36,'Safety Benefits - Mainline'!B$7:B$26,'Safety Benefits - Mainline'!E$7:E$26,0,0,1),0)</f>
        <v>0</v>
      </c>
      <c r="H36" s="441">
        <f>IFERROR(_xlfn.XLOOKUP($B36,'Safety Benefits - Interchange'!B$7:B$26,'Safety Benefits - Interchange'!E$7:E$26,0,0,1),0)</f>
        <v>0</v>
      </c>
      <c r="I36" s="357">
        <f>IFERROR(_xlfn.XLOOKUP($B36,'Operating and Maintenance Costs'!B$5:B$34,'Operating and Maintenance Costs'!E$5:E$34,0,0,1),0)</f>
        <v>0</v>
      </c>
      <c r="J36" s="431">
        <f>IFERROR(_xlfn.XLOOKUP($B36,'Capital Cost and RCV Calc'!B$5:B$37,'Capital Cost and RCV Calc'!G$5:G$37,0,0,1),0)</f>
        <v>0</v>
      </c>
      <c r="K36" s="444">
        <f t="shared" si="0"/>
        <v>0</v>
      </c>
      <c r="L36" s="208">
        <f>IFERROR(SUM(C36,E36,G36:J36)*(1+0.07)^-($B36-Assumptions!$D$4)+F36,0)</f>
        <v>0</v>
      </c>
    </row>
    <row r="37" spans="1:15" ht="15" hidden="1" customHeight="1" outlineLevel="1" x14ac:dyDescent="0.25">
      <c r="B37" s="31">
        <f t="shared" si="1"/>
        <v>2054</v>
      </c>
      <c r="C37" s="208">
        <f>IFERROR(_xlfn.XLOOKUP($B37,'Travel Time - Interchange'!B$6:B$25,'Travel Time - Interchange'!E$6:E$25,0,0,1),0)</f>
        <v>0</v>
      </c>
      <c r="D37" s="436">
        <f>IFERROR(_xlfn.XLOOKUP($B37,'Air Quality'!B$5:B$34,'Air Quality'!D$5:D$34,0,0,1),0)</f>
        <v>0</v>
      </c>
      <c r="E37" s="437">
        <f>IFERROR(_xlfn.XLOOKUP($B37,'Air Quality'!B$5:B$34,'Air Quality'!M$5:M$34,0,0,1),0)</f>
        <v>0</v>
      </c>
      <c r="F37" s="444">
        <f>IFERROR(_xlfn.XLOOKUP($B37,'Air Quality'!B$5:B$34,'Air Quality'!E$5:E$34,0,0,1),0)</f>
        <v>0</v>
      </c>
      <c r="G37" s="357">
        <f>IFERROR(_xlfn.XLOOKUP($B37,'Safety Benefits - Mainline'!B$7:B$26,'Safety Benefits - Mainline'!E$7:E$26,0,0,1),0)</f>
        <v>0</v>
      </c>
      <c r="H37" s="441">
        <f>IFERROR(_xlfn.XLOOKUP($B37,'Safety Benefits - Interchange'!B$7:B$26,'Safety Benefits - Interchange'!E$7:E$26,0,0,1),0)</f>
        <v>0</v>
      </c>
      <c r="I37" s="357">
        <f>IFERROR(_xlfn.XLOOKUP($B37,'Operating and Maintenance Costs'!B$5:B$34,'Operating and Maintenance Costs'!E$5:E$34,0,0,1),0)</f>
        <v>0</v>
      </c>
      <c r="J37" s="431">
        <f>IFERROR(_xlfn.XLOOKUP($B37,'Capital Cost and RCV Calc'!B$5:B$37,'Capital Cost and RCV Calc'!G$5:G$37,0,0,1),0)</f>
        <v>0</v>
      </c>
      <c r="K37" s="444">
        <f t="shared" si="0"/>
        <v>0</v>
      </c>
      <c r="L37" s="208">
        <f>IFERROR(SUM(C37,E37,G37:J37)*(1+0.07)^-($B37-Assumptions!$D$4)+F37,0)</f>
        <v>0</v>
      </c>
    </row>
    <row r="38" spans="1:15" ht="15" hidden="1" customHeight="1" outlineLevel="1" x14ac:dyDescent="0.25">
      <c r="B38" s="31">
        <f t="shared" si="1"/>
        <v>2055</v>
      </c>
      <c r="C38" s="208">
        <f>IFERROR(_xlfn.XLOOKUP($B38,'Travel Time - Interchange'!B$6:B$25,'Travel Time - Interchange'!E$6:E$25,0,0,1),0)</f>
        <v>0</v>
      </c>
      <c r="D38" s="436">
        <f>IFERROR(_xlfn.XLOOKUP($B38,'Air Quality'!B$5:B$34,'Air Quality'!D$5:D$34,0,0,1),0)</f>
        <v>0</v>
      </c>
      <c r="E38" s="437">
        <f>IFERROR(_xlfn.XLOOKUP($B38,'Air Quality'!B$5:B$34,'Air Quality'!M$5:M$34,0,0,1),0)</f>
        <v>0</v>
      </c>
      <c r="F38" s="444">
        <f>IFERROR(_xlfn.XLOOKUP($B38,'Air Quality'!B$5:B$34,'Air Quality'!E$5:E$34,0,0,1),0)</f>
        <v>0</v>
      </c>
      <c r="G38" s="357">
        <f>IFERROR(_xlfn.XLOOKUP($B38,'Safety Benefits - Mainline'!B$7:B$26,'Safety Benefits - Mainline'!E$7:E$26,0,0,1),0)</f>
        <v>0</v>
      </c>
      <c r="H38" s="441">
        <f>IFERROR(_xlfn.XLOOKUP($B38,'Safety Benefits - Interchange'!B$7:B$26,'Safety Benefits - Interchange'!E$7:E$26,0,0,1),0)</f>
        <v>0</v>
      </c>
      <c r="I38" s="357">
        <f>IFERROR(_xlfn.XLOOKUP($B38,'Operating and Maintenance Costs'!B$5:B$34,'Operating and Maintenance Costs'!E$5:E$34,0,0,1),0)</f>
        <v>0</v>
      </c>
      <c r="J38" s="431">
        <f>IFERROR(_xlfn.XLOOKUP($B38,'Capital Cost and RCV Calc'!B$5:B$37,'Capital Cost and RCV Calc'!G$5:G$37,0,0,1),0)</f>
        <v>0</v>
      </c>
      <c r="K38" s="444">
        <f t="shared" si="0"/>
        <v>0</v>
      </c>
      <c r="L38" s="208">
        <f>IFERROR(SUM(C38,E38,G38:J38)*(1+0.07)^-($B38-Assumptions!$D$4)+F38,0)</f>
        <v>0</v>
      </c>
    </row>
    <row r="39" spans="1:15" ht="15" hidden="1" customHeight="1" outlineLevel="1" thickBot="1" x14ac:dyDescent="0.3">
      <c r="B39" s="32">
        <f t="shared" si="1"/>
        <v>2056</v>
      </c>
      <c r="C39" s="209">
        <f>IFERROR(_xlfn.XLOOKUP($B39,'Travel Time - Interchange'!B$6:B$25,'Travel Time - Interchange'!E$6:E$25,0,0,1),0)</f>
        <v>0</v>
      </c>
      <c r="D39" s="438">
        <f>IFERROR(_xlfn.XLOOKUP($B39,'Air Quality'!B$5:B$34,'Air Quality'!D$5:D$34,0,0,1),0)</f>
        <v>0</v>
      </c>
      <c r="E39" s="439">
        <f>IFERROR(_xlfn.XLOOKUP($B39,'Air Quality'!B$5:B$34,'Air Quality'!M$5:M$34,0,0,1),0)</f>
        <v>0</v>
      </c>
      <c r="F39" s="445">
        <f>IFERROR(_xlfn.XLOOKUP($B39,'Air Quality'!B$5:B$34,'Air Quality'!E$5:E$34,0,0,1),0)</f>
        <v>0</v>
      </c>
      <c r="G39" s="363">
        <f>IFERROR(_xlfn.XLOOKUP($B39,'Safety Benefits - Mainline'!B$7:B$26,'Safety Benefits - Mainline'!E$7:E$26,0,0,1),0)</f>
        <v>0</v>
      </c>
      <c r="H39" s="463">
        <f>IFERROR(_xlfn.XLOOKUP($B39,'Safety Benefits - Interchange'!B$7:B$26,'Safety Benefits - Interchange'!E$7:E$26,0,0,1),0)</f>
        <v>0</v>
      </c>
      <c r="I39" s="363">
        <f>IFERROR(_xlfn.XLOOKUP($B39,'Operating and Maintenance Costs'!B$5:B$34,'Operating and Maintenance Costs'!E$5:E$34,0,0,1),0)</f>
        <v>0</v>
      </c>
      <c r="J39" s="446">
        <f>IFERROR(_xlfn.XLOOKUP($B39,'Capital Cost and RCV Calc'!B$5:B$37,'Capital Cost and RCV Calc'!G$5:G$37,0,0,1),0)</f>
        <v>0</v>
      </c>
      <c r="K39" s="445">
        <f t="shared" si="0"/>
        <v>0</v>
      </c>
      <c r="L39" s="209">
        <f>IFERROR(SUM(C39,E39,G39:J39)*(1+0.07)^-($B39-Assumptions!$D$4)+F39,0)</f>
        <v>0</v>
      </c>
      <c r="M39" s="205"/>
    </row>
    <row r="40" spans="1:15" ht="15" customHeight="1" collapsed="1" thickTop="1" x14ac:dyDescent="0.25">
      <c r="B40" s="18"/>
      <c r="F40" s="89"/>
      <c r="G40" s="89"/>
      <c r="H40" s="89"/>
      <c r="I40" s="89"/>
      <c r="J40" s="89" t="s">
        <v>2</v>
      </c>
      <c r="K40" s="15">
        <f>SUM(K7:K39)</f>
        <v>149445395.86592406</v>
      </c>
      <c r="L40" s="15">
        <f>SUM(L7:L39)</f>
        <v>46918936.070180185</v>
      </c>
      <c r="M40" s="192"/>
    </row>
    <row r="41" spans="1:15" ht="15" customHeight="1" x14ac:dyDescent="0.25">
      <c r="B41" s="18"/>
      <c r="C41" s="426"/>
      <c r="D41" s="426"/>
      <c r="E41" s="426"/>
      <c r="F41" s="426"/>
      <c r="G41" s="426"/>
      <c r="H41" s="426"/>
      <c r="I41" s="426"/>
      <c r="J41" s="426"/>
      <c r="K41" s="426"/>
      <c r="N41" s="206"/>
      <c r="O41" s="10"/>
    </row>
    <row r="42" spans="1:15" ht="15" customHeight="1" thickBot="1" x14ac:dyDescent="0.3">
      <c r="B42" s="20" t="s">
        <v>9</v>
      </c>
      <c r="C42" s="19"/>
      <c r="D42" s="15"/>
      <c r="E42" s="15"/>
      <c r="F42" s="15"/>
      <c r="G42" s="15"/>
      <c r="H42" s="15"/>
      <c r="I42" s="22"/>
      <c r="J42" s="23"/>
      <c r="K42" s="23"/>
      <c r="L42" s="205"/>
    </row>
    <row r="43" spans="1:15" x14ac:dyDescent="0.25">
      <c r="B43" s="467" t="s">
        <v>0</v>
      </c>
      <c r="C43" s="469" t="s">
        <v>62</v>
      </c>
      <c r="D43" s="471" t="s">
        <v>49</v>
      </c>
    </row>
    <row r="44" spans="1:15" ht="15" customHeight="1" thickBot="1" x14ac:dyDescent="0.3">
      <c r="B44" s="468"/>
      <c r="C44" s="470"/>
      <c r="D44" s="472"/>
    </row>
    <row r="45" spans="1:15" x14ac:dyDescent="0.25">
      <c r="A45" s="11"/>
      <c r="B45" s="119">
        <v>2024</v>
      </c>
      <c r="C45" s="133">
        <f>_xlfn.XLOOKUP($B45,'Capital Cost and RCV Calc'!$B$5:$B$37,'Capital Cost and RCV Calc'!$C$5:$C$37)</f>
        <v>1784527.7925429002</v>
      </c>
      <c r="D45" s="133">
        <f>C45*(1+0.07)^-($B45-Assumptions!$D$4)</f>
        <v>1361407.7086967179</v>
      </c>
    </row>
    <row r="46" spans="1:15" x14ac:dyDescent="0.25">
      <c r="B46" s="120">
        <f>+B45+1</f>
        <v>2025</v>
      </c>
      <c r="C46" s="138">
        <f>_xlfn.XLOOKUP($B46,'Capital Cost and RCV Calc'!$B$5:$B$37,'Capital Cost and RCV Calc'!$C$5:$C$37)</f>
        <v>21414333.5105148</v>
      </c>
      <c r="D46" s="138">
        <f>C46*(1+0.07)^-($B46-Assumptions!$D$4)</f>
        <v>15268123.83585104</v>
      </c>
    </row>
    <row r="47" spans="1:15" x14ac:dyDescent="0.25">
      <c r="B47" s="120">
        <f>+B46+1</f>
        <v>2026</v>
      </c>
      <c r="C47" s="134">
        <f>_xlfn.XLOOKUP($B47,'Capital Cost and RCV Calc'!$B$5:$B$37,'Capital Cost and RCV Calc'!$C$5:$C$37)</f>
        <v>21414333.5105148</v>
      </c>
      <c r="D47" s="134">
        <f>C47*(1+0.07)^-($B47-Assumptions!$D$4)</f>
        <v>14269274.612944897</v>
      </c>
    </row>
    <row r="48" spans="1:15" x14ac:dyDescent="0.25">
      <c r="B48" s="120">
        <f t="shared" ref="B48:B77" si="2">+B47+1</f>
        <v>2027</v>
      </c>
      <c r="C48" s="134">
        <f>_xlfn.XLOOKUP($B48,'Capital Cost and RCV Calc'!$B$5:$B$37,'Capital Cost and RCV Calc'!$C$5:$C$37)</f>
        <v>2855244.4680686402</v>
      </c>
      <c r="D48" s="134">
        <f>C48*(1+0.07)^-($B48-Assumptions!$D$4)</f>
        <v>1778102.7555071523</v>
      </c>
    </row>
    <row r="49" spans="1:4" x14ac:dyDescent="0.25">
      <c r="B49" s="120">
        <f t="shared" si="2"/>
        <v>2028</v>
      </c>
      <c r="C49" s="134">
        <f>_xlfn.XLOOKUP($B49,'Capital Cost and RCV Calc'!$B$5:$B$37,'Capital Cost and RCV Calc'!$C$5:$C$37)</f>
        <v>0</v>
      </c>
      <c r="D49" s="134">
        <f>C49*(1+0.07)^-($B49-Assumptions!$D$4)</f>
        <v>0</v>
      </c>
    </row>
    <row r="50" spans="1:4" x14ac:dyDescent="0.25">
      <c r="B50" s="120">
        <f t="shared" si="2"/>
        <v>2029</v>
      </c>
      <c r="C50" s="134">
        <f>_xlfn.XLOOKUP($B50,'Capital Cost and RCV Calc'!$B$5:$B$37,'Capital Cost and RCV Calc'!$C$5:$C$37)</f>
        <v>0</v>
      </c>
      <c r="D50" s="134">
        <f>C50*(1+0.07)^-($B50-Assumptions!$D$4)</f>
        <v>0</v>
      </c>
    </row>
    <row r="51" spans="1:4" x14ac:dyDescent="0.25">
      <c r="B51" s="120">
        <f t="shared" si="2"/>
        <v>2030</v>
      </c>
      <c r="C51" s="134">
        <f>_xlfn.XLOOKUP($B51,'Capital Cost and RCV Calc'!$B$5:$B$37,'Capital Cost and RCV Calc'!$C$5:$C$37)</f>
        <v>0</v>
      </c>
      <c r="D51" s="134">
        <f>C51*(1+0.07)^-($B51-Assumptions!$D$4)</f>
        <v>0</v>
      </c>
    </row>
    <row r="52" spans="1:4" x14ac:dyDescent="0.25">
      <c r="B52" s="120">
        <f t="shared" si="2"/>
        <v>2031</v>
      </c>
      <c r="C52" s="134">
        <f>_xlfn.XLOOKUP($B52,'Capital Cost and RCV Calc'!$B$5:$B$37,'Capital Cost and RCV Calc'!$C$5:$C$37)</f>
        <v>0</v>
      </c>
      <c r="D52" s="134">
        <f>C52*(1+0.07)^-($B52-Assumptions!$D$4)</f>
        <v>0</v>
      </c>
    </row>
    <row r="53" spans="1:4" x14ac:dyDescent="0.25">
      <c r="B53" s="120">
        <f t="shared" si="2"/>
        <v>2032</v>
      </c>
      <c r="C53" s="134">
        <f>_xlfn.XLOOKUP($B53,'Capital Cost and RCV Calc'!$B$5:$B$37,'Capital Cost and RCV Calc'!$C$5:$C$37)</f>
        <v>0</v>
      </c>
      <c r="D53" s="134">
        <f>C53*(1+0.07)^-($B53-Assumptions!$D$4)</f>
        <v>0</v>
      </c>
    </row>
    <row r="54" spans="1:4" x14ac:dyDescent="0.25">
      <c r="B54" s="120">
        <f t="shared" si="2"/>
        <v>2033</v>
      </c>
      <c r="C54" s="134">
        <f>_xlfn.XLOOKUP($B54,'Capital Cost and RCV Calc'!$B$5:$B$37,'Capital Cost and RCV Calc'!$C$5:$C$37)</f>
        <v>0</v>
      </c>
      <c r="D54" s="134">
        <f>C54*(1+0.07)^-($B54-Assumptions!$D$4)</f>
        <v>0</v>
      </c>
    </row>
    <row r="55" spans="1:4" x14ac:dyDescent="0.25">
      <c r="B55" s="120">
        <f t="shared" si="2"/>
        <v>2034</v>
      </c>
      <c r="C55" s="134">
        <f>_xlfn.XLOOKUP($B55,'Capital Cost and RCV Calc'!$B$5:$B$37,'Capital Cost and RCV Calc'!$C$5:$C$37)</f>
        <v>0</v>
      </c>
      <c r="D55" s="134">
        <f>C55*(1+0.07)^-($B55-Assumptions!$D$4)</f>
        <v>0</v>
      </c>
    </row>
    <row r="56" spans="1:4" x14ac:dyDescent="0.25">
      <c r="B56" s="120">
        <f t="shared" si="2"/>
        <v>2035</v>
      </c>
      <c r="C56" s="134">
        <f>_xlfn.XLOOKUP($B56,'Capital Cost and RCV Calc'!$B$5:$B$37,'Capital Cost and RCV Calc'!$C$5:$C$37)</f>
        <v>0</v>
      </c>
      <c r="D56" s="134">
        <f>C56*(1+0.07)^-($B56-Assumptions!$D$4)</f>
        <v>0</v>
      </c>
    </row>
    <row r="57" spans="1:4" x14ac:dyDescent="0.25">
      <c r="B57" s="120">
        <f t="shared" si="2"/>
        <v>2036</v>
      </c>
      <c r="C57" s="134">
        <f>_xlfn.XLOOKUP($B57,'Capital Cost and RCV Calc'!$B$5:$B$37,'Capital Cost and RCV Calc'!$C$5:$C$37)</f>
        <v>0</v>
      </c>
      <c r="D57" s="134">
        <f>C57*(1+0.07)^-($B57-Assumptions!$D$4)</f>
        <v>0</v>
      </c>
    </row>
    <row r="58" spans="1:4" x14ac:dyDescent="0.25">
      <c r="B58" s="120">
        <f t="shared" si="2"/>
        <v>2037</v>
      </c>
      <c r="C58" s="134">
        <f>_xlfn.XLOOKUP($B58,'Capital Cost and RCV Calc'!$B$5:$B$37,'Capital Cost and RCV Calc'!$C$5:$C$37)</f>
        <v>0</v>
      </c>
      <c r="D58" s="134">
        <f>C58*(1+0.07)^-($B58-Assumptions!$D$4)</f>
        <v>0</v>
      </c>
    </row>
    <row r="59" spans="1:4" ht="15" customHeight="1" x14ac:dyDescent="0.25">
      <c r="B59" s="120">
        <f t="shared" si="2"/>
        <v>2038</v>
      </c>
      <c r="C59" s="134">
        <f>_xlfn.XLOOKUP($B59,'Capital Cost and RCV Calc'!$B$5:$B$37,'Capital Cost and RCV Calc'!$C$5:$C$37)</f>
        <v>0</v>
      </c>
      <c r="D59" s="134">
        <f>C59*(1+0.07)^-($B59-Assumptions!$D$4)</f>
        <v>0</v>
      </c>
    </row>
    <row r="60" spans="1:4" x14ac:dyDescent="0.25">
      <c r="B60" s="120">
        <f t="shared" si="2"/>
        <v>2039</v>
      </c>
      <c r="C60" s="134">
        <f>_xlfn.XLOOKUP($B60,'Capital Cost and RCV Calc'!$B$5:$B$37,'Capital Cost and RCV Calc'!$C$5:$C$37)</f>
        <v>0</v>
      </c>
      <c r="D60" s="134">
        <f>C60*(1+0.07)^-($B60-Assumptions!$D$4)</f>
        <v>0</v>
      </c>
    </row>
    <row r="61" spans="1:4" x14ac:dyDescent="0.25">
      <c r="A61" s="11"/>
      <c r="B61" s="120">
        <f t="shared" si="2"/>
        <v>2040</v>
      </c>
      <c r="C61" s="134">
        <f>_xlfn.XLOOKUP($B61,'Capital Cost and RCV Calc'!$B$5:$B$37,'Capital Cost and RCV Calc'!$C$5:$C$37)</f>
        <v>0</v>
      </c>
      <c r="D61" s="134">
        <f>C61*(1+0.07)^-($B61-Assumptions!$D$4)</f>
        <v>0</v>
      </c>
    </row>
    <row r="62" spans="1:4" x14ac:dyDescent="0.25">
      <c r="B62" s="120">
        <f t="shared" si="2"/>
        <v>2041</v>
      </c>
      <c r="C62" s="134">
        <f>_xlfn.XLOOKUP($B62,'Capital Cost and RCV Calc'!$B$5:$B$37,'Capital Cost and RCV Calc'!$C$5:$C$37)</f>
        <v>0</v>
      </c>
      <c r="D62" s="134">
        <f>C62*(1+0.07)^-($B62-Assumptions!$D$4)</f>
        <v>0</v>
      </c>
    </row>
    <row r="63" spans="1:4" x14ac:dyDescent="0.25">
      <c r="B63" s="120">
        <f t="shared" si="2"/>
        <v>2042</v>
      </c>
      <c r="C63" s="134">
        <f>_xlfn.XLOOKUP($B63,'Capital Cost and RCV Calc'!$B$5:$B$37,'Capital Cost and RCV Calc'!$C$5:$C$37)</f>
        <v>0</v>
      </c>
      <c r="D63" s="134">
        <f>C63*(1+0.07)^-($B63-Assumptions!$D$4)</f>
        <v>0</v>
      </c>
    </row>
    <row r="64" spans="1:4" x14ac:dyDescent="0.25">
      <c r="B64" s="120">
        <f t="shared" si="2"/>
        <v>2043</v>
      </c>
      <c r="C64" s="134">
        <f>_xlfn.XLOOKUP($B64,'Capital Cost and RCV Calc'!$B$5:$B$37,'Capital Cost and RCV Calc'!$C$5:$C$37)</f>
        <v>0</v>
      </c>
      <c r="D64" s="134">
        <f>C64*(1+0.07)^-($B64-Assumptions!$D$4)</f>
        <v>0</v>
      </c>
    </row>
    <row r="65" spans="2:5" x14ac:dyDescent="0.25">
      <c r="B65" s="120">
        <f t="shared" si="2"/>
        <v>2044</v>
      </c>
      <c r="C65" s="134">
        <f>_xlfn.XLOOKUP($B65,'Capital Cost and RCV Calc'!$B$5:$B$37,'Capital Cost and RCV Calc'!$C$5:$C$37)</f>
        <v>0</v>
      </c>
      <c r="D65" s="134">
        <f>C65*(1+0.07)^-($B65-Assumptions!$D$4)</f>
        <v>0</v>
      </c>
    </row>
    <row r="66" spans="2:5" x14ac:dyDescent="0.25">
      <c r="B66" s="120">
        <f t="shared" si="2"/>
        <v>2045</v>
      </c>
      <c r="C66" s="134">
        <f>_xlfn.XLOOKUP($B66,'Capital Cost and RCV Calc'!$B$5:$B$37,'Capital Cost and RCV Calc'!$C$5:$C$37)</f>
        <v>0</v>
      </c>
      <c r="D66" s="134">
        <f>C66*(1+0.07)^-($B66-Assumptions!$D$4)</f>
        <v>0</v>
      </c>
    </row>
    <row r="67" spans="2:5" x14ac:dyDescent="0.25">
      <c r="B67" s="120">
        <f t="shared" si="2"/>
        <v>2046</v>
      </c>
      <c r="C67" s="134">
        <f>_xlfn.XLOOKUP($B67,'Capital Cost and RCV Calc'!$B$5:$B$37,'Capital Cost and RCV Calc'!$C$5:$C$37)</f>
        <v>0</v>
      </c>
      <c r="D67" s="134">
        <f>C67*(1+0.07)^-($B67-Assumptions!$D$4)</f>
        <v>0</v>
      </c>
    </row>
    <row r="68" spans="2:5" x14ac:dyDescent="0.25">
      <c r="B68" s="120">
        <f t="shared" si="2"/>
        <v>2047</v>
      </c>
      <c r="C68" s="134">
        <f>_xlfn.XLOOKUP($B68,'Capital Cost and RCV Calc'!$B$5:$B$37,'Capital Cost and RCV Calc'!$C$5:$C$37)</f>
        <v>0</v>
      </c>
      <c r="D68" s="134">
        <f>C68*(1+0.07)^-($B68-Assumptions!$D$4)</f>
        <v>0</v>
      </c>
    </row>
    <row r="69" spans="2:5" x14ac:dyDescent="0.25">
      <c r="B69" s="120">
        <f t="shared" si="2"/>
        <v>2048</v>
      </c>
      <c r="C69" s="134">
        <f>_xlfn.XLOOKUP($B69,'Capital Cost and RCV Calc'!$B$5:$B$37,'Capital Cost and RCV Calc'!$C$5:$C$37)</f>
        <v>0</v>
      </c>
      <c r="D69" s="134">
        <f>C69*(1+0.07)^-($B69-Assumptions!$D$4)</f>
        <v>0</v>
      </c>
    </row>
    <row r="70" spans="2:5" x14ac:dyDescent="0.25">
      <c r="B70" s="120">
        <f t="shared" si="2"/>
        <v>2049</v>
      </c>
      <c r="C70" s="134">
        <f>_xlfn.XLOOKUP($B70,'Capital Cost and RCV Calc'!$B$5:$B$37,'Capital Cost and RCV Calc'!$C$5:$C$37)</f>
        <v>0</v>
      </c>
      <c r="D70" s="134">
        <f>C70*(1+0.07)^-($B70-Assumptions!$D$4)</f>
        <v>0</v>
      </c>
    </row>
    <row r="71" spans="2:5" x14ac:dyDescent="0.25">
      <c r="B71" s="120">
        <f t="shared" si="2"/>
        <v>2050</v>
      </c>
      <c r="C71" s="134">
        <f>_xlfn.XLOOKUP($B71,'Capital Cost and RCV Calc'!$B$5:$B$37,'Capital Cost and RCV Calc'!$C$5:$C$37)</f>
        <v>0</v>
      </c>
      <c r="D71" s="134">
        <f>C71*(1+0.07)^-($B71-Assumptions!$D$4)</f>
        <v>0</v>
      </c>
    </row>
    <row r="72" spans="2:5" x14ac:dyDescent="0.25">
      <c r="B72" s="120">
        <f t="shared" si="2"/>
        <v>2051</v>
      </c>
      <c r="C72" s="134">
        <f>_xlfn.XLOOKUP($B72,'Capital Cost and RCV Calc'!$B$5:$B$37,'Capital Cost and RCV Calc'!$C$5:$C$37)</f>
        <v>0</v>
      </c>
      <c r="D72" s="134">
        <f>C72*(1+0.07)^-($B72-Assumptions!$D$4)</f>
        <v>0</v>
      </c>
    </row>
    <row r="73" spans="2:5" x14ac:dyDescent="0.25">
      <c r="B73" s="120">
        <f t="shared" si="2"/>
        <v>2052</v>
      </c>
      <c r="C73" s="134">
        <f>_xlfn.XLOOKUP($B73,'Capital Cost and RCV Calc'!$B$5:$B$37,'Capital Cost and RCV Calc'!$C$5:$C$37)</f>
        <v>0</v>
      </c>
      <c r="D73" s="134">
        <f>C73*(1+0.07)^-($B73-Assumptions!$D$4)</f>
        <v>0</v>
      </c>
    </row>
    <row r="74" spans="2:5" x14ac:dyDescent="0.25">
      <c r="B74" s="120">
        <f t="shared" si="2"/>
        <v>2053</v>
      </c>
      <c r="C74" s="134">
        <f>_xlfn.XLOOKUP($B74,'Capital Cost and RCV Calc'!$B$5:$B$37,'Capital Cost and RCV Calc'!$C$5:$C$37)</f>
        <v>0</v>
      </c>
      <c r="D74" s="134">
        <f>C74*(1+0.07)^-($B74-Assumptions!$D$4)</f>
        <v>0</v>
      </c>
    </row>
    <row r="75" spans="2:5" x14ac:dyDescent="0.25">
      <c r="B75" s="120">
        <f t="shared" si="2"/>
        <v>2054</v>
      </c>
      <c r="C75" s="134">
        <f>_xlfn.XLOOKUP($B75,'Capital Cost and RCV Calc'!$B$5:$B$37,'Capital Cost and RCV Calc'!$C$5:$C$37)</f>
        <v>0</v>
      </c>
      <c r="D75" s="134">
        <f>C75*(1+0.07)^-($B75-Assumptions!$D$4)</f>
        <v>0</v>
      </c>
    </row>
    <row r="76" spans="2:5" x14ac:dyDescent="0.25">
      <c r="B76" s="120">
        <f t="shared" si="2"/>
        <v>2055</v>
      </c>
      <c r="C76" s="134">
        <f>_xlfn.XLOOKUP($B76,'Capital Cost and RCV Calc'!$B$5:$B$37,'Capital Cost and RCV Calc'!$C$5:$C$37)</f>
        <v>0</v>
      </c>
      <c r="D76" s="134">
        <f>C76*(1+0.07)^-($B76-Assumptions!$D$4)</f>
        <v>0</v>
      </c>
    </row>
    <row r="77" spans="2:5" ht="15.75" thickBot="1" x14ac:dyDescent="0.3">
      <c r="B77" s="121">
        <f t="shared" si="2"/>
        <v>2056</v>
      </c>
      <c r="C77" s="135">
        <f>_xlfn.XLOOKUP($B77,'Capital Cost and RCV Calc'!$B$5:$B$37,'Capital Cost and RCV Calc'!$C$5:$C$37)</f>
        <v>0</v>
      </c>
      <c r="D77" s="135">
        <f>C77*(1+0.07)^-($B77-Assumptions!$D$4)</f>
        <v>0</v>
      </c>
    </row>
    <row r="78" spans="2:5" x14ac:dyDescent="0.25">
      <c r="B78" s="89" t="s">
        <v>245</v>
      </c>
      <c r="C78" s="15">
        <f>SUM(C45:C77)</f>
        <v>47468439.281641133</v>
      </c>
      <c r="D78" s="15">
        <f>SUM(D45:D77)</f>
        <v>32676908.912999805</v>
      </c>
      <c r="E78" s="192"/>
    </row>
    <row r="79" spans="2:5" x14ac:dyDescent="0.25">
      <c r="D79" s="132"/>
    </row>
    <row r="80" spans="2:5" ht="16.5" thickBot="1" x14ac:dyDescent="0.3">
      <c r="B80" s="364" t="s">
        <v>16</v>
      </c>
      <c r="D80" s="132"/>
    </row>
    <row r="81" spans="2:9" ht="15.75" thickBot="1" x14ac:dyDescent="0.3">
      <c r="B81" s="24"/>
      <c r="C81" s="27">
        <v>7.0000000000000007E-2</v>
      </c>
      <c r="D81" s="132"/>
    </row>
    <row r="82" spans="2:9" x14ac:dyDescent="0.25">
      <c r="B82" s="25" t="s">
        <v>12</v>
      </c>
      <c r="C82" s="94">
        <f>L40</f>
        <v>46918936.070180185</v>
      </c>
      <c r="D82" s="23"/>
      <c r="E82" s="23"/>
      <c r="F82" s="23"/>
      <c r="G82" s="23"/>
      <c r="H82" s="23"/>
    </row>
    <row r="83" spans="2:9" ht="15.75" thickBot="1" x14ac:dyDescent="0.3">
      <c r="B83" s="26" t="s">
        <v>13</v>
      </c>
      <c r="C83" s="95">
        <f>D78</f>
        <v>32676908.912999805</v>
      </c>
      <c r="F83" s="22"/>
      <c r="G83" s="22"/>
      <c r="H83" s="22"/>
      <c r="I83" s="23"/>
    </row>
    <row r="84" spans="2:9" ht="15.75" thickTop="1" x14ac:dyDescent="0.25">
      <c r="B84" s="154" t="s">
        <v>14</v>
      </c>
      <c r="C84" s="296">
        <f>+C82/C83</f>
        <v>1.4358437695284727</v>
      </c>
      <c r="E84" s="22"/>
      <c r="F84" s="23"/>
      <c r="G84" s="23"/>
      <c r="H84" s="23"/>
    </row>
    <row r="85" spans="2:9" ht="15.75" thickBot="1" x14ac:dyDescent="0.3">
      <c r="B85" s="155" t="s">
        <v>61</v>
      </c>
      <c r="C85" s="156">
        <f>C82-C83</f>
        <v>14242027.15718038</v>
      </c>
      <c r="E85" s="22"/>
      <c r="F85" s="23"/>
      <c r="G85" s="23"/>
      <c r="H85" s="23"/>
    </row>
    <row r="86" spans="2:9" x14ac:dyDescent="0.25">
      <c r="E86" s="22"/>
      <c r="F86" s="23"/>
      <c r="G86" s="23"/>
      <c r="H86" s="23"/>
    </row>
    <row r="87" spans="2:9" x14ac:dyDescent="0.25">
      <c r="B87" s="343"/>
      <c r="C87" s="343"/>
      <c r="D87" s="343"/>
      <c r="E87" s="22"/>
      <c r="F87" s="23"/>
      <c r="G87" s="23"/>
      <c r="H87" s="23"/>
    </row>
    <row r="88" spans="2:9" x14ac:dyDescent="0.25">
      <c r="B88" s="343"/>
      <c r="C88" s="343"/>
      <c r="D88" s="343"/>
    </row>
    <row r="89" spans="2:9" x14ac:dyDescent="0.25">
      <c r="B89" s="343"/>
      <c r="C89" s="343"/>
      <c r="D89" s="343"/>
    </row>
    <row r="90" spans="2:9" x14ac:dyDescent="0.25">
      <c r="B90" s="343"/>
      <c r="C90" s="343"/>
      <c r="D90" s="343"/>
    </row>
    <row r="91" spans="2:9" x14ac:dyDescent="0.25">
      <c r="B91" s="343"/>
      <c r="C91" s="343"/>
      <c r="D91" s="343"/>
    </row>
  </sheetData>
  <mergeCells count="17">
    <mergeCell ref="D4:F4"/>
    <mergeCell ref="D5:D6"/>
    <mergeCell ref="G4:H4"/>
    <mergeCell ref="H5:H6"/>
    <mergeCell ref="K5:K6"/>
    <mergeCell ref="I4:J4"/>
    <mergeCell ref="L5:L6"/>
    <mergeCell ref="B43:B44"/>
    <mergeCell ref="C43:C44"/>
    <mergeCell ref="D43:D44"/>
    <mergeCell ref="J5:J6"/>
    <mergeCell ref="G5:G6"/>
    <mergeCell ref="I5:I6"/>
    <mergeCell ref="F5:F6"/>
    <mergeCell ref="B5:B6"/>
    <mergeCell ref="C5:C6"/>
    <mergeCell ref="E5:E6"/>
  </mergeCells>
  <pageMargins left="0.25" right="0.25" top="0.75" bottom="0.75" header="0.3" footer="0.3"/>
  <pageSetup paperSize="3"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8A7A-4267-4D6C-B8E4-AF642CBEC677}">
  <sheetPr>
    <pageSetUpPr fitToPage="1"/>
  </sheetPr>
  <dimension ref="A1:AS94"/>
  <sheetViews>
    <sheetView view="pageBreakPreview" topLeftCell="A19" zoomScaleNormal="55" zoomScaleSheetLayoutView="100" workbookViewId="0">
      <selection activeCell="E6" sqref="E6:E25"/>
    </sheetView>
  </sheetViews>
  <sheetFormatPr defaultRowHeight="15" outlineLevelCol="1" x14ac:dyDescent="0.25"/>
  <cols>
    <col min="1" max="1" width="3.7109375" style="92" customWidth="1"/>
    <col min="2" max="4" width="20.7109375" style="92" customWidth="1"/>
    <col min="5" max="5" width="20.28515625" style="92" bestFit="1" customWidth="1"/>
    <col min="6" max="6" width="20.7109375" style="92" customWidth="1"/>
    <col min="7" max="8" width="5.7109375" style="92" customWidth="1"/>
    <col min="9" max="9" width="64.42578125" style="92" customWidth="1"/>
    <col min="10" max="10" width="29.28515625" style="92" bestFit="1" customWidth="1"/>
    <col min="11" max="11" width="25.5703125" style="92" bestFit="1" customWidth="1"/>
    <col min="12" max="12" width="21.140625" style="92" bestFit="1" customWidth="1"/>
    <col min="13" max="13" width="18.28515625" style="92" bestFit="1" customWidth="1"/>
    <col min="14" max="14" width="23.5703125" style="92" bestFit="1" customWidth="1"/>
    <col min="15" max="16" width="30.5703125" style="92" bestFit="1" customWidth="1"/>
    <col min="17" max="17" width="20.7109375" style="92" bestFit="1" customWidth="1"/>
    <col min="18" max="19" width="15.7109375" style="92" customWidth="1"/>
    <col min="20" max="20" width="5.7109375" style="92" customWidth="1"/>
    <col min="21" max="21" width="16.42578125" style="92" customWidth="1"/>
    <col min="22" max="22" width="16" style="92" bestFit="1" customWidth="1"/>
    <col min="23" max="23" width="34.28515625" style="92" customWidth="1" outlineLevel="1"/>
    <col min="24" max="24" width="41" style="92" customWidth="1" outlineLevel="1"/>
    <col min="25" max="25" width="34" style="92" customWidth="1" outlineLevel="1"/>
    <col min="26" max="26" width="35" style="92" customWidth="1" outlineLevel="1"/>
    <col min="27" max="27" width="27.140625" style="92" customWidth="1"/>
    <col min="28" max="28" width="30.28515625" style="92" bestFit="1" customWidth="1"/>
    <col min="29" max="29" width="29.28515625" style="92" customWidth="1"/>
    <col min="30" max="30" width="29.28515625" style="28" customWidth="1"/>
    <col min="31" max="31" width="9.140625" style="28"/>
    <col min="32" max="32" width="47.140625" style="28" bestFit="1" customWidth="1"/>
    <col min="33" max="34" width="6.42578125" style="28" bestFit="1" customWidth="1"/>
    <col min="35" max="35" width="6.7109375" style="28" bestFit="1" customWidth="1"/>
    <col min="36" max="37" width="6.42578125" style="28" bestFit="1" customWidth="1"/>
    <col min="38" max="38" width="6.7109375" style="28" bestFit="1" customWidth="1"/>
    <col min="39" max="40" width="6.28515625" style="28" bestFit="1" customWidth="1"/>
    <col min="41" max="41" width="6.42578125" style="28" bestFit="1" customWidth="1"/>
    <col min="42" max="43" width="6.85546875" style="28" bestFit="1" customWidth="1"/>
    <col min="44" max="44" width="7.140625" style="28" bestFit="1" customWidth="1"/>
    <col min="45" max="45" width="9.140625" style="28"/>
    <col min="46" max="16384" width="9.140625" style="92"/>
  </cols>
  <sheetData>
    <row r="1" spans="1:44" x14ac:dyDescent="0.25">
      <c r="A1" s="28"/>
      <c r="B1" s="28"/>
      <c r="E1" s="92">
        <v>6</v>
      </c>
      <c r="U1" s="503"/>
      <c r="V1" s="503"/>
      <c r="W1" s="220"/>
      <c r="AF1" s="78"/>
    </row>
    <row r="2" spans="1:44" x14ac:dyDescent="0.25">
      <c r="B2" s="10" t="s">
        <v>246</v>
      </c>
      <c r="U2" s="81"/>
      <c r="V2" s="81"/>
      <c r="W2" s="235"/>
      <c r="AF2" s="78"/>
    </row>
    <row r="3" spans="1:44" ht="15.75" thickBot="1" x14ac:dyDescent="0.3">
      <c r="B3" s="343"/>
      <c r="C3" s="343"/>
      <c r="D3" s="343"/>
      <c r="E3" s="343"/>
      <c r="F3" s="343"/>
      <c r="G3" s="343"/>
      <c r="I3" s="349"/>
      <c r="J3" s="349"/>
      <c r="U3" s="235"/>
      <c r="V3" s="84"/>
      <c r="W3" s="84"/>
      <c r="AF3" s="78"/>
    </row>
    <row r="4" spans="1:44" ht="35.1" customHeight="1" x14ac:dyDescent="0.25">
      <c r="B4" s="497" t="s">
        <v>0</v>
      </c>
      <c r="C4" s="499" t="s">
        <v>114</v>
      </c>
      <c r="D4" s="499" t="s">
        <v>115</v>
      </c>
      <c r="E4" s="499" t="s">
        <v>41</v>
      </c>
      <c r="F4" s="501" t="s">
        <v>1</v>
      </c>
      <c r="I4" s="496" t="s">
        <v>148</v>
      </c>
      <c r="J4" s="496"/>
      <c r="T4" s="236" t="s">
        <v>145</v>
      </c>
      <c r="U4" s="236"/>
      <c r="V4" s="237"/>
      <c r="W4" s="237"/>
      <c r="X4" s="237"/>
      <c r="Y4" s="237"/>
      <c r="Z4" s="237"/>
      <c r="AA4" s="237"/>
      <c r="AB4" s="237"/>
      <c r="AC4" s="237"/>
      <c r="AF4" s="339"/>
      <c r="AG4" s="339"/>
      <c r="AH4" s="339"/>
      <c r="AI4" s="339"/>
      <c r="AJ4" s="339"/>
      <c r="AK4" s="339"/>
      <c r="AL4" s="339"/>
      <c r="AM4" s="339"/>
      <c r="AN4" s="339"/>
      <c r="AO4" s="339"/>
      <c r="AP4" s="339"/>
      <c r="AQ4" s="339"/>
      <c r="AR4" s="339"/>
    </row>
    <row r="5" spans="1:44" ht="15.75" thickBot="1" x14ac:dyDescent="0.3">
      <c r="B5" s="498"/>
      <c r="C5" s="500"/>
      <c r="D5" s="500"/>
      <c r="E5" s="500"/>
      <c r="F5" s="502"/>
      <c r="I5" s="72" t="s">
        <v>47</v>
      </c>
      <c r="J5" s="147">
        <f>Assumptions!$D$16</f>
        <v>1.67</v>
      </c>
      <c r="K5" s="146"/>
      <c r="L5" s="28"/>
      <c r="M5" s="28"/>
      <c r="N5" s="28"/>
      <c r="O5" s="28"/>
      <c r="P5" s="28"/>
      <c r="Q5" s="28"/>
      <c r="R5" s="28"/>
      <c r="S5" s="28"/>
      <c r="T5" s="28"/>
      <c r="V5" s="237"/>
      <c r="W5" s="237"/>
      <c r="X5" s="237"/>
      <c r="Y5" s="237"/>
      <c r="Z5" s="237"/>
      <c r="AA5" s="237"/>
      <c r="AB5" s="237"/>
      <c r="AC5" s="237"/>
      <c r="AF5" s="339"/>
      <c r="AG5" s="339"/>
      <c r="AH5" s="339"/>
      <c r="AI5" s="339"/>
      <c r="AJ5" s="339"/>
      <c r="AK5" s="339"/>
      <c r="AL5" s="339"/>
      <c r="AM5" s="339"/>
      <c r="AN5" s="339"/>
      <c r="AO5" s="339"/>
      <c r="AP5" s="339"/>
      <c r="AQ5" s="339"/>
      <c r="AR5" s="339"/>
    </row>
    <row r="6" spans="1:44" x14ac:dyDescent="0.25">
      <c r="B6" s="96">
        <f>Assumptions!$D$8</f>
        <v>2028</v>
      </c>
      <c r="C6" s="140">
        <f t="shared" ref="C6:C25" si="0">VLOOKUP(B6,$I$30:$Q$60,9,FALSE)</f>
        <v>3438.5279750617947</v>
      </c>
      <c r="D6" s="141">
        <f t="shared" ref="D6:D25" si="1">VLOOKUP(B6,$I$64:$Q$94,9,FALSE)</f>
        <v>-1398.1757322975147</v>
      </c>
      <c r="E6" s="141">
        <f>(C6-D6)</f>
        <v>4836.7037073593092</v>
      </c>
      <c r="F6" s="124">
        <f>E6*(1+0.07)^-(B6-Assumptions!$D$4)</f>
        <v>2815.0055937665929</v>
      </c>
      <c r="G6" s="28"/>
      <c r="I6" s="72" t="s">
        <v>40</v>
      </c>
      <c r="J6" s="147">
        <f>Assumptions!$D$17</f>
        <v>1</v>
      </c>
      <c r="K6" s="28"/>
      <c r="L6" s="28"/>
      <c r="M6" s="28"/>
      <c r="N6" s="28"/>
      <c r="O6" s="28"/>
      <c r="P6" s="28"/>
      <c r="Q6" s="28"/>
      <c r="R6" s="28"/>
      <c r="S6" s="28"/>
      <c r="T6" s="297" t="s">
        <v>116</v>
      </c>
      <c r="U6" s="310" t="s">
        <v>179</v>
      </c>
      <c r="V6" s="266" t="s">
        <v>59</v>
      </c>
      <c r="W6" s="100" t="s">
        <v>117</v>
      </c>
      <c r="X6" s="100" t="s">
        <v>118</v>
      </c>
      <c r="Y6" s="100" t="s">
        <v>119</v>
      </c>
      <c r="Z6" s="100" t="s">
        <v>120</v>
      </c>
      <c r="AA6" s="100" t="s">
        <v>121</v>
      </c>
      <c r="AB6" s="57" t="s">
        <v>122</v>
      </c>
      <c r="AC6" s="57" t="s">
        <v>123</v>
      </c>
      <c r="AE6" s="329" t="s">
        <v>116</v>
      </c>
      <c r="AF6" s="329" t="s">
        <v>124</v>
      </c>
      <c r="AG6" s="329" t="s">
        <v>131</v>
      </c>
      <c r="AH6" s="329" t="s">
        <v>132</v>
      </c>
      <c r="AI6" s="329" t="s">
        <v>133</v>
      </c>
      <c r="AJ6" s="329" t="s">
        <v>134</v>
      </c>
      <c r="AK6" s="329" t="s">
        <v>135</v>
      </c>
      <c r="AL6" s="329" t="s">
        <v>136</v>
      </c>
      <c r="AM6" s="329" t="s">
        <v>125</v>
      </c>
      <c r="AN6" s="329" t="s">
        <v>126</v>
      </c>
      <c r="AO6" s="329" t="s">
        <v>127</v>
      </c>
      <c r="AP6" s="329" t="s">
        <v>128</v>
      </c>
      <c r="AQ6" s="329" t="s">
        <v>129</v>
      </c>
      <c r="AR6" s="329" t="s">
        <v>130</v>
      </c>
    </row>
    <row r="7" spans="1:44" x14ac:dyDescent="0.25">
      <c r="B7" s="97">
        <f t="shared" ref="B7:B25" si="2">B6+1</f>
        <v>2029</v>
      </c>
      <c r="C7" s="142">
        <f t="shared" si="0"/>
        <v>4470.5813427472676</v>
      </c>
      <c r="D7" s="139">
        <f t="shared" si="1"/>
        <v>-773.61569858738039</v>
      </c>
      <c r="E7" s="139">
        <f t="shared" ref="E7:E25" si="3">(C7-D7)</f>
        <v>5244.197041334648</v>
      </c>
      <c r="F7" s="125">
        <f>E7*(1+0.07)^-(B7-Assumptions!$D$4)</f>
        <v>2852.4957235418715</v>
      </c>
      <c r="G7" s="28"/>
      <c r="K7" s="136"/>
      <c r="L7" s="83"/>
      <c r="M7" s="28"/>
      <c r="N7" s="28"/>
      <c r="O7" s="28"/>
      <c r="P7" s="28"/>
      <c r="Q7" s="28"/>
      <c r="R7" s="28"/>
      <c r="S7" s="28"/>
      <c r="T7" s="493" t="s">
        <v>137</v>
      </c>
      <c r="U7" s="311" t="s">
        <v>178</v>
      </c>
      <c r="V7" s="309">
        <v>2018</v>
      </c>
      <c r="W7" s="248">
        <f>SUMPRODUCT($I$10:$J$10,Y7:Z7)</f>
        <v>11092.292589155555</v>
      </c>
      <c r="X7" s="250">
        <f>260*AA7*AB7/(3600)</f>
        <v>369.25777777777779</v>
      </c>
      <c r="Y7" s="250">
        <f>X7-Z7</f>
        <v>318.36248888888889</v>
      </c>
      <c r="Z7" s="256">
        <f>X7*AC7/100</f>
        <v>50.895288888888892</v>
      </c>
      <c r="AA7" s="327">
        <f>SUM(AG7:AR7)</f>
        <v>1162</v>
      </c>
      <c r="AB7" s="223">
        <v>4.4000000000000004</v>
      </c>
      <c r="AC7" s="246">
        <f>SUMPRODUCT(AG7:AR7,AG8:AR8)/SUM(AG7:AR7)</f>
        <v>13.783132530120483</v>
      </c>
      <c r="AE7" s="491" t="s">
        <v>137</v>
      </c>
      <c r="AF7" s="72" t="s">
        <v>138</v>
      </c>
      <c r="AG7" s="335">
        <v>142</v>
      </c>
      <c r="AH7" s="335">
        <v>7</v>
      </c>
      <c r="AI7" s="335">
        <v>5</v>
      </c>
      <c r="AJ7" s="335">
        <v>2</v>
      </c>
      <c r="AK7" s="335">
        <v>3</v>
      </c>
      <c r="AL7" s="335">
        <v>3</v>
      </c>
      <c r="AM7" s="335">
        <v>13</v>
      </c>
      <c r="AN7" s="335">
        <v>159</v>
      </c>
      <c r="AO7" s="335">
        <v>447</v>
      </c>
      <c r="AP7" s="335">
        <v>129</v>
      </c>
      <c r="AQ7" s="335">
        <v>251</v>
      </c>
      <c r="AR7" s="335">
        <v>1</v>
      </c>
    </row>
    <row r="8" spans="1:44" x14ac:dyDescent="0.25">
      <c r="B8" s="97">
        <f t="shared" si="2"/>
        <v>2030</v>
      </c>
      <c r="C8" s="142">
        <f t="shared" si="0"/>
        <v>5535.7545205786246</v>
      </c>
      <c r="D8" s="139">
        <f t="shared" si="1"/>
        <v>-128.31239675306523</v>
      </c>
      <c r="E8" s="139">
        <f t="shared" si="3"/>
        <v>5664.0669173316901</v>
      </c>
      <c r="F8" s="125">
        <f>E8*(1+0.07)^-(B8-Assumptions!$D$4)</f>
        <v>2879.3244080292379</v>
      </c>
      <c r="H8" s="85"/>
      <c r="I8" s="503" t="s">
        <v>147</v>
      </c>
      <c r="J8" s="503"/>
      <c r="L8" s="83"/>
      <c r="M8" s="28"/>
      <c r="N8" s="28"/>
      <c r="O8" s="28"/>
      <c r="P8" s="28"/>
      <c r="Q8" s="28"/>
      <c r="R8" s="28"/>
      <c r="S8" s="28"/>
      <c r="T8" s="493"/>
      <c r="U8" s="311" t="s">
        <v>18</v>
      </c>
      <c r="V8" s="309">
        <v>2018</v>
      </c>
      <c r="W8" s="248">
        <f>SUMPRODUCT($I$10:$J$10,Y8:Z8)</f>
        <v>17615.316924255552</v>
      </c>
      <c r="X8" s="250">
        <f>260*AA8*AB8/(3600)</f>
        <v>586.40652777777768</v>
      </c>
      <c r="Y8" s="250">
        <f>X8-Z8</f>
        <v>505.58133888888881</v>
      </c>
      <c r="Z8" s="256">
        <f>X8*AC8/100</f>
        <v>80.825188888888874</v>
      </c>
      <c r="AA8" s="356">
        <f>AA7*1.075</f>
        <v>1249.1499999999999</v>
      </c>
      <c r="AB8" s="223">
        <v>6.5</v>
      </c>
      <c r="AC8" s="246">
        <f>AC7</f>
        <v>13.783132530120483</v>
      </c>
      <c r="AE8" s="492"/>
      <c r="AF8" s="72" t="s">
        <v>139</v>
      </c>
      <c r="AG8" s="335">
        <v>13</v>
      </c>
      <c r="AH8" s="335">
        <v>2</v>
      </c>
      <c r="AI8" s="335">
        <v>40</v>
      </c>
      <c r="AJ8" s="335">
        <v>25</v>
      </c>
      <c r="AK8" s="335">
        <v>2</v>
      </c>
      <c r="AL8" s="335">
        <v>2</v>
      </c>
      <c r="AM8" s="335">
        <v>31</v>
      </c>
      <c r="AN8" s="335">
        <v>3</v>
      </c>
      <c r="AO8" s="335">
        <v>20</v>
      </c>
      <c r="AP8" s="335">
        <v>16</v>
      </c>
      <c r="AQ8" s="335">
        <v>8</v>
      </c>
      <c r="AR8" s="335">
        <v>2</v>
      </c>
    </row>
    <row r="9" spans="1:44" ht="14.25" customHeight="1" x14ac:dyDescent="0.25">
      <c r="B9" s="97">
        <f t="shared" si="2"/>
        <v>2031</v>
      </c>
      <c r="C9" s="142">
        <f t="shared" si="0"/>
        <v>6634.0475085546386</v>
      </c>
      <c r="D9" s="139">
        <f t="shared" si="1"/>
        <v>537.73417320691044</v>
      </c>
      <c r="E9" s="139">
        <f>(C9-D9)</f>
        <v>6096.3133353477278</v>
      </c>
      <c r="F9" s="125">
        <f>E9*(1+0.07)^-(B9-Assumptions!$D$4)</f>
        <v>2896.3145501452873</v>
      </c>
      <c r="I9" s="199" t="s">
        <v>151</v>
      </c>
      <c r="J9" s="199" t="s">
        <v>91</v>
      </c>
      <c r="L9" s="28"/>
      <c r="M9" s="28"/>
      <c r="N9" s="28"/>
      <c r="Q9" s="28"/>
      <c r="R9" s="28"/>
      <c r="S9" s="28"/>
      <c r="T9" s="493" t="s">
        <v>140</v>
      </c>
      <c r="U9" s="311" t="s">
        <v>178</v>
      </c>
      <c r="V9" s="309">
        <v>2018</v>
      </c>
      <c r="W9" s="248">
        <f>SUMPRODUCT($I$10:$J$10,Y9:Z9)</f>
        <v>11246.558387999999</v>
      </c>
      <c r="X9" s="250">
        <f>260*AA9*AB9/(3600)</f>
        <v>375.96</v>
      </c>
      <c r="Y9" s="250">
        <f>X9-Z9</f>
        <v>344.83799999999997</v>
      </c>
      <c r="Z9" s="256">
        <f>X9*AC9/100</f>
        <v>31.122000000000003</v>
      </c>
      <c r="AA9" s="327">
        <f>SUM(AG9:AR9)</f>
        <v>964</v>
      </c>
      <c r="AB9" s="223">
        <v>5.4</v>
      </c>
      <c r="AC9" s="246">
        <f>SUMPRODUCT(AG9:AR9,AG10:AR10)/SUM(AG9:AR9)</f>
        <v>8.2780082987551875</v>
      </c>
      <c r="AE9" s="491" t="s">
        <v>140</v>
      </c>
      <c r="AF9" s="72" t="s">
        <v>138</v>
      </c>
      <c r="AG9" s="335">
        <v>190</v>
      </c>
      <c r="AH9" s="335">
        <v>16</v>
      </c>
      <c r="AI9" s="335">
        <v>7</v>
      </c>
      <c r="AJ9" s="335">
        <v>2</v>
      </c>
      <c r="AK9" s="335">
        <v>3</v>
      </c>
      <c r="AL9" s="335">
        <v>24</v>
      </c>
      <c r="AM9" s="335">
        <v>49</v>
      </c>
      <c r="AN9" s="335">
        <v>292</v>
      </c>
      <c r="AO9" s="335">
        <v>154</v>
      </c>
      <c r="AP9" s="335">
        <v>21</v>
      </c>
      <c r="AQ9" s="335">
        <v>203</v>
      </c>
      <c r="AR9" s="335">
        <v>3</v>
      </c>
    </row>
    <row r="10" spans="1:44" x14ac:dyDescent="0.25">
      <c r="B10" s="97">
        <f t="shared" si="2"/>
        <v>2032</v>
      </c>
      <c r="C10" s="142">
        <f t="shared" si="0"/>
        <v>7765.4603066768495</v>
      </c>
      <c r="D10" s="139">
        <f t="shared" si="1"/>
        <v>1224.5240112906995</v>
      </c>
      <c r="E10" s="139">
        <f>(C10-D10)</f>
        <v>6540.9362953861501</v>
      </c>
      <c r="F10" s="125">
        <f>E10*(1+0.07)^-(B10-Assumptions!$D$4)</f>
        <v>2904.2539397832411</v>
      </c>
      <c r="I10" s="244">
        <f>Assumptions!$D$21*J5</f>
        <v>29.725999999999999</v>
      </c>
      <c r="J10" s="148">
        <f>Assumptions!D22</f>
        <v>32</v>
      </c>
      <c r="L10" s="28"/>
      <c r="M10" s="28"/>
      <c r="N10" s="28"/>
      <c r="O10" s="28"/>
      <c r="P10" s="28"/>
      <c r="Q10" s="28"/>
      <c r="R10" s="28"/>
      <c r="S10" s="28"/>
      <c r="T10" s="493"/>
      <c r="U10" s="311" t="s">
        <v>18</v>
      </c>
      <c r="V10" s="309">
        <v>2018</v>
      </c>
      <c r="W10" s="248">
        <f>SUMPRODUCT($I$10:$J$10,Y10:Z10)</f>
        <v>11642.270627577778</v>
      </c>
      <c r="X10" s="250">
        <f>260*AA10*AB10/(3600)</f>
        <v>389.18822222222224</v>
      </c>
      <c r="Y10" s="250">
        <f>X10-Z10</f>
        <v>356.97118888888889</v>
      </c>
      <c r="Z10" s="256">
        <f>X10*AC10/100</f>
        <v>32.21703333333334</v>
      </c>
      <c r="AA10" s="327">
        <f>AA9*1.075</f>
        <v>1036.3</v>
      </c>
      <c r="AB10" s="223">
        <v>5.2</v>
      </c>
      <c r="AC10" s="246">
        <f>AC9</f>
        <v>8.2780082987551875</v>
      </c>
      <c r="AE10" s="492"/>
      <c r="AF10" s="72" t="s">
        <v>139</v>
      </c>
      <c r="AG10" s="335">
        <v>2</v>
      </c>
      <c r="AH10" s="335">
        <v>2</v>
      </c>
      <c r="AI10" s="335">
        <v>14</v>
      </c>
      <c r="AJ10" s="335">
        <v>2</v>
      </c>
      <c r="AK10" s="335">
        <v>2</v>
      </c>
      <c r="AL10" s="335">
        <v>2</v>
      </c>
      <c r="AM10" s="335">
        <v>4</v>
      </c>
      <c r="AN10" s="335">
        <v>7</v>
      </c>
      <c r="AO10" s="335">
        <v>21</v>
      </c>
      <c r="AP10" s="335">
        <v>5</v>
      </c>
      <c r="AQ10" s="335">
        <v>9</v>
      </c>
      <c r="AR10" s="335">
        <v>2</v>
      </c>
    </row>
    <row r="11" spans="1:44" x14ac:dyDescent="0.25">
      <c r="B11" s="97">
        <f t="shared" si="2"/>
        <v>2033</v>
      </c>
      <c r="C11" s="142">
        <f t="shared" si="0"/>
        <v>8929.9929149446689</v>
      </c>
      <c r="D11" s="139">
        <f t="shared" si="1"/>
        <v>1932.0571174986535</v>
      </c>
      <c r="E11" s="139">
        <f>(C11-D11)</f>
        <v>6997.9357974460154</v>
      </c>
      <c r="F11" s="125">
        <f>E11*(1+0.07)^-(B11-Assumptions!$D$4)</f>
        <v>2903.8945645466188</v>
      </c>
      <c r="L11" s="82"/>
      <c r="M11" s="82"/>
      <c r="N11" s="82"/>
      <c r="O11" s="82"/>
      <c r="P11" s="82"/>
      <c r="Q11" s="82"/>
      <c r="R11" s="82"/>
      <c r="S11" s="82"/>
      <c r="T11" s="40"/>
      <c r="U11" s="11"/>
      <c r="V11" s="82"/>
      <c r="W11" s="40"/>
      <c r="X11" s="251"/>
      <c r="Y11" s="251"/>
      <c r="Z11" s="40"/>
      <c r="AA11" s="251"/>
      <c r="AB11" s="136"/>
      <c r="AC11" s="136"/>
      <c r="AE11" s="136"/>
      <c r="AF11" s="78"/>
      <c r="AG11" s="336"/>
      <c r="AH11" s="336"/>
      <c r="AI11" s="336"/>
      <c r="AJ11" s="336"/>
      <c r="AK11" s="336"/>
      <c r="AL11" s="336"/>
      <c r="AM11" s="336"/>
      <c r="AN11" s="336"/>
      <c r="AO11" s="336"/>
      <c r="AP11" s="336"/>
      <c r="AQ11" s="336"/>
      <c r="AR11" s="336"/>
    </row>
    <row r="12" spans="1:44" x14ac:dyDescent="0.25">
      <c r="B12" s="97">
        <f t="shared" si="2"/>
        <v>2034</v>
      </c>
      <c r="C12" s="142">
        <f t="shared" si="0"/>
        <v>10127.645333358078</v>
      </c>
      <c r="D12" s="139">
        <f t="shared" si="1"/>
        <v>2660.333491831539</v>
      </c>
      <c r="E12" s="139">
        <f>(C12-D12)</f>
        <v>7467.311841526538</v>
      </c>
      <c r="F12" s="125">
        <f>E12*(1+0.07)^-(B12-Assumptions!$D$4)</f>
        <v>2895.9522761968215</v>
      </c>
      <c r="I12" s="30" t="s">
        <v>149</v>
      </c>
      <c r="J12" s="504" t="s">
        <v>17</v>
      </c>
      <c r="K12" s="504"/>
      <c r="L12" s="504" t="s">
        <v>18</v>
      </c>
      <c r="M12" s="504"/>
      <c r="T12" s="297" t="s">
        <v>116</v>
      </c>
      <c r="U12" s="310" t="s">
        <v>179</v>
      </c>
      <c r="V12" s="266" t="s">
        <v>59</v>
      </c>
      <c r="W12" s="100" t="s">
        <v>117</v>
      </c>
      <c r="X12" s="252" t="s">
        <v>141</v>
      </c>
      <c r="Y12" s="252" t="s">
        <v>142</v>
      </c>
      <c r="Z12" s="100" t="s">
        <v>143</v>
      </c>
      <c r="AA12" s="252" t="s">
        <v>121</v>
      </c>
      <c r="AB12" s="57" t="s">
        <v>122</v>
      </c>
      <c r="AC12" s="57" t="s">
        <v>123</v>
      </c>
      <c r="AE12" s="329" t="s">
        <v>116</v>
      </c>
      <c r="AF12" s="329" t="s">
        <v>124</v>
      </c>
      <c r="AG12" s="337" t="s">
        <v>131</v>
      </c>
      <c r="AH12" s="337" t="s">
        <v>132</v>
      </c>
      <c r="AI12" s="337" t="s">
        <v>133</v>
      </c>
      <c r="AJ12" s="337" t="s">
        <v>134</v>
      </c>
      <c r="AK12" s="337" t="s">
        <v>135</v>
      </c>
      <c r="AL12" s="337" t="s">
        <v>136</v>
      </c>
      <c r="AM12" s="337" t="s">
        <v>125</v>
      </c>
      <c r="AN12" s="337" t="s">
        <v>126</v>
      </c>
      <c r="AO12" s="337" t="s">
        <v>127</v>
      </c>
      <c r="AP12" s="337" t="s">
        <v>128</v>
      </c>
      <c r="AQ12" s="337" t="s">
        <v>129</v>
      </c>
      <c r="AR12" s="337" t="s">
        <v>130</v>
      </c>
    </row>
    <row r="13" spans="1:44" ht="15" customHeight="1" x14ac:dyDescent="0.25">
      <c r="B13" s="97">
        <f t="shared" si="2"/>
        <v>2035</v>
      </c>
      <c r="C13" s="142">
        <f t="shared" si="0"/>
        <v>11358.417561916358</v>
      </c>
      <c r="D13" s="139">
        <f t="shared" si="1"/>
        <v>3409.3531342893693</v>
      </c>
      <c r="E13" s="139">
        <f>(C13-D13)</f>
        <v>7949.0644276269886</v>
      </c>
      <c r="F13" s="125">
        <f>E13*(1+0.07)^-(B13-Assumptions!$D$4)</f>
        <v>2881.1067616740743</v>
      </c>
      <c r="I13" s="312" t="s">
        <v>100</v>
      </c>
      <c r="J13" s="57">
        <v>2018</v>
      </c>
      <c r="K13" s="57">
        <v>2040</v>
      </c>
      <c r="L13" s="57">
        <v>2018</v>
      </c>
      <c r="M13" s="57">
        <v>2040</v>
      </c>
      <c r="T13" s="493" t="s">
        <v>137</v>
      </c>
      <c r="U13" s="311" t="s">
        <v>63</v>
      </c>
      <c r="V13" s="309">
        <v>2040</v>
      </c>
      <c r="W13" s="248">
        <f>SUMPRODUCT($I$10:$J$10,Y13:Z13)</f>
        <v>30222.892812705188</v>
      </c>
      <c r="X13" s="250">
        <f>260*AA13*AB13/(3600)</f>
        <v>1006.1566666666668</v>
      </c>
      <c r="Y13" s="250">
        <f>X13-Z13</f>
        <v>868.12687802469145</v>
      </c>
      <c r="Z13" s="256">
        <f>X13*AC13/100</f>
        <v>138.02978864197533</v>
      </c>
      <c r="AA13" s="327">
        <f>SUM(AG19:AR19)</f>
        <v>1498</v>
      </c>
      <c r="AB13" s="332">
        <v>9.3000000000000007</v>
      </c>
      <c r="AC13" s="246">
        <f>SUMPRODUCT(AG13:AR13,AG14:AR14)/SUM(AG13:AR13)</f>
        <v>13.718518518518518</v>
      </c>
      <c r="AE13" s="491" t="s">
        <v>137</v>
      </c>
      <c r="AF13" s="72" t="s">
        <v>173</v>
      </c>
      <c r="AG13" s="335">
        <v>233</v>
      </c>
      <c r="AH13" s="335">
        <v>11</v>
      </c>
      <c r="AI13" s="335">
        <v>15</v>
      </c>
      <c r="AJ13" s="335">
        <v>10</v>
      </c>
      <c r="AK13" s="335">
        <v>10</v>
      </c>
      <c r="AL13" s="335">
        <v>10</v>
      </c>
      <c r="AM13" s="335">
        <v>22</v>
      </c>
      <c r="AN13" s="335">
        <v>283</v>
      </c>
      <c r="AO13" s="335">
        <v>756</v>
      </c>
      <c r="AP13" s="335">
        <v>231</v>
      </c>
      <c r="AQ13" s="335">
        <v>434</v>
      </c>
      <c r="AR13" s="335">
        <v>10</v>
      </c>
    </row>
    <row r="14" spans="1:44" x14ac:dyDescent="0.25">
      <c r="B14" s="97">
        <f t="shared" si="2"/>
        <v>2036</v>
      </c>
      <c r="C14" s="142">
        <f t="shared" si="0"/>
        <v>12622.309600620933</v>
      </c>
      <c r="D14" s="139">
        <f t="shared" si="1"/>
        <v>4179.1160448713454</v>
      </c>
      <c r="E14" s="139">
        <f t="shared" si="3"/>
        <v>8443.1935557495872</v>
      </c>
      <c r="F14" s="125">
        <f>E14*(1+0.07)^-(B14-Assumptions!$D$4)</f>
        <v>2860.0017732256633</v>
      </c>
      <c r="I14" s="313" t="s">
        <v>114</v>
      </c>
      <c r="J14" s="185">
        <f>SUM($AA$7,$AA$9)</f>
        <v>2126</v>
      </c>
      <c r="K14" s="185">
        <f>SUM(AA13,AA15)</f>
        <v>2741</v>
      </c>
      <c r="L14" s="185">
        <f>SUM($AA$8,$AA$10)</f>
        <v>2285.4499999999998</v>
      </c>
      <c r="M14" s="185">
        <f>SUM(AA14,AA16)</f>
        <v>3704</v>
      </c>
      <c r="T14" s="493"/>
      <c r="U14" s="311" t="s">
        <v>18</v>
      </c>
      <c r="V14" s="309">
        <v>2040</v>
      </c>
      <c r="W14" s="248">
        <f>SUMPRODUCT($I$10:$J$10,Y14:Z14)</f>
        <v>55352.449152000001</v>
      </c>
      <c r="X14" s="250">
        <f>260*AA14*AB14/(3600)</f>
        <v>1842.75</v>
      </c>
      <c r="Y14" s="250">
        <f>X14-Z14</f>
        <v>1589.952</v>
      </c>
      <c r="Z14" s="256">
        <f>X14*AC14/100</f>
        <v>252.798</v>
      </c>
      <c r="AA14" s="327">
        <f>SUM(AG13:AR13)</f>
        <v>2025</v>
      </c>
      <c r="AB14" s="223">
        <v>12.6</v>
      </c>
      <c r="AC14" s="246">
        <f>AC13</f>
        <v>13.718518518518518</v>
      </c>
      <c r="AE14" s="492"/>
      <c r="AF14" s="72" t="s">
        <v>139</v>
      </c>
      <c r="AG14" s="335">
        <v>13</v>
      </c>
      <c r="AH14" s="335">
        <v>2</v>
      </c>
      <c r="AI14" s="335">
        <v>40</v>
      </c>
      <c r="AJ14" s="335">
        <v>25</v>
      </c>
      <c r="AK14" s="335">
        <v>2</v>
      </c>
      <c r="AL14" s="335">
        <v>2</v>
      </c>
      <c r="AM14" s="335">
        <v>31</v>
      </c>
      <c r="AN14" s="335">
        <v>3</v>
      </c>
      <c r="AO14" s="335">
        <v>20</v>
      </c>
      <c r="AP14" s="335">
        <v>16</v>
      </c>
      <c r="AQ14" s="335">
        <v>8</v>
      </c>
      <c r="AR14" s="335">
        <v>2</v>
      </c>
    </row>
    <row r="15" spans="1:44" x14ac:dyDescent="0.25">
      <c r="B15" s="97">
        <f t="shared" si="2"/>
        <v>2037</v>
      </c>
      <c r="C15" s="142">
        <f t="shared" si="0"/>
        <v>13919.321449471101</v>
      </c>
      <c r="D15" s="139">
        <f t="shared" si="1"/>
        <v>4969.6222235774767</v>
      </c>
      <c r="E15" s="139">
        <f t="shared" si="3"/>
        <v>8949.6992258936243</v>
      </c>
      <c r="F15" s="125">
        <f>E15*(1+0.07)^-(B15-Assumptions!$D$4)</f>
        <v>2833.2455772743929</v>
      </c>
      <c r="I15" s="313" t="s">
        <v>115</v>
      </c>
      <c r="J15" s="185">
        <f>SUM($AA$28,$AA$30)</f>
        <v>2534</v>
      </c>
      <c r="K15" s="185">
        <f>SUM(AA34,AA36)</f>
        <v>3184</v>
      </c>
      <c r="L15" s="185">
        <f>SUM($AA$29,$AA$31)</f>
        <v>2724.05</v>
      </c>
      <c r="M15" s="185">
        <f>SUM(AA35,AA37)</f>
        <v>4324</v>
      </c>
      <c r="T15" s="493" t="s">
        <v>140</v>
      </c>
      <c r="U15" s="311" t="s">
        <v>63</v>
      </c>
      <c r="V15" s="309">
        <v>2040</v>
      </c>
      <c r="W15" s="248">
        <f>SUMPRODUCT($I$10:$J$10,Y15:Z15)</f>
        <v>47261.994206395022</v>
      </c>
      <c r="X15" s="250">
        <f>260*AA15*AB36/(3600)</f>
        <v>1579.9911111111112</v>
      </c>
      <c r="Y15" s="250">
        <f>X15-Z15</f>
        <v>1450.185289868308</v>
      </c>
      <c r="Z15" s="256">
        <f>X15*AC15/100</f>
        <v>129.80582124280326</v>
      </c>
      <c r="AA15" s="247">
        <f>SUM(AG20:AR20)</f>
        <v>1243</v>
      </c>
      <c r="AB15" s="223">
        <v>9.5</v>
      </c>
      <c r="AC15" s="246">
        <f>SUMPRODUCT(AG15:AR15,AG16:AR16)/SUM(AG15:AR15)</f>
        <v>8.2156045265038706</v>
      </c>
      <c r="AE15" s="491" t="s">
        <v>140</v>
      </c>
      <c r="AF15" s="72" t="s">
        <v>173</v>
      </c>
      <c r="AG15" s="335">
        <v>319</v>
      </c>
      <c r="AH15" s="335">
        <v>25</v>
      </c>
      <c r="AI15" s="335">
        <v>15</v>
      </c>
      <c r="AJ15" s="335">
        <v>10</v>
      </c>
      <c r="AK15" s="335">
        <v>10</v>
      </c>
      <c r="AL15" s="335">
        <v>40</v>
      </c>
      <c r="AM15" s="335">
        <v>82</v>
      </c>
      <c r="AN15" s="335">
        <v>514</v>
      </c>
      <c r="AO15" s="335">
        <v>258</v>
      </c>
      <c r="AP15" s="335">
        <v>38</v>
      </c>
      <c r="AQ15" s="335">
        <v>358</v>
      </c>
      <c r="AR15" s="335">
        <v>10</v>
      </c>
    </row>
    <row r="16" spans="1:44" x14ac:dyDescent="0.25">
      <c r="B16" s="97">
        <f t="shared" si="2"/>
        <v>2038</v>
      </c>
      <c r="C16" s="142">
        <f t="shared" si="0"/>
        <v>15249.453108466856</v>
      </c>
      <c r="D16" s="139">
        <f t="shared" si="1"/>
        <v>5780.8716704085618</v>
      </c>
      <c r="E16" s="139">
        <f t="shared" si="3"/>
        <v>9468.5814380582942</v>
      </c>
      <c r="F16" s="125">
        <f>E16*(1+0.07)^-(B16-Assumptions!$D$4)</f>
        <v>2801.4115862739177</v>
      </c>
      <c r="T16" s="493"/>
      <c r="U16" s="311" t="s">
        <v>18</v>
      </c>
      <c r="V16" s="309">
        <v>2040</v>
      </c>
      <c r="W16" s="248">
        <f>SUMPRODUCT($I$10:$J$10,Y16:Z16)</f>
        <v>28655.370865622222</v>
      </c>
      <c r="X16" s="250">
        <f>260*AA16*AB16/(3600)</f>
        <v>957.96277777777777</v>
      </c>
      <c r="Y16" s="250">
        <f>X16-Z16</f>
        <v>879.2603444444444</v>
      </c>
      <c r="Z16" s="256">
        <f>X16*AC16/100</f>
        <v>78.702433333333332</v>
      </c>
      <c r="AA16" s="327">
        <f>SUM(AG15:AR15)</f>
        <v>1679</v>
      </c>
      <c r="AB16" s="223">
        <v>7.9</v>
      </c>
      <c r="AC16" s="246">
        <f>AC15</f>
        <v>8.2156045265038706</v>
      </c>
      <c r="AE16" s="492"/>
      <c r="AF16" s="72" t="s">
        <v>139</v>
      </c>
      <c r="AG16" s="335">
        <v>2</v>
      </c>
      <c r="AH16" s="335">
        <v>2</v>
      </c>
      <c r="AI16" s="335">
        <v>14</v>
      </c>
      <c r="AJ16" s="335">
        <v>2</v>
      </c>
      <c r="AK16" s="335">
        <v>2</v>
      </c>
      <c r="AL16" s="335">
        <v>2</v>
      </c>
      <c r="AM16" s="335">
        <v>4</v>
      </c>
      <c r="AN16" s="335">
        <v>7</v>
      </c>
      <c r="AO16" s="335">
        <v>21</v>
      </c>
      <c r="AP16" s="335">
        <v>5</v>
      </c>
      <c r="AQ16" s="335">
        <v>9</v>
      </c>
      <c r="AR16" s="335">
        <v>2</v>
      </c>
    </row>
    <row r="17" spans="1:44" ht="17.25" x14ac:dyDescent="0.25">
      <c r="B17" s="97">
        <f t="shared" si="2"/>
        <v>2039</v>
      </c>
      <c r="C17" s="142">
        <f t="shared" si="0"/>
        <v>16612.704577607408</v>
      </c>
      <c r="D17" s="139">
        <f t="shared" si="1"/>
        <v>6612.8643853646208</v>
      </c>
      <c r="E17" s="139">
        <f t="shared" si="3"/>
        <v>9999.8401922427875</v>
      </c>
      <c r="F17" s="125">
        <f>E17*(1+0.07)^-(B17-Assumptions!$D$4)</f>
        <v>2765.0391419318457</v>
      </c>
      <c r="I17" s="30" t="s">
        <v>150</v>
      </c>
      <c r="J17" s="494" t="s">
        <v>17</v>
      </c>
      <c r="K17" s="495"/>
      <c r="L17" s="494" t="s">
        <v>18</v>
      </c>
      <c r="M17" s="495"/>
      <c r="N17" s="188"/>
      <c r="O17" s="188"/>
      <c r="P17" s="188"/>
      <c r="Q17" s="188"/>
      <c r="R17" s="188"/>
      <c r="S17" s="188"/>
      <c r="T17" s="241"/>
      <c r="U17" s="11"/>
      <c r="V17" s="81"/>
      <c r="W17" s="14"/>
      <c r="X17" s="253"/>
      <c r="Y17" s="253"/>
      <c r="Z17" s="14"/>
      <c r="AA17" s="253"/>
      <c r="AB17" s="14"/>
      <c r="AC17" s="238"/>
      <c r="AG17" s="336"/>
      <c r="AH17" s="336"/>
      <c r="AI17" s="336"/>
      <c r="AJ17" s="336"/>
      <c r="AK17" s="336"/>
      <c r="AL17" s="336"/>
      <c r="AM17" s="336"/>
      <c r="AN17" s="336"/>
      <c r="AO17" s="336"/>
      <c r="AP17" s="336"/>
      <c r="AQ17" s="336"/>
      <c r="AR17" s="336"/>
    </row>
    <row r="18" spans="1:44" x14ac:dyDescent="0.25">
      <c r="B18" s="97">
        <f t="shared" si="2"/>
        <v>2040</v>
      </c>
      <c r="C18" s="142">
        <f t="shared" si="0"/>
        <v>18009.075856894349</v>
      </c>
      <c r="D18" s="139">
        <f t="shared" si="1"/>
        <v>7465.6003684448078</v>
      </c>
      <c r="E18" s="139">
        <f t="shared" si="3"/>
        <v>10543.475488449541</v>
      </c>
      <c r="F18" s="125">
        <f>E18*(1+0.07)^-(B18-Assumptions!$D$4)</f>
        <v>2724.6344219175976</v>
      </c>
      <c r="I18" s="57" t="s">
        <v>100</v>
      </c>
      <c r="J18" s="57">
        <v>2018</v>
      </c>
      <c r="K18" s="57">
        <v>2040</v>
      </c>
      <c r="L18" s="57">
        <v>2018</v>
      </c>
      <c r="M18" s="57">
        <v>2040</v>
      </c>
      <c r="N18" s="60"/>
      <c r="O18" s="60"/>
      <c r="P18" s="60"/>
      <c r="Q18" s="60"/>
      <c r="R18" s="60"/>
      <c r="S18" s="60"/>
      <c r="U18" s="11"/>
      <c r="V18" s="81"/>
      <c r="X18" s="85"/>
      <c r="Y18" s="85"/>
      <c r="AA18" s="85"/>
      <c r="AF18" s="331" t="s">
        <v>218</v>
      </c>
      <c r="AG18" s="336"/>
      <c r="AH18" s="336"/>
      <c r="AI18" s="336"/>
      <c r="AJ18" s="336"/>
      <c r="AK18" s="336"/>
      <c r="AL18" s="336"/>
      <c r="AM18" s="336"/>
      <c r="AN18" s="336"/>
      <c r="AO18" s="336"/>
      <c r="AP18" s="336"/>
      <c r="AQ18" s="336"/>
      <c r="AR18" s="336"/>
    </row>
    <row r="19" spans="1:44" x14ac:dyDescent="0.25">
      <c r="B19" s="97">
        <f t="shared" si="2"/>
        <v>2041</v>
      </c>
      <c r="C19" s="142">
        <f t="shared" si="0"/>
        <v>19438.566946326864</v>
      </c>
      <c r="D19" s="139">
        <f t="shared" si="1"/>
        <v>8339.0796196490883</v>
      </c>
      <c r="E19" s="139">
        <f t="shared" si="3"/>
        <v>11099.487326677776</v>
      </c>
      <c r="F19" s="125">
        <f>E19*(1+0.07)^-(B19-Assumptions!$D$4)</f>
        <v>2680.6714455189199</v>
      </c>
      <c r="I19" s="137" t="s">
        <v>114</v>
      </c>
      <c r="J19" s="234">
        <f>SUM(W7,W9)</f>
        <v>22338.850977155555</v>
      </c>
      <c r="K19" s="234">
        <f>SUM(W15,W13)</f>
        <v>77484.887019100206</v>
      </c>
      <c r="L19" s="234">
        <f>SUM(W8,W10)</f>
        <v>29257.587551833331</v>
      </c>
      <c r="M19" s="234">
        <f>SUM(W14,W16)</f>
        <v>84007.820017622231</v>
      </c>
      <c r="N19" s="308"/>
      <c r="O19" s="308"/>
      <c r="P19" s="308"/>
      <c r="Q19" s="308"/>
      <c r="R19" s="308"/>
      <c r="S19" s="308"/>
      <c r="T19" s="14"/>
      <c r="U19" s="11"/>
      <c r="V19" s="81"/>
      <c r="W19" s="14"/>
      <c r="X19" s="253"/>
      <c r="Y19" s="253"/>
      <c r="Z19" s="14"/>
      <c r="AA19" s="253"/>
      <c r="AB19" s="14"/>
      <c r="AC19" s="14"/>
      <c r="AF19" s="72" t="s">
        <v>174</v>
      </c>
      <c r="AG19" s="335">
        <v>169</v>
      </c>
      <c r="AH19" s="335">
        <v>10</v>
      </c>
      <c r="AI19" s="335">
        <v>15</v>
      </c>
      <c r="AJ19" s="335">
        <v>10</v>
      </c>
      <c r="AK19" s="335">
        <v>10</v>
      </c>
      <c r="AL19" s="335">
        <v>10</v>
      </c>
      <c r="AM19" s="335">
        <v>16</v>
      </c>
      <c r="AN19" s="335">
        <v>208</v>
      </c>
      <c r="AO19" s="335">
        <v>556</v>
      </c>
      <c r="AP19" s="335">
        <v>169</v>
      </c>
      <c r="AQ19" s="335">
        <v>315</v>
      </c>
      <c r="AR19" s="335">
        <v>10</v>
      </c>
    </row>
    <row r="20" spans="1:44" ht="14.25" customHeight="1" x14ac:dyDescent="0.25">
      <c r="B20" s="97">
        <f t="shared" si="2"/>
        <v>2042</v>
      </c>
      <c r="C20" s="142">
        <f t="shared" si="0"/>
        <v>20901.177845905342</v>
      </c>
      <c r="D20" s="139">
        <f t="shared" si="1"/>
        <v>9233.3021389783753</v>
      </c>
      <c r="E20" s="139">
        <f t="shared" si="3"/>
        <v>11667.875706926967</v>
      </c>
      <c r="F20" s="125">
        <f>E20*(1+0.07)^-(B20-Assumptions!$D$4)</f>
        <v>2633.5931567300463</v>
      </c>
      <c r="H20" s="80"/>
      <c r="I20" s="187" t="s">
        <v>115</v>
      </c>
      <c r="J20" s="234">
        <f>SUM(W28,W30)</f>
        <v>25035.125438266667</v>
      </c>
      <c r="K20" s="234">
        <f>SUM(W36,W34)</f>
        <v>68401.165628065966</v>
      </c>
      <c r="L20" s="234">
        <f>SUM(W29,W31)</f>
        <v>33650.700614078887</v>
      </c>
      <c r="M20" s="234">
        <f>SUM(W35,W37)</f>
        <v>84292.370227000007</v>
      </c>
      <c r="N20" s="308"/>
      <c r="O20" s="308"/>
      <c r="P20" s="308"/>
      <c r="Q20" s="308"/>
      <c r="R20" s="308"/>
      <c r="S20" s="308"/>
      <c r="U20" s="11"/>
      <c r="AA20" s="85"/>
      <c r="AF20" s="72" t="s">
        <v>175</v>
      </c>
      <c r="AG20" s="335">
        <v>234</v>
      </c>
      <c r="AH20" s="335">
        <v>20</v>
      </c>
      <c r="AI20" s="335">
        <v>15</v>
      </c>
      <c r="AJ20" s="335">
        <v>10</v>
      </c>
      <c r="AK20" s="335">
        <v>10</v>
      </c>
      <c r="AL20" s="335">
        <v>29</v>
      </c>
      <c r="AM20" s="335">
        <v>60</v>
      </c>
      <c r="AN20" s="335">
        <v>376</v>
      </c>
      <c r="AO20" s="335">
        <v>189</v>
      </c>
      <c r="AP20" s="335">
        <v>27</v>
      </c>
      <c r="AQ20" s="335">
        <v>263</v>
      </c>
      <c r="AR20" s="335">
        <v>10</v>
      </c>
    </row>
    <row r="21" spans="1:44" x14ac:dyDescent="0.25">
      <c r="B21" s="97">
        <f t="shared" si="2"/>
        <v>2043</v>
      </c>
      <c r="C21" s="142">
        <f t="shared" si="0"/>
        <v>22396.908555628186</v>
      </c>
      <c r="D21" s="139">
        <f t="shared" si="1"/>
        <v>10148.267926432658</v>
      </c>
      <c r="E21" s="139">
        <f t="shared" si="3"/>
        <v>12248.640629195528</v>
      </c>
      <c r="F21" s="125">
        <f>E21*(1+0.07)^-(B21-Assumptions!$D$4)</f>
        <v>2583.8125659443344</v>
      </c>
      <c r="G21" s="40"/>
      <c r="H21" s="80"/>
      <c r="U21" s="11"/>
      <c r="AA21" s="85"/>
    </row>
    <row r="22" spans="1:44" x14ac:dyDescent="0.25">
      <c r="B22" s="97">
        <f t="shared" si="2"/>
        <v>2044</v>
      </c>
      <c r="C22" s="142">
        <f t="shared" si="0"/>
        <v>23925.759075497459</v>
      </c>
      <c r="D22" s="139">
        <f t="shared" si="1"/>
        <v>11083.976982011052</v>
      </c>
      <c r="E22" s="139">
        <f t="shared" si="3"/>
        <v>12841.782093486407</v>
      </c>
      <c r="F22" s="125">
        <f>E22*(1+0.07)^-(B22-Assumptions!$D$4)</f>
        <v>2531.7139338498232</v>
      </c>
      <c r="G22" s="37"/>
      <c r="H22" s="80"/>
      <c r="I22" s="30" t="s">
        <v>190</v>
      </c>
      <c r="J22" s="494" t="s">
        <v>17</v>
      </c>
      <c r="K22" s="495"/>
      <c r="L22" s="494" t="s">
        <v>18</v>
      </c>
      <c r="M22" s="495"/>
      <c r="U22" s="11"/>
      <c r="AA22" s="85"/>
    </row>
    <row r="23" spans="1:44" x14ac:dyDescent="0.25">
      <c r="B23" s="97">
        <f t="shared" si="2"/>
        <v>2045</v>
      </c>
      <c r="C23" s="142">
        <f t="shared" si="0"/>
        <v>25487.729405512324</v>
      </c>
      <c r="D23" s="139">
        <f t="shared" si="1"/>
        <v>12040.429305713542</v>
      </c>
      <c r="E23" s="139">
        <f t="shared" si="3"/>
        <v>13447.300099798782</v>
      </c>
      <c r="F23" s="125">
        <f>E23*(1+0.07)^-(B23-Assumptions!$D$4)</f>
        <v>2477.6539832826556</v>
      </c>
      <c r="G23" s="37"/>
      <c r="H23" s="80"/>
      <c r="I23" s="57" t="s">
        <v>100</v>
      </c>
      <c r="J23" s="57">
        <v>2018</v>
      </c>
      <c r="K23" s="57">
        <v>2040</v>
      </c>
      <c r="L23" s="57">
        <v>2018</v>
      </c>
      <c r="M23" s="57">
        <v>2040</v>
      </c>
      <c r="U23" s="11"/>
      <c r="AA23" s="85"/>
    </row>
    <row r="24" spans="1:44" x14ac:dyDescent="0.25">
      <c r="B24" s="97">
        <f t="shared" si="2"/>
        <v>2046</v>
      </c>
      <c r="C24" s="142">
        <f t="shared" si="0"/>
        <v>27082.819545672806</v>
      </c>
      <c r="D24" s="139">
        <f t="shared" si="1"/>
        <v>13017.624897540974</v>
      </c>
      <c r="E24" s="139">
        <f t="shared" si="3"/>
        <v>14065.194648131832</v>
      </c>
      <c r="F24" s="125">
        <f>E24*(1+0.07)^-(B24-Assumptions!$D$4)</f>
        <v>2421.9631267369123</v>
      </c>
      <c r="G24" s="80"/>
      <c r="H24" s="80"/>
      <c r="I24" s="187" t="s">
        <v>114</v>
      </c>
      <c r="J24" s="234">
        <f t="shared" ref="J24:M25" si="4">J19/J14</f>
        <v>10.507455774767429</v>
      </c>
      <c r="K24" s="234">
        <f t="shared" si="4"/>
        <v>28.268838751951918</v>
      </c>
      <c r="L24" s="234">
        <f t="shared" si="4"/>
        <v>12.801674747569772</v>
      </c>
      <c r="M24" s="234">
        <f t="shared" si="4"/>
        <v>22.680296980999522</v>
      </c>
      <c r="U24" s="11"/>
      <c r="AA24" s="85"/>
    </row>
    <row r="25" spans="1:44" ht="15" customHeight="1" thickBot="1" x14ac:dyDescent="0.3">
      <c r="B25" s="98">
        <f t="shared" si="2"/>
        <v>2047</v>
      </c>
      <c r="C25" s="143">
        <f t="shared" si="0"/>
        <v>28711.029495977931</v>
      </c>
      <c r="D25" s="144">
        <f t="shared" si="1"/>
        <v>14015.563757493483</v>
      </c>
      <c r="E25" s="144">
        <f t="shared" si="3"/>
        <v>14695.465738484449</v>
      </c>
      <c r="F25" s="126">
        <f>E25*(1+0.07)^-(B25-Assumptions!$D$4)</f>
        <v>2364.9466989448952</v>
      </c>
      <c r="G25" s="80"/>
      <c r="I25" s="187" t="s">
        <v>115</v>
      </c>
      <c r="J25" s="234">
        <f t="shared" si="4"/>
        <v>9.8796864397263882</v>
      </c>
      <c r="K25" s="234">
        <f t="shared" si="4"/>
        <v>21.482778149518204</v>
      </c>
      <c r="L25" s="234">
        <f t="shared" si="4"/>
        <v>12.35318757514689</v>
      </c>
      <c r="M25" s="234">
        <f t="shared" si="4"/>
        <v>19.494072670444034</v>
      </c>
      <c r="U25" s="11"/>
      <c r="AA25" s="85"/>
    </row>
    <row r="26" spans="1:44" ht="15" customHeight="1" thickBot="1" x14ac:dyDescent="0.3">
      <c r="B26" s="4"/>
      <c r="C26" s="222"/>
      <c r="D26" s="222"/>
      <c r="E26" s="93" t="s">
        <v>2</v>
      </c>
      <c r="F26" s="123">
        <f>SUM(F6:F25)</f>
        <v>54707.03522931473</v>
      </c>
      <c r="T26" s="236" t="s">
        <v>146</v>
      </c>
      <c r="U26" s="11"/>
      <c r="V26" s="236"/>
      <c r="W26" s="239"/>
      <c r="X26" s="254"/>
      <c r="Y26" s="254"/>
      <c r="Z26" s="239"/>
      <c r="AA26" s="254"/>
      <c r="AB26" s="239"/>
      <c r="AC26" s="239"/>
      <c r="AF26" s="305"/>
      <c r="AG26" s="305"/>
      <c r="AH26" s="305"/>
      <c r="AI26" s="305"/>
      <c r="AJ26" s="305"/>
      <c r="AK26" s="305"/>
      <c r="AL26" s="305"/>
      <c r="AM26" s="305"/>
      <c r="AN26" s="305"/>
      <c r="AO26" s="305"/>
      <c r="AP26" s="305"/>
      <c r="AQ26" s="305"/>
      <c r="AR26" s="305"/>
    </row>
    <row r="27" spans="1:44" x14ac:dyDescent="0.25">
      <c r="E27" s="14"/>
      <c r="F27" s="14"/>
      <c r="T27" s="297" t="s">
        <v>116</v>
      </c>
      <c r="U27" s="310" t="s">
        <v>179</v>
      </c>
      <c r="V27" s="266" t="s">
        <v>59</v>
      </c>
      <c r="W27" s="100" t="s">
        <v>117</v>
      </c>
      <c r="X27" s="252" t="s">
        <v>118</v>
      </c>
      <c r="Y27" s="252" t="s">
        <v>119</v>
      </c>
      <c r="Z27" s="100" t="s">
        <v>120</v>
      </c>
      <c r="AA27" s="252" t="s">
        <v>121</v>
      </c>
      <c r="AB27" s="57" t="s">
        <v>144</v>
      </c>
      <c r="AC27" s="57" t="s">
        <v>123</v>
      </c>
      <c r="AE27" s="329" t="s">
        <v>116</v>
      </c>
      <c r="AF27" s="329" t="s">
        <v>124</v>
      </c>
      <c r="AG27" s="329" t="s">
        <v>131</v>
      </c>
      <c r="AH27" s="329" t="s">
        <v>132</v>
      </c>
      <c r="AI27" s="329" t="s">
        <v>133</v>
      </c>
      <c r="AJ27" s="329" t="s">
        <v>134</v>
      </c>
      <c r="AK27" s="329" t="s">
        <v>135</v>
      </c>
      <c r="AL27" s="329" t="s">
        <v>136</v>
      </c>
      <c r="AM27" s="329" t="s">
        <v>125</v>
      </c>
      <c r="AN27" s="329" t="s">
        <v>126</v>
      </c>
      <c r="AO27" s="329" t="s">
        <v>127</v>
      </c>
      <c r="AP27" s="329" t="s">
        <v>128</v>
      </c>
      <c r="AQ27" s="329" t="s">
        <v>129</v>
      </c>
      <c r="AR27" s="329" t="s">
        <v>130</v>
      </c>
    </row>
    <row r="28" spans="1:44" x14ac:dyDescent="0.25">
      <c r="A28" s="28"/>
      <c r="B28" s="30" t="s">
        <v>3</v>
      </c>
      <c r="C28" s="28"/>
      <c r="D28" s="28"/>
      <c r="I28" s="10" t="s">
        <v>185</v>
      </c>
      <c r="N28" s="37"/>
      <c r="O28" s="37"/>
      <c r="T28" s="493" t="s">
        <v>137</v>
      </c>
      <c r="U28" s="311" t="s">
        <v>178</v>
      </c>
      <c r="V28" s="309">
        <v>2018</v>
      </c>
      <c r="W28" s="259">
        <f>SUMPRODUCT($I$10:$J$10,Y28:Z28)</f>
        <v>4728.7833215999999</v>
      </c>
      <c r="X28" s="260">
        <f>260*AA28*AB28/(3600)</f>
        <v>157.27833333333334</v>
      </c>
      <c r="Y28" s="260">
        <f>X28-Z28</f>
        <v>133.73937777777778</v>
      </c>
      <c r="Z28" s="261">
        <f>X28*AC28/100</f>
        <v>23.538955555555553</v>
      </c>
      <c r="AA28" s="327">
        <f>SUM(AG28:AR28)</f>
        <v>1281</v>
      </c>
      <c r="AB28" s="166">
        <v>1.7</v>
      </c>
      <c r="AC28" s="262">
        <f>SUMPRODUCT(AG28:AR28,AG29:AR29)/SUM(AG28:AR28)</f>
        <v>14.966432474629196</v>
      </c>
      <c r="AE28" s="491" t="s">
        <v>137</v>
      </c>
      <c r="AF28" s="72" t="s">
        <v>138</v>
      </c>
      <c r="AG28" s="335">
        <v>36</v>
      </c>
      <c r="AH28" s="335">
        <v>0</v>
      </c>
      <c r="AI28" s="335">
        <v>31</v>
      </c>
      <c r="AJ28" s="335">
        <v>4</v>
      </c>
      <c r="AK28" s="335">
        <v>0</v>
      </c>
      <c r="AL28" s="335">
        <v>60</v>
      </c>
      <c r="AM28" s="335">
        <v>3</v>
      </c>
      <c r="AN28" s="335">
        <v>584</v>
      </c>
      <c r="AO28" s="335">
        <v>167</v>
      </c>
      <c r="AP28" s="335">
        <v>11</v>
      </c>
      <c r="AQ28" s="335">
        <v>377</v>
      </c>
      <c r="AR28" s="335">
        <v>8</v>
      </c>
    </row>
    <row r="29" spans="1:44" ht="15" customHeight="1" x14ac:dyDescent="0.25">
      <c r="A29" s="34" t="s">
        <v>27</v>
      </c>
      <c r="B29" s="490" t="s">
        <v>306</v>
      </c>
      <c r="C29" s="490"/>
      <c r="D29" s="490"/>
      <c r="E29" s="490"/>
      <c r="F29" s="490"/>
      <c r="I29" s="199" t="s">
        <v>59</v>
      </c>
      <c r="J29" s="199" t="s">
        <v>180</v>
      </c>
      <c r="K29" s="199" t="s">
        <v>181</v>
      </c>
      <c r="L29" s="199" t="s">
        <v>183</v>
      </c>
      <c r="M29" s="223" t="s">
        <v>182</v>
      </c>
      <c r="N29" s="223" t="s">
        <v>184</v>
      </c>
      <c r="O29" s="233" t="s">
        <v>187</v>
      </c>
      <c r="P29" s="233" t="s">
        <v>188</v>
      </c>
      <c r="Q29" s="233" t="s">
        <v>189</v>
      </c>
      <c r="T29" s="493"/>
      <c r="U29" s="311" t="s">
        <v>18</v>
      </c>
      <c r="V29" s="309">
        <v>2018</v>
      </c>
      <c r="W29" s="259">
        <f>SUMPRODUCT($I$10:$J$10,Y29:Z29)</f>
        <v>17642.534245439998</v>
      </c>
      <c r="X29" s="260">
        <f>260*AA29*AB29/(3600)</f>
        <v>586.78695833333336</v>
      </c>
      <c r="Y29" s="260">
        <f>X29-Z29</f>
        <v>498.96588444444444</v>
      </c>
      <c r="Z29" s="261">
        <f>X29*AC29/100</f>
        <v>87.82107388888889</v>
      </c>
      <c r="AA29" s="356">
        <f>AA28*1.075</f>
        <v>1377.075</v>
      </c>
      <c r="AB29" s="166">
        <v>5.9</v>
      </c>
      <c r="AC29" s="262">
        <f>AC28</f>
        <v>14.966432474629196</v>
      </c>
      <c r="AE29" s="492"/>
      <c r="AF29" s="72" t="s">
        <v>139</v>
      </c>
      <c r="AG29" s="335">
        <v>33</v>
      </c>
      <c r="AH29" s="335">
        <v>2</v>
      </c>
      <c r="AI29" s="335">
        <v>13</v>
      </c>
      <c r="AJ29" s="335">
        <v>25</v>
      </c>
      <c r="AK29" s="335">
        <v>2</v>
      </c>
      <c r="AL29" s="335">
        <v>47</v>
      </c>
      <c r="AM29" s="335">
        <v>2</v>
      </c>
      <c r="AN29" s="335">
        <v>16</v>
      </c>
      <c r="AO29" s="335">
        <v>9</v>
      </c>
      <c r="AP29" s="335">
        <v>2</v>
      </c>
      <c r="AQ29" s="335">
        <v>10</v>
      </c>
      <c r="AR29" s="335">
        <v>2</v>
      </c>
    </row>
    <row r="30" spans="1:44" x14ac:dyDescent="0.25">
      <c r="A30" s="28"/>
      <c r="B30" s="490"/>
      <c r="C30" s="490"/>
      <c r="D30" s="490"/>
      <c r="E30" s="490"/>
      <c r="F30" s="490"/>
      <c r="I30" s="199">
        <v>2018</v>
      </c>
      <c r="J30" s="234">
        <f t="shared" ref="J30:J60" si="5">TREND($J$24:$K$24,$J$23:$K$23,I30)</f>
        <v>10.50745577476755</v>
      </c>
      <c r="K30" s="234">
        <f t="shared" ref="K30:K60" si="6">TREND($L$24:$M$24,$L$23:$M$23,I30)</f>
        <v>12.801674747569677</v>
      </c>
      <c r="L30" s="234">
        <f>J30-K30</f>
        <v>-2.2942189728021276</v>
      </c>
      <c r="M30" s="185">
        <f t="shared" ref="M30:M60" si="7">TREND($J$14:$K$14,$J$13:$K$13,I30)</f>
        <v>2126</v>
      </c>
      <c r="N30" s="185">
        <f t="shared" ref="N30:N60" si="8">TREND($L$14:$M$14,$L$13:$M$13,I30)</f>
        <v>2285.4499999999971</v>
      </c>
      <c r="O30" s="315">
        <f>(J30-K30)*M30</f>
        <v>-4877.5095361773238</v>
      </c>
      <c r="P30" s="315">
        <f>((J30-K30)*(N30-M30))/2</f>
        <v>-182.90660760664628</v>
      </c>
      <c r="Q30" s="315">
        <f>SUM(O30:P30)</f>
        <v>-5060.4161437839703</v>
      </c>
      <c r="T30" s="493" t="s">
        <v>140</v>
      </c>
      <c r="U30" s="311" t="s">
        <v>178</v>
      </c>
      <c r="V30" s="309">
        <v>2018</v>
      </c>
      <c r="W30" s="259">
        <f>SUMPRODUCT($I$10:$J$10,Y30:Z30)</f>
        <v>20306.342116666667</v>
      </c>
      <c r="X30" s="260">
        <f>260*AA30*AB30/(3600)</f>
        <v>678.70833333333337</v>
      </c>
      <c r="Y30" s="260">
        <f>X30-Z30</f>
        <v>621.07500000000005</v>
      </c>
      <c r="Z30" s="261">
        <f>X30*AC30/100</f>
        <v>57.63333333333334</v>
      </c>
      <c r="AA30" s="327">
        <f>SUM(AG30:AR30)</f>
        <v>1253</v>
      </c>
      <c r="AB30" s="166">
        <v>7.5</v>
      </c>
      <c r="AC30" s="262">
        <f>SUMPRODUCT(AG30:AR30,AG31:AR31)/SUM(AG30:AR30)</f>
        <v>8.4916201117318444</v>
      </c>
      <c r="AE30" s="491" t="s">
        <v>140</v>
      </c>
      <c r="AF30" s="72" t="s">
        <v>138</v>
      </c>
      <c r="AG30" s="335">
        <v>122</v>
      </c>
      <c r="AH30" s="335">
        <v>1</v>
      </c>
      <c r="AI30" s="335">
        <v>95</v>
      </c>
      <c r="AJ30" s="335">
        <v>22</v>
      </c>
      <c r="AK30" s="335">
        <v>13</v>
      </c>
      <c r="AL30" s="335">
        <v>187</v>
      </c>
      <c r="AM30" s="335">
        <v>9</v>
      </c>
      <c r="AN30" s="335">
        <v>378</v>
      </c>
      <c r="AO30" s="335">
        <v>9</v>
      </c>
      <c r="AP30" s="335">
        <v>21</v>
      </c>
      <c r="AQ30" s="335">
        <v>392</v>
      </c>
      <c r="AR30" s="335">
        <v>4</v>
      </c>
    </row>
    <row r="31" spans="1:44" x14ac:dyDescent="0.25">
      <c r="A31" s="28"/>
      <c r="B31" s="490"/>
      <c r="C31" s="490"/>
      <c r="D31" s="490"/>
      <c r="E31" s="490"/>
      <c r="F31" s="490"/>
      <c r="I31" s="199">
        <v>2019</v>
      </c>
      <c r="J31" s="234">
        <f t="shared" si="5"/>
        <v>11.314791364639632</v>
      </c>
      <c r="K31" s="234">
        <f t="shared" si="6"/>
        <v>13.250703030907403</v>
      </c>
      <c r="L31" s="234">
        <f t="shared" ref="L31:L60" si="9">J31-K31</f>
        <v>-1.9359116662677707</v>
      </c>
      <c r="M31" s="185">
        <f t="shared" si="7"/>
        <v>2153.9545454545441</v>
      </c>
      <c r="N31" s="185">
        <f t="shared" si="8"/>
        <v>2349.92954545455</v>
      </c>
      <c r="O31" s="315">
        <f t="shared" ref="O31:O60" si="10">(J31-K31)*M31</f>
        <v>-4169.8657331559452</v>
      </c>
      <c r="P31" s="315">
        <f t="shared" ref="P31:P60" si="11">((J31-K31)*(N31-M31))/2</f>
        <v>-189.69514439841882</v>
      </c>
      <c r="Q31" s="315">
        <f t="shared" ref="Q31:Q60" si="12">SUM(O31:P31)</f>
        <v>-4359.5608775543642</v>
      </c>
      <c r="T31" s="493"/>
      <c r="U31" s="311" t="s">
        <v>18</v>
      </c>
      <c r="V31" s="309">
        <v>2018</v>
      </c>
      <c r="W31" s="259">
        <f>SUMPRODUCT($I$10:$J$10,Y31:Z31)</f>
        <v>16008.166368638889</v>
      </c>
      <c r="X31" s="260">
        <f>260*AA31*AB31/(3600)</f>
        <v>535.04840277777782</v>
      </c>
      <c r="Y31" s="260">
        <f>X31-Z31</f>
        <v>489.61412500000006</v>
      </c>
      <c r="Z31" s="261">
        <f>X31*AC31/100</f>
        <v>45.434277777777787</v>
      </c>
      <c r="AA31" s="327">
        <f>AA30*1.075</f>
        <v>1346.9749999999999</v>
      </c>
      <c r="AB31" s="166">
        <v>5.5</v>
      </c>
      <c r="AC31" s="262">
        <f>AC30</f>
        <v>8.4916201117318444</v>
      </c>
      <c r="AE31" s="492"/>
      <c r="AF31" s="72" t="s">
        <v>139</v>
      </c>
      <c r="AG31" s="335">
        <v>6</v>
      </c>
      <c r="AH31" s="335">
        <v>2</v>
      </c>
      <c r="AI31" s="335">
        <v>9</v>
      </c>
      <c r="AJ31" s="335">
        <v>14</v>
      </c>
      <c r="AK31" s="335">
        <v>8</v>
      </c>
      <c r="AL31" s="335">
        <v>11</v>
      </c>
      <c r="AM31" s="335">
        <v>33</v>
      </c>
      <c r="AN31" s="335">
        <v>11</v>
      </c>
      <c r="AO31" s="335">
        <v>6</v>
      </c>
      <c r="AP31" s="335">
        <v>5</v>
      </c>
      <c r="AQ31" s="335">
        <v>5</v>
      </c>
      <c r="AR31" s="335">
        <v>2</v>
      </c>
    </row>
    <row r="32" spans="1:44" x14ac:dyDescent="0.25">
      <c r="A32" s="28"/>
      <c r="B32" s="340"/>
      <c r="C32" s="340"/>
      <c r="D32" s="340"/>
      <c r="E32" s="340"/>
      <c r="F32" s="340"/>
      <c r="I32" s="199">
        <v>2020</v>
      </c>
      <c r="J32" s="234">
        <f t="shared" si="5"/>
        <v>12.122126954511486</v>
      </c>
      <c r="K32" s="234">
        <f t="shared" si="6"/>
        <v>13.699731314245128</v>
      </c>
      <c r="L32" s="234">
        <f t="shared" si="9"/>
        <v>-1.5776043597336411</v>
      </c>
      <c r="M32" s="185">
        <f t="shared" si="7"/>
        <v>2181.9090909090883</v>
      </c>
      <c r="N32" s="185">
        <f t="shared" si="8"/>
        <v>2414.4090909090883</v>
      </c>
      <c r="O32" s="315">
        <f t="shared" si="10"/>
        <v>-3442.1892943606431</v>
      </c>
      <c r="P32" s="315">
        <f t="shared" si="11"/>
        <v>-183.39650681903578</v>
      </c>
      <c r="Q32" s="315">
        <f t="shared" si="12"/>
        <v>-3625.585801179679</v>
      </c>
      <c r="T32" s="40"/>
      <c r="U32" s="11"/>
      <c r="V32" s="82"/>
      <c r="W32" s="241"/>
      <c r="X32" s="264"/>
      <c r="Y32" s="264"/>
      <c r="Z32" s="265"/>
      <c r="AA32" s="251"/>
      <c r="AB32" s="263"/>
      <c r="AC32" s="263"/>
      <c r="AE32" s="136"/>
      <c r="AF32" s="78"/>
      <c r="AG32" s="336"/>
      <c r="AH32" s="336"/>
      <c r="AI32" s="336"/>
      <c r="AJ32" s="336"/>
      <c r="AK32" s="336"/>
      <c r="AL32" s="336"/>
      <c r="AM32" s="336"/>
      <c r="AN32" s="336"/>
      <c r="AO32" s="336"/>
      <c r="AP32" s="336"/>
      <c r="AQ32" s="336"/>
      <c r="AR32" s="336"/>
    </row>
    <row r="33" spans="1:44" ht="15" customHeight="1" x14ac:dyDescent="0.25">
      <c r="A33" s="34" t="s">
        <v>34</v>
      </c>
      <c r="B33" s="490" t="s">
        <v>307</v>
      </c>
      <c r="C33" s="490"/>
      <c r="D33" s="490"/>
      <c r="E33" s="490"/>
      <c r="F33" s="490"/>
      <c r="I33" s="199">
        <v>2021</v>
      </c>
      <c r="J33" s="234">
        <f t="shared" si="5"/>
        <v>12.929462544383568</v>
      </c>
      <c r="K33" s="234">
        <f t="shared" si="6"/>
        <v>14.148759597582853</v>
      </c>
      <c r="L33" s="234">
        <f t="shared" si="9"/>
        <v>-1.2192970531992842</v>
      </c>
      <c r="M33" s="185">
        <f t="shared" si="7"/>
        <v>2209.8636363636324</v>
      </c>
      <c r="N33" s="185">
        <f t="shared" si="8"/>
        <v>2478.8886363636411</v>
      </c>
      <c r="O33" s="315">
        <f t="shared" si="10"/>
        <v>-2694.4802197904314</v>
      </c>
      <c r="P33" s="315">
        <f t="shared" si="11"/>
        <v>-164.01069486847405</v>
      </c>
      <c r="Q33" s="315">
        <f t="shared" si="12"/>
        <v>-2858.4909146589052</v>
      </c>
      <c r="R33" s="37"/>
      <c r="S33" s="37"/>
      <c r="T33" s="297" t="s">
        <v>116</v>
      </c>
      <c r="U33" s="310" t="s">
        <v>179</v>
      </c>
      <c r="V33" s="266" t="s">
        <v>59</v>
      </c>
      <c r="W33" s="297" t="s">
        <v>117</v>
      </c>
      <c r="X33" s="267" t="s">
        <v>141</v>
      </c>
      <c r="Y33" s="267" t="s">
        <v>142</v>
      </c>
      <c r="Z33" s="297" t="s">
        <v>143</v>
      </c>
      <c r="AA33" s="252" t="s">
        <v>121</v>
      </c>
      <c r="AB33" s="266" t="s">
        <v>144</v>
      </c>
      <c r="AC33" s="266"/>
      <c r="AE33" s="329" t="s">
        <v>116</v>
      </c>
      <c r="AF33" s="329" t="s">
        <v>124</v>
      </c>
      <c r="AG33" s="337" t="s">
        <v>131</v>
      </c>
      <c r="AH33" s="337" t="s">
        <v>132</v>
      </c>
      <c r="AI33" s="337" t="s">
        <v>133</v>
      </c>
      <c r="AJ33" s="337" t="s">
        <v>134</v>
      </c>
      <c r="AK33" s="337" t="s">
        <v>135</v>
      </c>
      <c r="AL33" s="337" t="s">
        <v>136</v>
      </c>
      <c r="AM33" s="337" t="s">
        <v>125</v>
      </c>
      <c r="AN33" s="337" t="s">
        <v>126</v>
      </c>
      <c r="AO33" s="337" t="s">
        <v>127</v>
      </c>
      <c r="AP33" s="337" t="s">
        <v>128</v>
      </c>
      <c r="AQ33" s="337" t="s">
        <v>129</v>
      </c>
      <c r="AR33" s="337" t="s">
        <v>130</v>
      </c>
    </row>
    <row r="34" spans="1:44" x14ac:dyDescent="0.25">
      <c r="A34" s="28"/>
      <c r="B34" s="490"/>
      <c r="C34" s="490"/>
      <c r="D34" s="490"/>
      <c r="E34" s="490"/>
      <c r="F34" s="490"/>
      <c r="I34" s="199">
        <v>2022</v>
      </c>
      <c r="J34" s="234">
        <f t="shared" si="5"/>
        <v>13.73679813425565</v>
      </c>
      <c r="K34" s="234">
        <f t="shared" si="6"/>
        <v>14.597787880920578</v>
      </c>
      <c r="L34" s="234">
        <f t="shared" si="9"/>
        <v>-0.86098974666492722</v>
      </c>
      <c r="M34" s="185">
        <f t="shared" si="7"/>
        <v>2237.8181818181765</v>
      </c>
      <c r="N34" s="185">
        <f t="shared" si="8"/>
        <v>2543.3681818181794</v>
      </c>
      <c r="O34" s="315">
        <f t="shared" si="10"/>
        <v>-1926.7385094457998</v>
      </c>
      <c r="P34" s="315">
        <f t="shared" si="11"/>
        <v>-131.5377085467355</v>
      </c>
      <c r="Q34" s="315">
        <f t="shared" si="12"/>
        <v>-2058.2762179925353</v>
      </c>
      <c r="R34" s="37"/>
      <c r="S34" s="37"/>
      <c r="T34" s="493" t="s">
        <v>137</v>
      </c>
      <c r="U34" s="311" t="s">
        <v>63</v>
      </c>
      <c r="V34" s="309">
        <v>2040</v>
      </c>
      <c r="W34" s="259">
        <f>SUMPRODUCT($I$10:$J$10,Y34:Z34)</f>
        <v>8771.2815951605389</v>
      </c>
      <c r="X34" s="260">
        <f>260*AA34*AB34/(3600)</f>
        <v>291.77777777777777</v>
      </c>
      <c r="Y34" s="260">
        <f>X34-Z34</f>
        <v>248.72792160437558</v>
      </c>
      <c r="Z34" s="261">
        <f>X34*AC34/100</f>
        <v>43.049856173402205</v>
      </c>
      <c r="AA34" s="327">
        <f>SUM(AG40:AR40)</f>
        <v>1616</v>
      </c>
      <c r="AB34" s="166">
        <v>2.5</v>
      </c>
      <c r="AC34" s="262">
        <f>SUMPRODUCT(AG34:AR34,AG35:AR35)/SUM(AG34:AR34)</f>
        <v>14.75432999088423</v>
      </c>
      <c r="AE34" s="491" t="s">
        <v>137</v>
      </c>
      <c r="AF34" s="72" t="s">
        <v>173</v>
      </c>
      <c r="AG34" s="335">
        <v>58</v>
      </c>
      <c r="AH34" s="335">
        <v>10</v>
      </c>
      <c r="AI34" s="335">
        <v>55</v>
      </c>
      <c r="AJ34" s="335">
        <v>10</v>
      </c>
      <c r="AK34" s="335">
        <v>10</v>
      </c>
      <c r="AL34" s="335">
        <v>97</v>
      </c>
      <c r="AM34" s="335">
        <v>10</v>
      </c>
      <c r="AN34" s="335">
        <v>996</v>
      </c>
      <c r="AO34" s="335">
        <v>271</v>
      </c>
      <c r="AP34" s="335">
        <v>20</v>
      </c>
      <c r="AQ34" s="335">
        <v>643</v>
      </c>
      <c r="AR34" s="335">
        <v>14</v>
      </c>
    </row>
    <row r="35" spans="1:44" x14ac:dyDescent="0.25">
      <c r="A35" s="28"/>
      <c r="B35" s="490"/>
      <c r="C35" s="490"/>
      <c r="D35" s="490"/>
      <c r="E35" s="490"/>
      <c r="F35" s="490"/>
      <c r="I35" s="199">
        <v>2023</v>
      </c>
      <c r="J35" s="234">
        <f t="shared" si="5"/>
        <v>14.544133724127732</v>
      </c>
      <c r="K35" s="234">
        <f t="shared" si="6"/>
        <v>15.046816164258303</v>
      </c>
      <c r="L35" s="234">
        <f t="shared" si="9"/>
        <v>-0.50268244013057028</v>
      </c>
      <c r="M35" s="185">
        <f t="shared" si="7"/>
        <v>2265.7727272727207</v>
      </c>
      <c r="N35" s="185">
        <f t="shared" si="8"/>
        <v>2607.8477272727323</v>
      </c>
      <c r="O35" s="315">
        <f t="shared" si="10"/>
        <v>-1138.9641633267483</v>
      </c>
      <c r="P35" s="315">
        <f t="shared" si="11"/>
        <v>-85.977547853835347</v>
      </c>
      <c r="Q35" s="315">
        <f t="shared" si="12"/>
        <v>-1224.9417111805838</v>
      </c>
      <c r="R35" s="37"/>
      <c r="S35" s="37"/>
      <c r="T35" s="493"/>
      <c r="U35" s="311" t="s">
        <v>18</v>
      </c>
      <c r="V35" s="309">
        <v>2040</v>
      </c>
      <c r="W35" s="259">
        <f>SUMPRODUCT($I$10:$J$10,Y35:Z35)</f>
        <v>42870.724350999997</v>
      </c>
      <c r="X35" s="260">
        <f>260*AA35*AB35/(3600)</f>
        <v>1426.1</v>
      </c>
      <c r="Y35" s="260">
        <f>X35-Z35</f>
        <v>1215.6885</v>
      </c>
      <c r="Z35" s="261">
        <f>X35*AC35/100</f>
        <v>210.41149999999999</v>
      </c>
      <c r="AA35" s="327">
        <f>SUM(AG34:AR34)</f>
        <v>2194</v>
      </c>
      <c r="AB35" s="334">
        <v>9</v>
      </c>
      <c r="AC35" s="262">
        <f>AC34</f>
        <v>14.75432999088423</v>
      </c>
      <c r="AE35" s="492"/>
      <c r="AF35" s="72" t="s">
        <v>139</v>
      </c>
      <c r="AG35" s="335">
        <v>33</v>
      </c>
      <c r="AH35" s="335">
        <v>2</v>
      </c>
      <c r="AI35" s="335">
        <v>13</v>
      </c>
      <c r="AJ35" s="335">
        <v>25</v>
      </c>
      <c r="AK35" s="335">
        <v>2</v>
      </c>
      <c r="AL35" s="335">
        <v>47</v>
      </c>
      <c r="AM35" s="335">
        <v>2</v>
      </c>
      <c r="AN35" s="335">
        <v>16</v>
      </c>
      <c r="AO35" s="335">
        <v>9</v>
      </c>
      <c r="AP35" s="335">
        <v>2</v>
      </c>
      <c r="AQ35" s="335">
        <v>10</v>
      </c>
      <c r="AR35" s="335">
        <v>2</v>
      </c>
    </row>
    <row r="36" spans="1:44" ht="15" customHeight="1" x14ac:dyDescent="0.25">
      <c r="A36" s="34" t="s">
        <v>35</v>
      </c>
      <c r="B36" s="490" t="s">
        <v>308</v>
      </c>
      <c r="C36" s="490"/>
      <c r="D36" s="490"/>
      <c r="E36" s="490"/>
      <c r="F36" s="490"/>
      <c r="I36" s="199">
        <v>2024</v>
      </c>
      <c r="J36" s="234">
        <f t="shared" si="5"/>
        <v>15.351469313999587</v>
      </c>
      <c r="K36" s="234">
        <f t="shared" si="6"/>
        <v>15.495844447596028</v>
      </c>
      <c r="L36" s="234">
        <f t="shared" si="9"/>
        <v>-0.14437513359644072</v>
      </c>
      <c r="M36" s="185">
        <f t="shared" si="7"/>
        <v>2293.7272727272721</v>
      </c>
      <c r="N36" s="185">
        <f t="shared" si="8"/>
        <v>2672.3272727272706</v>
      </c>
      <c r="O36" s="315">
        <f t="shared" si="10"/>
        <v>-331.15718143379951</v>
      </c>
      <c r="P36" s="315">
        <f t="shared" si="11"/>
        <v>-27.330212789806122</v>
      </c>
      <c r="Q36" s="315">
        <f t="shared" si="12"/>
        <v>-358.48739422360563</v>
      </c>
      <c r="R36" s="37"/>
      <c r="S36" s="37"/>
      <c r="T36" s="493" t="s">
        <v>140</v>
      </c>
      <c r="U36" s="311" t="s">
        <v>63</v>
      </c>
      <c r="V36" s="309">
        <v>2040</v>
      </c>
      <c r="W36" s="259">
        <f>SUMPRODUCT($I$10:$J$10,Y36:Z36)</f>
        <v>59629.884032905422</v>
      </c>
      <c r="X36" s="260">
        <f>260*AA36*AB36/(3600)</f>
        <v>1993.1022222222225</v>
      </c>
      <c r="Y36" s="260">
        <f>X36-Z36</f>
        <v>1824.7084776630154</v>
      </c>
      <c r="Z36" s="261">
        <f>X36*AC36/100</f>
        <v>168.39374455920716</v>
      </c>
      <c r="AA36" s="247">
        <f>SUM(AG41:AR41)</f>
        <v>1568</v>
      </c>
      <c r="AB36" s="333">
        <v>17.600000000000001</v>
      </c>
      <c r="AC36" s="262">
        <f>SUMPRODUCT(AG36:AR36,AG37:AR37)/SUM(AG36:AR36)</f>
        <v>8.4488262910798131</v>
      </c>
      <c r="AE36" s="491" t="s">
        <v>140</v>
      </c>
      <c r="AF36" s="72" t="s">
        <v>173</v>
      </c>
      <c r="AG36" s="335">
        <v>198</v>
      </c>
      <c r="AH36" s="335">
        <v>10</v>
      </c>
      <c r="AI36" s="335">
        <v>170</v>
      </c>
      <c r="AJ36" s="335">
        <v>39</v>
      </c>
      <c r="AK36" s="335">
        <v>18</v>
      </c>
      <c r="AL36" s="335">
        <v>303</v>
      </c>
      <c r="AM36" s="335">
        <v>15</v>
      </c>
      <c r="AN36" s="335">
        <v>645</v>
      </c>
      <c r="AO36" s="335">
        <v>15</v>
      </c>
      <c r="AP36" s="335">
        <v>38</v>
      </c>
      <c r="AQ36" s="335">
        <v>669</v>
      </c>
      <c r="AR36" s="335">
        <v>10</v>
      </c>
    </row>
    <row r="37" spans="1:44" ht="15" customHeight="1" x14ac:dyDescent="0.25">
      <c r="B37" s="490"/>
      <c r="C37" s="490"/>
      <c r="D37" s="490"/>
      <c r="E37" s="490"/>
      <c r="F37" s="490"/>
      <c r="I37" s="199">
        <v>2025</v>
      </c>
      <c r="J37" s="234">
        <f t="shared" si="5"/>
        <v>16.158804903871669</v>
      </c>
      <c r="K37" s="234">
        <f t="shared" si="6"/>
        <v>15.944872730933753</v>
      </c>
      <c r="L37" s="234">
        <f t="shared" si="9"/>
        <v>0.21393217293791622</v>
      </c>
      <c r="M37" s="185">
        <f t="shared" si="7"/>
        <v>2321.6818181818162</v>
      </c>
      <c r="N37" s="185">
        <f t="shared" si="8"/>
        <v>2736.8068181818235</v>
      </c>
      <c r="O37" s="315">
        <f t="shared" si="10"/>
        <v>496.68243623408807</v>
      </c>
      <c r="P37" s="315">
        <f t="shared" si="11"/>
        <v>44.404296645427017</v>
      </c>
      <c r="Q37" s="315">
        <f t="shared" si="12"/>
        <v>541.08673287951513</v>
      </c>
      <c r="R37" s="37"/>
      <c r="S37" s="37"/>
      <c r="T37" s="493"/>
      <c r="U37" s="311" t="s">
        <v>18</v>
      </c>
      <c r="V37" s="309">
        <v>2040</v>
      </c>
      <c r="W37" s="259">
        <f>SUMPRODUCT($I$10:$J$10,Y37:Z37)</f>
        <v>41421.645876000002</v>
      </c>
      <c r="X37" s="260">
        <f>260*AA37*AB37/(3600)</f>
        <v>1384.5</v>
      </c>
      <c r="Y37" s="260">
        <f>X37-Z37</f>
        <v>1267.5260000000001</v>
      </c>
      <c r="Z37" s="261">
        <f>X37*AC37/100</f>
        <v>116.97400000000002</v>
      </c>
      <c r="AA37" s="327">
        <f>SUM(AG36:AR36)</f>
        <v>2130</v>
      </c>
      <c r="AB37" s="334">
        <v>9</v>
      </c>
      <c r="AC37" s="262">
        <f>AC36</f>
        <v>8.4488262910798131</v>
      </c>
      <c r="AE37" s="492"/>
      <c r="AF37" s="72" t="s">
        <v>139</v>
      </c>
      <c r="AG37" s="335">
        <v>6</v>
      </c>
      <c r="AH37" s="335">
        <v>2</v>
      </c>
      <c r="AI37" s="335">
        <v>9</v>
      </c>
      <c r="AJ37" s="335">
        <v>14</v>
      </c>
      <c r="AK37" s="335">
        <v>8</v>
      </c>
      <c r="AL37" s="335">
        <v>11</v>
      </c>
      <c r="AM37" s="335">
        <v>33</v>
      </c>
      <c r="AN37" s="335">
        <v>11</v>
      </c>
      <c r="AO37" s="335">
        <v>6</v>
      </c>
      <c r="AP37" s="335">
        <v>5</v>
      </c>
      <c r="AQ37" s="335">
        <v>5</v>
      </c>
      <c r="AR37" s="335">
        <v>2</v>
      </c>
    </row>
    <row r="38" spans="1:44" ht="15" customHeight="1" x14ac:dyDescent="0.25">
      <c r="A38" s="34"/>
      <c r="B38" s="490"/>
      <c r="C38" s="490"/>
      <c r="D38" s="490"/>
      <c r="E38" s="490"/>
      <c r="F38" s="490"/>
      <c r="I38" s="199">
        <v>2026</v>
      </c>
      <c r="J38" s="234">
        <f t="shared" si="5"/>
        <v>16.966140493743751</v>
      </c>
      <c r="K38" s="234">
        <f t="shared" si="6"/>
        <v>16.393901014271478</v>
      </c>
      <c r="L38" s="234">
        <f t="shared" si="9"/>
        <v>0.57223947947227316</v>
      </c>
      <c r="M38" s="185">
        <f t="shared" si="7"/>
        <v>2349.6363636363603</v>
      </c>
      <c r="N38" s="185">
        <f t="shared" si="8"/>
        <v>2801.2863636363618</v>
      </c>
      <c r="O38" s="315">
        <f t="shared" si="10"/>
        <v>1344.5546896763956</v>
      </c>
      <c r="P38" s="315">
        <f t="shared" si="11"/>
        <v>129.2259804518265</v>
      </c>
      <c r="Q38" s="315">
        <f t="shared" si="12"/>
        <v>1473.780670128222</v>
      </c>
      <c r="R38" s="37"/>
      <c r="S38" s="37"/>
      <c r="AB38" s="28"/>
      <c r="AC38" s="28"/>
      <c r="AG38" s="336"/>
      <c r="AH38" s="336"/>
      <c r="AI38" s="336"/>
      <c r="AJ38" s="336"/>
      <c r="AK38" s="336"/>
      <c r="AL38" s="336"/>
      <c r="AM38" s="336"/>
      <c r="AN38" s="336"/>
      <c r="AO38" s="336"/>
      <c r="AP38" s="336"/>
      <c r="AQ38" s="336"/>
      <c r="AR38" s="336"/>
    </row>
    <row r="39" spans="1:44" ht="15" customHeight="1" x14ac:dyDescent="0.25">
      <c r="A39" s="34"/>
      <c r="B39" s="490"/>
      <c r="C39" s="490"/>
      <c r="D39" s="490"/>
      <c r="E39" s="490"/>
      <c r="F39" s="490"/>
      <c r="I39" s="199">
        <v>2027</v>
      </c>
      <c r="J39" s="234">
        <f t="shared" si="5"/>
        <v>17.773476083615833</v>
      </c>
      <c r="K39" s="234">
        <f t="shared" si="6"/>
        <v>16.842929297609203</v>
      </c>
      <c r="L39" s="234">
        <f t="shared" si="9"/>
        <v>0.9305467860066301</v>
      </c>
      <c r="M39" s="185">
        <f t="shared" si="7"/>
        <v>2377.5909090909045</v>
      </c>
      <c r="N39" s="185">
        <f t="shared" si="8"/>
        <v>2865.7659090909146</v>
      </c>
      <c r="O39" s="315">
        <f t="shared" si="10"/>
        <v>2212.4595788931229</v>
      </c>
      <c r="P39" s="315">
        <f t="shared" si="11"/>
        <v>227.13483862939808</v>
      </c>
      <c r="Q39" s="315">
        <f t="shared" si="12"/>
        <v>2439.5944175225209</v>
      </c>
      <c r="R39" s="37"/>
      <c r="S39" s="37"/>
      <c r="V39" s="385" t="s">
        <v>304</v>
      </c>
      <c r="W39" s="37"/>
      <c r="AF39" s="331" t="s">
        <v>218</v>
      </c>
      <c r="AG39" s="336"/>
      <c r="AH39" s="336"/>
      <c r="AI39" s="336"/>
      <c r="AJ39" s="336"/>
      <c r="AK39" s="336"/>
      <c r="AL39" s="336"/>
      <c r="AM39" s="336"/>
      <c r="AN39" s="336"/>
      <c r="AO39" s="336"/>
      <c r="AP39" s="336"/>
      <c r="AQ39" s="336"/>
      <c r="AR39" s="336"/>
    </row>
    <row r="40" spans="1:44" x14ac:dyDescent="0.25">
      <c r="A40" s="34"/>
      <c r="B40" s="257"/>
      <c r="C40" s="257"/>
      <c r="D40" s="257"/>
      <c r="E40" s="257"/>
      <c r="F40" s="257"/>
      <c r="I40" s="199">
        <v>2028</v>
      </c>
      <c r="J40" s="234">
        <f t="shared" si="5"/>
        <v>18.580811673487688</v>
      </c>
      <c r="K40" s="234">
        <f t="shared" si="6"/>
        <v>17.291957580946928</v>
      </c>
      <c r="L40" s="234">
        <f t="shared" si="9"/>
        <v>1.2888540925407597</v>
      </c>
      <c r="M40" s="185">
        <f t="shared" si="7"/>
        <v>2405.5454545454486</v>
      </c>
      <c r="N40" s="185">
        <f t="shared" si="8"/>
        <v>2930.245454545453</v>
      </c>
      <c r="O40" s="315">
        <f t="shared" si="10"/>
        <v>3100.3971038837235</v>
      </c>
      <c r="P40" s="315">
        <f t="shared" si="11"/>
        <v>338.13087117807112</v>
      </c>
      <c r="Q40" s="315">
        <f t="shared" si="12"/>
        <v>3438.5279750617947</v>
      </c>
      <c r="R40" s="37"/>
      <c r="S40" s="37"/>
      <c r="V40" s="82" t="s">
        <v>300</v>
      </c>
      <c r="W40" s="386">
        <f>($AA$7*$AC$7+$AA$9*$AC$9+$AA$28*$AC$28+$AA$30*$AC$30)/SUM($AA$7,$AA$9,$AA$28,$AA$30)/100</f>
        <v>0.11546781115879828</v>
      </c>
      <c r="AF40" s="72" t="s">
        <v>174</v>
      </c>
      <c r="AG40" s="335">
        <v>43</v>
      </c>
      <c r="AH40" s="335">
        <v>10</v>
      </c>
      <c r="AI40" s="335">
        <v>41</v>
      </c>
      <c r="AJ40" s="335">
        <v>10</v>
      </c>
      <c r="AK40" s="335">
        <v>10</v>
      </c>
      <c r="AL40" s="335">
        <v>71</v>
      </c>
      <c r="AM40" s="335">
        <v>10</v>
      </c>
      <c r="AN40" s="335">
        <v>729</v>
      </c>
      <c r="AO40" s="335">
        <v>198</v>
      </c>
      <c r="AP40" s="335">
        <v>14</v>
      </c>
      <c r="AQ40" s="335">
        <v>470</v>
      </c>
      <c r="AR40" s="335">
        <v>10</v>
      </c>
    </row>
    <row r="41" spans="1:44" ht="15" customHeight="1" x14ac:dyDescent="0.25">
      <c r="A41" s="34"/>
      <c r="B41" s="257"/>
      <c r="C41" s="257"/>
      <c r="D41" s="257"/>
      <c r="E41" s="257"/>
      <c r="F41" s="257"/>
      <c r="I41" s="199">
        <v>2029</v>
      </c>
      <c r="J41" s="234">
        <f t="shared" si="5"/>
        <v>19.38814726335977</v>
      </c>
      <c r="K41" s="234">
        <f t="shared" si="6"/>
        <v>17.740985864284653</v>
      </c>
      <c r="L41" s="234">
        <f t="shared" si="9"/>
        <v>1.6471613990751166</v>
      </c>
      <c r="M41" s="185">
        <f t="shared" si="7"/>
        <v>2433.5</v>
      </c>
      <c r="N41" s="185">
        <f t="shared" si="8"/>
        <v>2994.7250000000058</v>
      </c>
      <c r="O41" s="315">
        <f t="shared" si="10"/>
        <v>4008.3672646492964</v>
      </c>
      <c r="P41" s="315">
        <f t="shared" si="11"/>
        <v>462.21407809797097</v>
      </c>
      <c r="Q41" s="315">
        <f t="shared" si="12"/>
        <v>4470.5813427472676</v>
      </c>
      <c r="W41" s="330"/>
      <c r="X41" s="330"/>
      <c r="Y41" s="330"/>
      <c r="Z41" s="330"/>
      <c r="AA41" s="330"/>
      <c r="AF41" s="72" t="s">
        <v>175</v>
      </c>
      <c r="AG41" s="335">
        <v>145</v>
      </c>
      <c r="AH41" s="335">
        <v>10</v>
      </c>
      <c r="AI41" s="335">
        <v>124</v>
      </c>
      <c r="AJ41" s="335">
        <v>29</v>
      </c>
      <c r="AK41" s="335">
        <v>18</v>
      </c>
      <c r="AL41" s="335">
        <v>222</v>
      </c>
      <c r="AM41" s="335">
        <v>11</v>
      </c>
      <c r="AN41" s="335">
        <v>472</v>
      </c>
      <c r="AO41" s="335">
        <v>11</v>
      </c>
      <c r="AP41" s="335">
        <v>27</v>
      </c>
      <c r="AQ41" s="335">
        <v>489</v>
      </c>
      <c r="AR41" s="335">
        <v>10</v>
      </c>
    </row>
    <row r="42" spans="1:44" x14ac:dyDescent="0.25">
      <c r="A42" s="34"/>
      <c r="B42" s="298"/>
      <c r="C42" s="298"/>
      <c r="D42" s="298"/>
      <c r="E42" s="298"/>
      <c r="F42" s="258"/>
      <c r="I42" s="199">
        <v>2030</v>
      </c>
      <c r="J42" s="234">
        <f t="shared" si="5"/>
        <v>20.195482853231852</v>
      </c>
      <c r="K42" s="234">
        <f t="shared" si="6"/>
        <v>18.190014147622264</v>
      </c>
      <c r="L42" s="234">
        <f t="shared" si="9"/>
        <v>2.0054687056095872</v>
      </c>
      <c r="M42" s="185">
        <f t="shared" si="7"/>
        <v>2461.4545454545441</v>
      </c>
      <c r="N42" s="185">
        <f t="shared" si="8"/>
        <v>3059.2045454545441</v>
      </c>
      <c r="O42" s="315">
        <f t="shared" si="10"/>
        <v>4936.3700611895592</v>
      </c>
      <c r="P42" s="315">
        <f t="shared" si="11"/>
        <v>599.38445938906534</v>
      </c>
      <c r="Q42" s="315">
        <f t="shared" si="12"/>
        <v>5535.7545205786246</v>
      </c>
      <c r="W42" s="330"/>
      <c r="X42" s="330"/>
      <c r="Y42" s="330"/>
      <c r="Z42" s="330"/>
      <c r="AA42" s="330"/>
    </row>
    <row r="43" spans="1:44" ht="15" customHeight="1" x14ac:dyDescent="0.25">
      <c r="A43" s="11"/>
      <c r="B43" s="257"/>
      <c r="C43" s="257"/>
      <c r="D43" s="257"/>
      <c r="E43" s="257"/>
      <c r="F43" s="257"/>
      <c r="I43" s="199">
        <v>2031</v>
      </c>
      <c r="J43" s="234">
        <f t="shared" si="5"/>
        <v>21.002818443103706</v>
      </c>
      <c r="K43" s="234">
        <f t="shared" si="6"/>
        <v>18.639042430959989</v>
      </c>
      <c r="L43" s="234">
        <f t="shared" si="9"/>
        <v>2.3637760121437168</v>
      </c>
      <c r="M43" s="185">
        <f t="shared" si="7"/>
        <v>2489.4090909090883</v>
      </c>
      <c r="N43" s="185">
        <f t="shared" si="8"/>
        <v>3123.684090909097</v>
      </c>
      <c r="O43" s="315">
        <f t="shared" si="10"/>
        <v>5884.4054935034001</v>
      </c>
      <c r="P43" s="315">
        <f t="shared" si="11"/>
        <v>749.64201505123833</v>
      </c>
      <c r="Q43" s="315">
        <f t="shared" si="12"/>
        <v>6634.0475085546386</v>
      </c>
      <c r="W43" s="330"/>
      <c r="X43" s="330"/>
      <c r="Y43" s="330"/>
      <c r="Z43" s="330"/>
      <c r="AA43" s="330"/>
    </row>
    <row r="44" spans="1:44" x14ac:dyDescent="0.25">
      <c r="B44" s="257"/>
      <c r="C44" s="257"/>
      <c r="D44" s="257"/>
      <c r="E44" s="257"/>
      <c r="F44" s="257"/>
      <c r="I44" s="199">
        <v>2032</v>
      </c>
      <c r="J44" s="234">
        <f t="shared" si="5"/>
        <v>21.810154032975788</v>
      </c>
      <c r="K44" s="234">
        <f t="shared" si="6"/>
        <v>19.088070714297714</v>
      </c>
      <c r="L44" s="234">
        <f t="shared" si="9"/>
        <v>2.7220833186780737</v>
      </c>
      <c r="M44" s="185">
        <f t="shared" si="7"/>
        <v>2517.3636363636324</v>
      </c>
      <c r="N44" s="185">
        <f t="shared" si="8"/>
        <v>3188.1636363636353</v>
      </c>
      <c r="O44" s="315">
        <f t="shared" si="10"/>
        <v>6852.47356159222</v>
      </c>
      <c r="P44" s="315">
        <f t="shared" si="11"/>
        <v>912.98674508462989</v>
      </c>
      <c r="Q44" s="315">
        <f t="shared" si="12"/>
        <v>7765.4603066768495</v>
      </c>
      <c r="W44" s="330"/>
      <c r="X44" s="330"/>
      <c r="Y44" s="330"/>
      <c r="Z44" s="330"/>
      <c r="AA44" s="330"/>
    </row>
    <row r="45" spans="1:44" x14ac:dyDescent="0.25">
      <c r="B45" s="257"/>
      <c r="C45" s="257"/>
      <c r="D45" s="257"/>
      <c r="E45" s="257"/>
      <c r="F45" s="257"/>
      <c r="I45" s="199">
        <v>2033</v>
      </c>
      <c r="J45" s="234">
        <f t="shared" si="5"/>
        <v>22.61748962284787</v>
      </c>
      <c r="K45" s="234">
        <f t="shared" si="6"/>
        <v>19.537098997635439</v>
      </c>
      <c r="L45" s="234">
        <f t="shared" si="9"/>
        <v>3.0803906252124307</v>
      </c>
      <c r="M45" s="185">
        <f t="shared" si="7"/>
        <v>2545.3181818181765</v>
      </c>
      <c r="N45" s="185">
        <f t="shared" si="8"/>
        <v>3252.6431818181882</v>
      </c>
      <c r="O45" s="315">
        <f t="shared" si="10"/>
        <v>7840.5742654554597</v>
      </c>
      <c r="P45" s="315">
        <f t="shared" si="11"/>
        <v>1089.4186494892092</v>
      </c>
      <c r="Q45" s="315">
        <f t="shared" si="12"/>
        <v>8929.9929149446689</v>
      </c>
    </row>
    <row r="46" spans="1:44" ht="15" customHeight="1" x14ac:dyDescent="0.25">
      <c r="B46" s="257"/>
      <c r="C46" s="257"/>
      <c r="D46" s="257"/>
      <c r="E46" s="257"/>
      <c r="F46" s="257"/>
      <c r="I46" s="199">
        <v>2034</v>
      </c>
      <c r="J46" s="234">
        <f t="shared" si="5"/>
        <v>23.424825212719952</v>
      </c>
      <c r="K46" s="234">
        <f t="shared" si="6"/>
        <v>19.986127280973164</v>
      </c>
      <c r="L46" s="234">
        <f t="shared" si="9"/>
        <v>3.4386979317467876</v>
      </c>
      <c r="M46" s="185">
        <f t="shared" si="7"/>
        <v>2573.2727272727207</v>
      </c>
      <c r="N46" s="185">
        <f t="shared" si="8"/>
        <v>3317.122727272741</v>
      </c>
      <c r="O46" s="315">
        <f t="shared" si="10"/>
        <v>8848.7076050931191</v>
      </c>
      <c r="P46" s="315">
        <f t="shared" si="11"/>
        <v>1278.9377282649591</v>
      </c>
      <c r="Q46" s="315">
        <f t="shared" si="12"/>
        <v>10127.645333358078</v>
      </c>
    </row>
    <row r="47" spans="1:44" x14ac:dyDescent="0.25">
      <c r="B47" s="257"/>
      <c r="C47" s="257"/>
      <c r="D47" s="257"/>
      <c r="E47" s="257"/>
      <c r="F47" s="257"/>
      <c r="I47" s="199">
        <v>2035</v>
      </c>
      <c r="J47" s="234">
        <f t="shared" si="5"/>
        <v>24.232160802591807</v>
      </c>
      <c r="K47" s="234">
        <f t="shared" si="6"/>
        <v>20.43515556431089</v>
      </c>
      <c r="L47" s="234">
        <f t="shared" si="9"/>
        <v>3.7970052382809172</v>
      </c>
      <c r="M47" s="185">
        <f t="shared" si="7"/>
        <v>2601.2272727272721</v>
      </c>
      <c r="N47" s="185">
        <f t="shared" si="8"/>
        <v>3381.6022727272648</v>
      </c>
      <c r="O47" s="315">
        <f t="shared" si="10"/>
        <v>9876.8735805046363</v>
      </c>
      <c r="P47" s="315">
        <f t="shared" si="11"/>
        <v>1481.5439814117215</v>
      </c>
      <c r="Q47" s="315">
        <f t="shared" si="12"/>
        <v>11358.417561916358</v>
      </c>
    </row>
    <row r="48" spans="1:44" x14ac:dyDescent="0.25">
      <c r="B48" s="257"/>
      <c r="C48" s="257"/>
      <c r="D48" s="257"/>
      <c r="E48" s="257"/>
      <c r="F48" s="257"/>
      <c r="I48" s="199">
        <v>2036</v>
      </c>
      <c r="J48" s="234">
        <f t="shared" si="5"/>
        <v>25.039496392463889</v>
      </c>
      <c r="K48" s="234">
        <f t="shared" si="6"/>
        <v>20.884183847648615</v>
      </c>
      <c r="L48" s="234">
        <f t="shared" si="9"/>
        <v>4.1553125448152741</v>
      </c>
      <c r="M48" s="185">
        <f t="shared" si="7"/>
        <v>2629.1818181818162</v>
      </c>
      <c r="N48" s="185">
        <f t="shared" si="8"/>
        <v>3446.0818181818177</v>
      </c>
      <c r="O48" s="315">
        <f t="shared" si="10"/>
        <v>10925.072191691132</v>
      </c>
      <c r="P48" s="315">
        <f t="shared" si="11"/>
        <v>1697.2374089298016</v>
      </c>
      <c r="Q48" s="315">
        <f t="shared" si="12"/>
        <v>12622.309600620933</v>
      </c>
    </row>
    <row r="49" spans="1:17" x14ac:dyDescent="0.25">
      <c r="B49" s="257"/>
      <c r="C49" s="257"/>
      <c r="D49" s="257"/>
      <c r="E49" s="257"/>
      <c r="F49" s="257"/>
      <c r="I49" s="199">
        <v>2037</v>
      </c>
      <c r="J49" s="234">
        <f t="shared" si="5"/>
        <v>25.846831982335971</v>
      </c>
      <c r="K49" s="234">
        <f t="shared" si="6"/>
        <v>21.33321213098634</v>
      </c>
      <c r="L49" s="234">
        <f t="shared" si="9"/>
        <v>4.5136198513496311</v>
      </c>
      <c r="M49" s="185">
        <f t="shared" si="7"/>
        <v>2657.1363636363603</v>
      </c>
      <c r="N49" s="185">
        <f t="shared" si="8"/>
        <v>3510.5613636363705</v>
      </c>
      <c r="O49" s="315">
        <f t="shared" si="10"/>
        <v>11993.303438652048</v>
      </c>
      <c r="P49" s="315">
        <f t="shared" si="11"/>
        <v>1926.0180108190525</v>
      </c>
      <c r="Q49" s="315">
        <f t="shared" si="12"/>
        <v>13919.321449471101</v>
      </c>
    </row>
    <row r="50" spans="1:17" x14ac:dyDescent="0.25">
      <c r="B50" s="257"/>
      <c r="C50" s="257"/>
      <c r="D50" s="257"/>
      <c r="E50" s="257"/>
      <c r="F50" s="257"/>
      <c r="I50" s="199">
        <v>2038</v>
      </c>
      <c r="J50" s="234">
        <f t="shared" si="5"/>
        <v>26.654167572208053</v>
      </c>
      <c r="K50" s="234">
        <f t="shared" si="6"/>
        <v>21.782240414324065</v>
      </c>
      <c r="L50" s="234">
        <f t="shared" si="9"/>
        <v>4.871927157883988</v>
      </c>
      <c r="M50" s="185">
        <f t="shared" si="7"/>
        <v>2685.0909090909045</v>
      </c>
      <c r="N50" s="185">
        <f t="shared" si="8"/>
        <v>3575.0409090909234</v>
      </c>
      <c r="O50" s="315">
        <f t="shared" si="10"/>
        <v>13081.567321387383</v>
      </c>
      <c r="P50" s="315">
        <f t="shared" si="11"/>
        <v>2167.8857870794736</v>
      </c>
      <c r="Q50" s="315">
        <f t="shared" si="12"/>
        <v>15249.453108466856</v>
      </c>
    </row>
    <row r="51" spans="1:17" x14ac:dyDescent="0.25">
      <c r="B51" s="257"/>
      <c r="C51" s="257"/>
      <c r="D51" s="257"/>
      <c r="E51" s="257"/>
      <c r="F51" s="257"/>
      <c r="I51" s="199">
        <v>2039</v>
      </c>
      <c r="J51" s="234">
        <f t="shared" si="5"/>
        <v>27.461503162079907</v>
      </c>
      <c r="K51" s="234">
        <f t="shared" si="6"/>
        <v>22.23126869766179</v>
      </c>
      <c r="L51" s="234">
        <f t="shared" si="9"/>
        <v>5.2302344644181176</v>
      </c>
      <c r="M51" s="185">
        <f t="shared" si="7"/>
        <v>2713.0454545454486</v>
      </c>
      <c r="N51" s="185">
        <f t="shared" si="8"/>
        <v>3639.5204545454471</v>
      </c>
      <c r="O51" s="315">
        <f t="shared" si="10"/>
        <v>14189.863839896523</v>
      </c>
      <c r="P51" s="315">
        <f t="shared" si="11"/>
        <v>2422.8407377108838</v>
      </c>
      <c r="Q51" s="315">
        <f t="shared" si="12"/>
        <v>16612.704577607408</v>
      </c>
    </row>
    <row r="52" spans="1:17" ht="15" customHeight="1" x14ac:dyDescent="0.25">
      <c r="A52" s="11"/>
      <c r="B52" s="257"/>
      <c r="C52" s="257"/>
      <c r="D52" s="257"/>
      <c r="E52" s="257"/>
      <c r="F52" s="257"/>
      <c r="I52" s="199">
        <v>2040</v>
      </c>
      <c r="J52" s="234">
        <f t="shared" si="5"/>
        <v>28.268838751951989</v>
      </c>
      <c r="K52" s="234">
        <f t="shared" si="6"/>
        <v>22.680296980999515</v>
      </c>
      <c r="L52" s="234">
        <f t="shared" si="9"/>
        <v>5.5885417709524745</v>
      </c>
      <c r="M52" s="185">
        <f t="shared" si="7"/>
        <v>2741</v>
      </c>
      <c r="N52" s="185">
        <f t="shared" si="8"/>
        <v>3704</v>
      </c>
      <c r="O52" s="315">
        <f t="shared" si="10"/>
        <v>15318.192994180732</v>
      </c>
      <c r="P52" s="315">
        <f t="shared" si="11"/>
        <v>2690.8828627136163</v>
      </c>
      <c r="Q52" s="315">
        <f t="shared" si="12"/>
        <v>18009.075856894349</v>
      </c>
    </row>
    <row r="53" spans="1:17" ht="15" customHeight="1" x14ac:dyDescent="0.25">
      <c r="B53" s="257"/>
      <c r="C53" s="257"/>
      <c r="D53" s="257"/>
      <c r="E53" s="257"/>
      <c r="F53" s="257"/>
      <c r="I53" s="199">
        <v>2041</v>
      </c>
      <c r="J53" s="234">
        <f t="shared" si="5"/>
        <v>29.076174341824071</v>
      </c>
      <c r="K53" s="234">
        <f t="shared" si="6"/>
        <v>23.12932526433724</v>
      </c>
      <c r="L53" s="234">
        <f t="shared" si="9"/>
        <v>5.9468490774868314</v>
      </c>
      <c r="M53" s="185">
        <f t="shared" si="7"/>
        <v>2768.9545454545441</v>
      </c>
      <c r="N53" s="185">
        <f t="shared" si="8"/>
        <v>3768.4795454545529</v>
      </c>
      <c r="O53" s="315">
        <f t="shared" si="10"/>
        <v>16466.554784239324</v>
      </c>
      <c r="P53" s="315">
        <f t="shared" si="11"/>
        <v>2972.0121620875384</v>
      </c>
      <c r="Q53" s="315">
        <f t="shared" si="12"/>
        <v>19438.566946326864</v>
      </c>
    </row>
    <row r="54" spans="1:17" x14ac:dyDescent="0.25">
      <c r="B54" s="36"/>
      <c r="C54" s="36"/>
      <c r="D54" s="36"/>
      <c r="E54" s="36"/>
      <c r="F54" s="36"/>
      <c r="I54" s="199">
        <v>2042</v>
      </c>
      <c r="J54" s="234">
        <f t="shared" si="5"/>
        <v>29.883509931696153</v>
      </c>
      <c r="K54" s="234">
        <f t="shared" si="6"/>
        <v>23.578353547674851</v>
      </c>
      <c r="L54" s="234">
        <f t="shared" si="9"/>
        <v>6.3051563840213021</v>
      </c>
      <c r="M54" s="185">
        <f t="shared" si="7"/>
        <v>2796.9090909090883</v>
      </c>
      <c r="N54" s="185">
        <f t="shared" si="8"/>
        <v>3832.9590909091057</v>
      </c>
      <c r="O54" s="315">
        <f t="shared" si="10"/>
        <v>17634.949210072653</v>
      </c>
      <c r="P54" s="315">
        <f t="shared" si="11"/>
        <v>3266.2286358326901</v>
      </c>
      <c r="Q54" s="315">
        <f t="shared" si="12"/>
        <v>20901.177845905342</v>
      </c>
    </row>
    <row r="55" spans="1:17" x14ac:dyDescent="0.25">
      <c r="B55" s="36"/>
      <c r="C55" s="36"/>
      <c r="D55" s="36"/>
      <c r="E55" s="36"/>
      <c r="F55" s="36"/>
      <c r="I55" s="199">
        <v>2043</v>
      </c>
      <c r="J55" s="234">
        <f t="shared" si="5"/>
        <v>30.690845521568008</v>
      </c>
      <c r="K55" s="234">
        <f t="shared" si="6"/>
        <v>24.027381831012576</v>
      </c>
      <c r="L55" s="234">
        <f t="shared" si="9"/>
        <v>6.6634636905554316</v>
      </c>
      <c r="M55" s="185">
        <f t="shared" si="7"/>
        <v>2824.8636363636324</v>
      </c>
      <c r="N55" s="185">
        <f t="shared" si="8"/>
        <v>3897.4386363636295</v>
      </c>
      <c r="O55" s="315">
        <f t="shared" si="10"/>
        <v>18823.376271679448</v>
      </c>
      <c r="P55" s="315">
        <f t="shared" si="11"/>
        <v>3573.5322839487362</v>
      </c>
      <c r="Q55" s="315">
        <f t="shared" si="12"/>
        <v>22396.908555628186</v>
      </c>
    </row>
    <row r="56" spans="1:17" x14ac:dyDescent="0.25">
      <c r="B56" s="36"/>
      <c r="C56" s="36"/>
      <c r="D56" s="36"/>
      <c r="E56" s="36"/>
      <c r="F56" s="36"/>
      <c r="I56" s="199">
        <v>2044</v>
      </c>
      <c r="J56" s="234">
        <f t="shared" si="5"/>
        <v>31.49818111144009</v>
      </c>
      <c r="K56" s="234">
        <f t="shared" si="6"/>
        <v>24.476410114350301</v>
      </c>
      <c r="L56" s="234">
        <f t="shared" si="9"/>
        <v>7.0217709970897886</v>
      </c>
      <c r="M56" s="185">
        <f t="shared" si="7"/>
        <v>2852.8181818181765</v>
      </c>
      <c r="N56" s="185">
        <f t="shared" si="8"/>
        <v>3961.9181818181823</v>
      </c>
      <c r="O56" s="315">
        <f t="shared" si="10"/>
        <v>20031.835969061296</v>
      </c>
      <c r="P56" s="315">
        <f t="shared" si="11"/>
        <v>3893.9231064361625</v>
      </c>
      <c r="Q56" s="315">
        <f t="shared" si="12"/>
        <v>23925.759075497459</v>
      </c>
    </row>
    <row r="57" spans="1:17" x14ac:dyDescent="0.25">
      <c r="B57" s="36"/>
      <c r="C57" s="36"/>
      <c r="D57" s="36"/>
      <c r="E57" s="36"/>
      <c r="F57" s="36"/>
      <c r="I57" s="199">
        <v>2045</v>
      </c>
      <c r="J57" s="234">
        <f t="shared" si="5"/>
        <v>32.305516701312172</v>
      </c>
      <c r="K57" s="234">
        <f t="shared" si="6"/>
        <v>24.925438397688026</v>
      </c>
      <c r="L57" s="234">
        <f t="shared" si="9"/>
        <v>7.3800783036241455</v>
      </c>
      <c r="M57" s="185">
        <f t="shared" si="7"/>
        <v>2880.7727272727207</v>
      </c>
      <c r="N57" s="185">
        <f t="shared" si="8"/>
        <v>4026.3977272727352</v>
      </c>
      <c r="O57" s="315">
        <f t="shared" si="10"/>
        <v>21260.328302217564</v>
      </c>
      <c r="P57" s="315">
        <f t="shared" si="11"/>
        <v>4227.4011032947592</v>
      </c>
      <c r="Q57" s="315">
        <f t="shared" si="12"/>
        <v>25487.729405512324</v>
      </c>
    </row>
    <row r="58" spans="1:17" ht="15" customHeight="1" x14ac:dyDescent="0.25">
      <c r="B58" s="36"/>
      <c r="C58" s="36"/>
      <c r="D58" s="36"/>
      <c r="E58" s="36"/>
      <c r="I58" s="199">
        <v>2046</v>
      </c>
      <c r="J58" s="234">
        <f t="shared" si="5"/>
        <v>33.112852291184254</v>
      </c>
      <c r="K58" s="234">
        <f t="shared" si="6"/>
        <v>25.374466681025751</v>
      </c>
      <c r="L58" s="234">
        <f t="shared" si="9"/>
        <v>7.7383856101585025</v>
      </c>
      <c r="M58" s="185">
        <f t="shared" si="7"/>
        <v>2908.7272727272721</v>
      </c>
      <c r="N58" s="185">
        <f t="shared" si="8"/>
        <v>4090.8772727272881</v>
      </c>
      <c r="O58" s="315">
        <f t="shared" si="10"/>
        <v>22508.853271148309</v>
      </c>
      <c r="P58" s="315">
        <f t="shared" si="11"/>
        <v>4573.9662745244987</v>
      </c>
      <c r="Q58" s="315">
        <f t="shared" si="12"/>
        <v>27082.819545672806</v>
      </c>
    </row>
    <row r="59" spans="1:17" x14ac:dyDescent="0.25">
      <c r="B59" s="36"/>
      <c r="C59" s="36"/>
      <c r="D59" s="36"/>
      <c r="E59" s="36"/>
      <c r="I59" s="199">
        <v>2047</v>
      </c>
      <c r="J59" s="234">
        <f t="shared" si="5"/>
        <v>33.920187881056108</v>
      </c>
      <c r="K59" s="234">
        <f t="shared" si="6"/>
        <v>25.823494964363476</v>
      </c>
      <c r="L59" s="234">
        <f t="shared" si="9"/>
        <v>8.096692916692632</v>
      </c>
      <c r="M59" s="185">
        <f t="shared" si="7"/>
        <v>2936.6818181818162</v>
      </c>
      <c r="N59" s="185">
        <f t="shared" si="8"/>
        <v>4155.3568181818118</v>
      </c>
      <c r="O59" s="315">
        <f t="shared" si="10"/>
        <v>23777.410875852751</v>
      </c>
      <c r="P59" s="315">
        <f t="shared" si="11"/>
        <v>4933.6186201251794</v>
      </c>
      <c r="Q59" s="315">
        <f t="shared" si="12"/>
        <v>28711.029495977931</v>
      </c>
    </row>
    <row r="60" spans="1:17" x14ac:dyDescent="0.25">
      <c r="B60" s="36"/>
      <c r="C60" s="36"/>
      <c r="D60" s="36"/>
      <c r="E60" s="36"/>
      <c r="I60" s="199">
        <v>2048</v>
      </c>
      <c r="J60" s="234">
        <f t="shared" si="5"/>
        <v>34.72752347092819</v>
      </c>
      <c r="K60" s="234">
        <f t="shared" si="6"/>
        <v>26.272523247701201</v>
      </c>
      <c r="L60" s="234">
        <f t="shared" si="9"/>
        <v>8.455000223226989</v>
      </c>
      <c r="M60" s="185">
        <f t="shared" si="7"/>
        <v>2964.6363636363603</v>
      </c>
      <c r="N60" s="185">
        <f t="shared" si="8"/>
        <v>4219.8363636363647</v>
      </c>
      <c r="O60" s="315">
        <f t="shared" si="10"/>
        <v>25066.001116332274</v>
      </c>
      <c r="P60" s="315">
        <f t="shared" si="11"/>
        <v>5306.3581400972771</v>
      </c>
      <c r="Q60" s="315">
        <f t="shared" si="12"/>
        <v>30372.35925642955</v>
      </c>
    </row>
    <row r="61" spans="1:17" x14ac:dyDescent="0.25">
      <c r="B61" s="36"/>
      <c r="C61" s="36"/>
      <c r="D61" s="36"/>
      <c r="E61" s="36"/>
    </row>
    <row r="62" spans="1:17" x14ac:dyDescent="0.25">
      <c r="I62" s="10" t="s">
        <v>186</v>
      </c>
      <c r="N62" s="37"/>
      <c r="O62" s="37"/>
    </row>
    <row r="63" spans="1:17" x14ac:dyDescent="0.25">
      <c r="I63" s="199" t="s">
        <v>59</v>
      </c>
      <c r="J63" s="199" t="s">
        <v>180</v>
      </c>
      <c r="K63" s="199" t="s">
        <v>181</v>
      </c>
      <c r="L63" s="199" t="s">
        <v>183</v>
      </c>
      <c r="M63" s="223" t="s">
        <v>182</v>
      </c>
      <c r="N63" s="223" t="s">
        <v>184</v>
      </c>
      <c r="O63" s="233" t="s">
        <v>187</v>
      </c>
      <c r="P63" s="233" t="s">
        <v>188</v>
      </c>
      <c r="Q63" s="233" t="s">
        <v>189</v>
      </c>
    </row>
    <row r="64" spans="1:17" x14ac:dyDescent="0.25">
      <c r="I64" s="199">
        <v>2018</v>
      </c>
      <c r="J64" s="234">
        <f>TREND($J$25:$K$25,$J$23:$K$23,I64)</f>
        <v>9.8796864397263562</v>
      </c>
      <c r="K64" s="234">
        <f>TREND($L$25:$M$25,$L$23:$M$23,I64)</f>
        <v>12.353187575146876</v>
      </c>
      <c r="L64" s="234">
        <f>J64-K64</f>
        <v>-2.4735011354205199</v>
      </c>
      <c r="M64" s="185">
        <f>TREND($J$15:$K$15,$J$13:$K$13,I64)</f>
        <v>2534</v>
      </c>
      <c r="N64" s="185">
        <f>TREND($L$15:$M$15,$L$13:$M$13,I64)</f>
        <v>2724.0499999999884</v>
      </c>
      <c r="O64" s="315">
        <f>(J64-K64)*M64</f>
        <v>-6267.8518771555973</v>
      </c>
      <c r="P64" s="315">
        <f>((J64-K64)*(N64-M64))/2</f>
        <v>-235.0444453933205</v>
      </c>
      <c r="Q64" s="315">
        <f>SUM(O64:P64)</f>
        <v>-6502.8963225489179</v>
      </c>
    </row>
    <row r="65" spans="9:17" x14ac:dyDescent="0.25">
      <c r="I65" s="199">
        <v>2019</v>
      </c>
      <c r="J65" s="234">
        <f t="shared" ref="J65:J94" si="13">TREND($J$25:$K$25,$J$23:$K$23,I65)</f>
        <v>10.407099699262517</v>
      </c>
      <c r="K65" s="234">
        <f t="shared" ref="K65:K94" si="14">TREND($L$25:$M$25,$L$23:$M$23,I65)</f>
        <v>12.677773261296693</v>
      </c>
      <c r="L65" s="234">
        <f t="shared" ref="L65:L94" si="15">J65-K65</f>
        <v>-2.270673562034176</v>
      </c>
      <c r="M65" s="185">
        <f t="shared" ref="M65:M94" si="16">TREND($J$15:$K$15,$J$13:$K$13,I65)</f>
        <v>2563.5454545454559</v>
      </c>
      <c r="N65" s="185">
        <f t="shared" ref="N65:N94" si="17">TREND($L$15:$M$15,$L$13:$M$13,I65)</f>
        <v>2796.7749999999942</v>
      </c>
      <c r="O65" s="315">
        <f t="shared" ref="O65:O94" si="18">(J65-K65)*M65</f>
        <v>-5820.974888709251</v>
      </c>
      <c r="P65" s="315">
        <f t="shared" ref="P65:P94" si="19">((J65-K65)*(N65-M65))/2</f>
        <v>-264.79408137443414</v>
      </c>
      <c r="Q65" s="315">
        <f t="shared" ref="Q65:Q94" si="20">SUM(O65:P65)</f>
        <v>-6085.7689700836854</v>
      </c>
    </row>
    <row r="66" spans="9:17" x14ac:dyDescent="0.25">
      <c r="I66" s="199">
        <v>2020</v>
      </c>
      <c r="J66" s="234">
        <f t="shared" si="13"/>
        <v>10.93451295879845</v>
      </c>
      <c r="K66" s="234">
        <f t="shared" si="14"/>
        <v>13.002358947446623</v>
      </c>
      <c r="L66" s="234">
        <f t="shared" si="15"/>
        <v>-2.0678459886481733</v>
      </c>
      <c r="M66" s="185">
        <f t="shared" si="16"/>
        <v>2593.0909090909117</v>
      </c>
      <c r="N66" s="185">
        <f t="shared" si="17"/>
        <v>2869.5</v>
      </c>
      <c r="O66" s="315">
        <f t="shared" si="18"/>
        <v>-5362.1126345636867</v>
      </c>
      <c r="P66" s="315">
        <f t="shared" si="19"/>
        <v>-285.78571493112321</v>
      </c>
      <c r="Q66" s="315">
        <f t="shared" si="20"/>
        <v>-5647.8983494948097</v>
      </c>
    </row>
    <row r="67" spans="9:17" x14ac:dyDescent="0.25">
      <c r="I67" s="199">
        <v>2021</v>
      </c>
      <c r="J67" s="234">
        <f t="shared" si="13"/>
        <v>11.461926218334384</v>
      </c>
      <c r="K67" s="234">
        <f t="shared" si="14"/>
        <v>13.32694463359644</v>
      </c>
      <c r="L67" s="234">
        <f t="shared" si="15"/>
        <v>-1.8650184152620568</v>
      </c>
      <c r="M67" s="185">
        <f t="shared" si="16"/>
        <v>2622.6363636363676</v>
      </c>
      <c r="N67" s="185">
        <f t="shared" si="17"/>
        <v>2942.2249999999767</v>
      </c>
      <c r="O67" s="315">
        <f t="shared" si="18"/>
        <v>-4891.2651147177421</v>
      </c>
      <c r="P67" s="315">
        <f t="shared" si="19"/>
        <v>-298.01934606331002</v>
      </c>
      <c r="Q67" s="315">
        <f t="shared" si="20"/>
        <v>-5189.2844607810521</v>
      </c>
    </row>
    <row r="68" spans="9:17" x14ac:dyDescent="0.25">
      <c r="I68" s="199">
        <v>2022</v>
      </c>
      <c r="J68" s="234">
        <f t="shared" si="13"/>
        <v>11.989339477870317</v>
      </c>
      <c r="K68" s="234">
        <f t="shared" si="14"/>
        <v>13.651530319746371</v>
      </c>
      <c r="L68" s="234">
        <f t="shared" si="15"/>
        <v>-1.662190841876054</v>
      </c>
      <c r="M68" s="185">
        <f t="shared" si="16"/>
        <v>2652.1818181818235</v>
      </c>
      <c r="N68" s="185">
        <f t="shared" si="17"/>
        <v>3014.9499999999825</v>
      </c>
      <c r="O68" s="315">
        <f t="shared" si="18"/>
        <v>-4408.4323291720084</v>
      </c>
      <c r="P68" s="315">
        <f t="shared" si="19"/>
        <v>-301.49497477108565</v>
      </c>
      <c r="Q68" s="315">
        <f t="shared" si="20"/>
        <v>-4709.9273039430936</v>
      </c>
    </row>
    <row r="69" spans="9:17" x14ac:dyDescent="0.25">
      <c r="I69" s="199">
        <v>2023</v>
      </c>
      <c r="J69" s="234">
        <f t="shared" si="13"/>
        <v>12.516752737406478</v>
      </c>
      <c r="K69" s="234">
        <f t="shared" si="14"/>
        <v>13.976116005896188</v>
      </c>
      <c r="L69" s="234">
        <f t="shared" si="15"/>
        <v>-1.4593632684897102</v>
      </c>
      <c r="M69" s="185">
        <f t="shared" si="16"/>
        <v>2681.7272727272793</v>
      </c>
      <c r="N69" s="185">
        <f t="shared" si="17"/>
        <v>3087.6749999999884</v>
      </c>
      <c r="O69" s="315">
        <f t="shared" si="18"/>
        <v>-3913.6142779252787</v>
      </c>
      <c r="P69" s="315">
        <f t="shared" si="19"/>
        <v>-296.21260105433504</v>
      </c>
      <c r="Q69" s="315">
        <f t="shared" si="20"/>
        <v>-4209.8268789796139</v>
      </c>
    </row>
    <row r="70" spans="9:17" x14ac:dyDescent="0.25">
      <c r="I70" s="199">
        <v>2024</v>
      </c>
      <c r="J70" s="234">
        <f t="shared" si="13"/>
        <v>13.044165996942411</v>
      </c>
      <c r="K70" s="234">
        <f t="shared" si="14"/>
        <v>14.300701692046118</v>
      </c>
      <c r="L70" s="234">
        <f t="shared" si="15"/>
        <v>-1.2565356951037074</v>
      </c>
      <c r="M70" s="185">
        <f t="shared" si="16"/>
        <v>2711.2727272727279</v>
      </c>
      <c r="N70" s="185">
        <f t="shared" si="17"/>
        <v>3160.3999999999942</v>
      </c>
      <c r="O70" s="315">
        <f t="shared" si="18"/>
        <v>-3406.8109609793619</v>
      </c>
      <c r="P70" s="315">
        <f t="shared" si="19"/>
        <v>-282.17222491319393</v>
      </c>
      <c r="Q70" s="315">
        <f t="shared" si="20"/>
        <v>-3688.9831858925559</v>
      </c>
    </row>
    <row r="71" spans="9:17" x14ac:dyDescent="0.25">
      <c r="I71" s="199">
        <v>2025</v>
      </c>
      <c r="J71" s="234">
        <f t="shared" si="13"/>
        <v>13.571579256478344</v>
      </c>
      <c r="K71" s="234">
        <f t="shared" si="14"/>
        <v>14.625287378195935</v>
      </c>
      <c r="L71" s="234">
        <f t="shared" si="15"/>
        <v>-1.053708121717591</v>
      </c>
      <c r="M71" s="185">
        <f t="shared" si="16"/>
        <v>2740.8181818181838</v>
      </c>
      <c r="N71" s="185">
        <f t="shared" si="17"/>
        <v>3233.125</v>
      </c>
      <c r="O71" s="315">
        <f t="shared" si="18"/>
        <v>-2888.0223783330612</v>
      </c>
      <c r="P71" s="315">
        <f t="shared" si="19"/>
        <v>-259.37384634756256</v>
      </c>
      <c r="Q71" s="315">
        <f t="shared" si="20"/>
        <v>-3147.3962246806236</v>
      </c>
    </row>
    <row r="72" spans="9:17" x14ac:dyDescent="0.25">
      <c r="I72" s="199">
        <v>2026</v>
      </c>
      <c r="J72" s="234">
        <f t="shared" si="13"/>
        <v>14.098992516014277</v>
      </c>
      <c r="K72" s="234">
        <f t="shared" si="14"/>
        <v>14.949873064345866</v>
      </c>
      <c r="L72" s="234">
        <f t="shared" si="15"/>
        <v>-0.85088054833158822</v>
      </c>
      <c r="M72" s="185">
        <f t="shared" si="16"/>
        <v>2770.3636363636397</v>
      </c>
      <c r="N72" s="185">
        <f t="shared" si="17"/>
        <v>3305.8499999999767</v>
      </c>
      <c r="O72" s="315">
        <f t="shared" si="18"/>
        <v>-2357.2485299869863</v>
      </c>
      <c r="P72" s="315">
        <f t="shared" si="19"/>
        <v>-227.81746535748735</v>
      </c>
      <c r="Q72" s="315">
        <f t="shared" si="20"/>
        <v>-2585.0659953444738</v>
      </c>
    </row>
    <row r="73" spans="9:17" x14ac:dyDescent="0.25">
      <c r="I73" s="199">
        <v>2027</v>
      </c>
      <c r="J73" s="234">
        <f t="shared" si="13"/>
        <v>14.626405775550438</v>
      </c>
      <c r="K73" s="234">
        <f t="shared" si="14"/>
        <v>15.274458750495683</v>
      </c>
      <c r="L73" s="234">
        <f t="shared" si="15"/>
        <v>-0.64805297494524439</v>
      </c>
      <c r="M73" s="185">
        <f t="shared" si="16"/>
        <v>2799.9090909090955</v>
      </c>
      <c r="N73" s="185">
        <f t="shared" si="17"/>
        <v>3378.5749999999825</v>
      </c>
      <c r="O73" s="315">
        <f t="shared" si="18"/>
        <v>-1814.4894159398741</v>
      </c>
      <c r="P73" s="315">
        <f t="shared" si="19"/>
        <v>-187.50308194287183</v>
      </c>
      <c r="Q73" s="315">
        <f t="shared" si="20"/>
        <v>-2001.992497882746</v>
      </c>
    </row>
    <row r="74" spans="9:17" x14ac:dyDescent="0.25">
      <c r="I74" s="199">
        <v>2028</v>
      </c>
      <c r="J74" s="234">
        <f t="shared" si="13"/>
        <v>15.153819035086372</v>
      </c>
      <c r="K74" s="234">
        <f t="shared" si="14"/>
        <v>15.599044436645613</v>
      </c>
      <c r="L74" s="234">
        <f t="shared" si="15"/>
        <v>-0.44522540155924162</v>
      </c>
      <c r="M74" s="185">
        <f t="shared" si="16"/>
        <v>2829.4545454545514</v>
      </c>
      <c r="N74" s="185">
        <f t="shared" si="17"/>
        <v>3451.2999999999884</v>
      </c>
      <c r="O74" s="315">
        <f t="shared" si="18"/>
        <v>-1259.7450361936242</v>
      </c>
      <c r="P74" s="315">
        <f t="shared" si="19"/>
        <v>-138.43069610389065</v>
      </c>
      <c r="Q74" s="315">
        <f t="shared" si="20"/>
        <v>-1398.1757322975147</v>
      </c>
    </row>
    <row r="75" spans="9:17" x14ac:dyDescent="0.25">
      <c r="I75" s="199">
        <v>2029</v>
      </c>
      <c r="J75" s="234">
        <f t="shared" si="13"/>
        <v>15.681232294622305</v>
      </c>
      <c r="K75" s="234">
        <f t="shared" si="14"/>
        <v>15.92363012279543</v>
      </c>
      <c r="L75" s="234">
        <f t="shared" si="15"/>
        <v>-0.24239782817312516</v>
      </c>
      <c r="M75" s="185">
        <f t="shared" si="16"/>
        <v>2859</v>
      </c>
      <c r="N75" s="185">
        <f t="shared" si="17"/>
        <v>3524.0249999999942</v>
      </c>
      <c r="O75" s="315">
        <f t="shared" si="18"/>
        <v>-693.01539074696484</v>
      </c>
      <c r="P75" s="315">
        <f t="shared" si="19"/>
        <v>-80.600307840415581</v>
      </c>
      <c r="Q75" s="315">
        <f t="shared" si="20"/>
        <v>-773.61569858738039</v>
      </c>
    </row>
    <row r="76" spans="9:17" x14ac:dyDescent="0.25">
      <c r="I76" s="199">
        <v>2030</v>
      </c>
      <c r="J76" s="234">
        <f t="shared" si="13"/>
        <v>16.208645554158238</v>
      </c>
      <c r="K76" s="234">
        <f t="shared" si="14"/>
        <v>16.248215808945361</v>
      </c>
      <c r="L76" s="234">
        <f t="shared" si="15"/>
        <v>-3.9570254787122394E-2</v>
      </c>
      <c r="M76" s="185">
        <f t="shared" si="16"/>
        <v>2888.5454545454559</v>
      </c>
      <c r="N76" s="185">
        <f t="shared" si="17"/>
        <v>3596.75</v>
      </c>
      <c r="O76" s="315">
        <f t="shared" si="18"/>
        <v>-114.30047960054796</v>
      </c>
      <c r="P76" s="315">
        <f t="shared" si="19"/>
        <v>-14.011917152517258</v>
      </c>
      <c r="Q76" s="315">
        <f t="shared" si="20"/>
        <v>-128.31239675306523</v>
      </c>
    </row>
    <row r="77" spans="9:17" x14ac:dyDescent="0.25">
      <c r="I77" s="199">
        <v>2031</v>
      </c>
      <c r="J77" s="234">
        <f t="shared" si="13"/>
        <v>16.736058813694399</v>
      </c>
      <c r="K77" s="234">
        <f t="shared" si="14"/>
        <v>16.572801495095177</v>
      </c>
      <c r="L77" s="234">
        <f t="shared" si="15"/>
        <v>0.16325731859922143</v>
      </c>
      <c r="M77" s="185">
        <f t="shared" si="16"/>
        <v>2918.0909090909117</v>
      </c>
      <c r="N77" s="185">
        <f t="shared" si="17"/>
        <v>3669.4749999999767</v>
      </c>
      <c r="O77" s="315">
        <f t="shared" si="18"/>
        <v>476.39969724694669</v>
      </c>
      <c r="P77" s="315">
        <f t="shared" si="19"/>
        <v>61.33447595996379</v>
      </c>
      <c r="Q77" s="315">
        <f t="shared" si="20"/>
        <v>537.73417320691044</v>
      </c>
    </row>
    <row r="78" spans="9:17" x14ac:dyDescent="0.25">
      <c r="I78" s="199">
        <v>2032</v>
      </c>
      <c r="J78" s="234">
        <f t="shared" si="13"/>
        <v>17.263472073230332</v>
      </c>
      <c r="K78" s="234">
        <f t="shared" si="14"/>
        <v>16.897387181244994</v>
      </c>
      <c r="L78" s="234">
        <f t="shared" si="15"/>
        <v>0.36608489198533789</v>
      </c>
      <c r="M78" s="185">
        <f t="shared" si="16"/>
        <v>2947.6363636363676</v>
      </c>
      <c r="N78" s="185">
        <f t="shared" si="17"/>
        <v>3742.1999999999825</v>
      </c>
      <c r="O78" s="315">
        <f t="shared" si="18"/>
        <v>1079.0851397938739</v>
      </c>
      <c r="P78" s="315">
        <f t="shared" si="19"/>
        <v>145.43887149682564</v>
      </c>
      <c r="Q78" s="315">
        <f t="shared" si="20"/>
        <v>1224.5240112906995</v>
      </c>
    </row>
    <row r="79" spans="9:17" x14ac:dyDescent="0.25">
      <c r="I79" s="199">
        <v>2033</v>
      </c>
      <c r="J79" s="234">
        <f t="shared" si="13"/>
        <v>17.790885332766265</v>
      </c>
      <c r="K79" s="234">
        <f t="shared" si="14"/>
        <v>17.221972867394925</v>
      </c>
      <c r="L79" s="234">
        <f t="shared" si="15"/>
        <v>0.56891246537134066</v>
      </c>
      <c r="M79" s="185">
        <f t="shared" si="16"/>
        <v>2977.1818181818235</v>
      </c>
      <c r="N79" s="185">
        <f t="shared" si="17"/>
        <v>3814.9249999999884</v>
      </c>
      <c r="O79" s="315">
        <f t="shared" si="18"/>
        <v>1693.7558480405517</v>
      </c>
      <c r="P79" s="315">
        <f t="shared" si="19"/>
        <v>238.30126945810173</v>
      </c>
      <c r="Q79" s="315">
        <f t="shared" si="20"/>
        <v>1932.0571174986535</v>
      </c>
    </row>
    <row r="80" spans="9:17" x14ac:dyDescent="0.25">
      <c r="I80" s="199">
        <v>2034</v>
      </c>
      <c r="J80" s="234">
        <f t="shared" si="13"/>
        <v>18.318298592302199</v>
      </c>
      <c r="K80" s="234">
        <f t="shared" si="14"/>
        <v>17.546558553544742</v>
      </c>
      <c r="L80" s="234">
        <f t="shared" si="15"/>
        <v>0.77174003875745711</v>
      </c>
      <c r="M80" s="185">
        <f t="shared" si="16"/>
        <v>3006.7272727272793</v>
      </c>
      <c r="N80" s="185">
        <f t="shared" si="17"/>
        <v>3887.6499999999942</v>
      </c>
      <c r="O80" s="315">
        <f t="shared" si="18"/>
        <v>2320.4118219876541</v>
      </c>
      <c r="P80" s="315">
        <f t="shared" si="19"/>
        <v>339.9216698438849</v>
      </c>
      <c r="Q80" s="315">
        <f t="shared" si="20"/>
        <v>2660.333491831539</v>
      </c>
    </row>
    <row r="81" spans="9:17" x14ac:dyDescent="0.25">
      <c r="I81" s="199">
        <v>2035</v>
      </c>
      <c r="J81" s="234">
        <f t="shared" si="13"/>
        <v>18.84571185183836</v>
      </c>
      <c r="K81" s="234">
        <f t="shared" si="14"/>
        <v>17.871144239694672</v>
      </c>
      <c r="L81" s="234">
        <f t="shared" si="15"/>
        <v>0.97456761214368726</v>
      </c>
      <c r="M81" s="185">
        <f t="shared" si="16"/>
        <v>3036.2727272727279</v>
      </c>
      <c r="N81" s="185">
        <f t="shared" si="17"/>
        <v>3960.375</v>
      </c>
      <c r="O81" s="315">
        <f t="shared" si="18"/>
        <v>2959.0530616351834</v>
      </c>
      <c r="P81" s="315">
        <f t="shared" si="19"/>
        <v>450.30007265418601</v>
      </c>
      <c r="Q81" s="315">
        <f t="shared" si="20"/>
        <v>3409.3531342893693</v>
      </c>
    </row>
    <row r="82" spans="9:17" x14ac:dyDescent="0.25">
      <c r="I82" s="199">
        <v>2036</v>
      </c>
      <c r="J82" s="234">
        <f t="shared" si="13"/>
        <v>19.373125111374293</v>
      </c>
      <c r="K82" s="234">
        <f t="shared" si="14"/>
        <v>18.195729925844489</v>
      </c>
      <c r="L82" s="234">
        <f t="shared" si="15"/>
        <v>1.1773951855298037</v>
      </c>
      <c r="M82" s="185">
        <f t="shared" si="16"/>
        <v>3065.8181818181838</v>
      </c>
      <c r="N82" s="185">
        <f t="shared" si="17"/>
        <v>4033.0999999999767</v>
      </c>
      <c r="O82" s="315">
        <f t="shared" si="18"/>
        <v>3609.679566982466</v>
      </c>
      <c r="P82" s="315">
        <f t="shared" si="19"/>
        <v>569.43647788887893</v>
      </c>
      <c r="Q82" s="315">
        <f t="shared" si="20"/>
        <v>4179.1160448713454</v>
      </c>
    </row>
    <row r="83" spans="9:17" x14ac:dyDescent="0.25">
      <c r="I83" s="199">
        <v>2037</v>
      </c>
      <c r="J83" s="234">
        <f t="shared" si="13"/>
        <v>19.900538370910226</v>
      </c>
      <c r="K83" s="234">
        <f t="shared" si="14"/>
        <v>18.52031561199442</v>
      </c>
      <c r="L83" s="234">
        <f t="shared" si="15"/>
        <v>1.3802227589158065</v>
      </c>
      <c r="M83" s="185">
        <f t="shared" si="16"/>
        <v>3095.3636363636397</v>
      </c>
      <c r="N83" s="185">
        <f t="shared" si="17"/>
        <v>4105.8249999999825</v>
      </c>
      <c r="O83" s="315">
        <f t="shared" si="18"/>
        <v>4272.2913380294858</v>
      </c>
      <c r="P83" s="315">
        <f t="shared" si="19"/>
        <v>697.33088554799053</v>
      </c>
      <c r="Q83" s="315">
        <f t="shared" si="20"/>
        <v>4969.6222235774767</v>
      </c>
    </row>
    <row r="84" spans="9:17" x14ac:dyDescent="0.25">
      <c r="I84" s="199">
        <v>2038</v>
      </c>
      <c r="J84" s="234">
        <f t="shared" si="13"/>
        <v>20.427951630446159</v>
      </c>
      <c r="K84" s="234">
        <f t="shared" si="14"/>
        <v>18.844901298144237</v>
      </c>
      <c r="L84" s="234">
        <f t="shared" si="15"/>
        <v>1.5830503323019229</v>
      </c>
      <c r="M84" s="185">
        <f t="shared" si="16"/>
        <v>3124.9090909090955</v>
      </c>
      <c r="N84" s="185">
        <f t="shared" si="17"/>
        <v>4178.5499999999884</v>
      </c>
      <c r="O84" s="315">
        <f t="shared" si="18"/>
        <v>4946.8883747769432</v>
      </c>
      <c r="P84" s="315">
        <f t="shared" si="19"/>
        <v>833.98329563161906</v>
      </c>
      <c r="Q84" s="315">
        <f t="shared" si="20"/>
        <v>5780.8716704085618</v>
      </c>
    </row>
    <row r="85" spans="9:17" x14ac:dyDescent="0.25">
      <c r="I85" s="199">
        <v>2039</v>
      </c>
      <c r="J85" s="234">
        <f t="shared" si="13"/>
        <v>20.95536488998232</v>
      </c>
      <c r="K85" s="234">
        <f t="shared" si="14"/>
        <v>19.169486984294167</v>
      </c>
      <c r="L85" s="234">
        <f t="shared" si="15"/>
        <v>1.7858779056881531</v>
      </c>
      <c r="M85" s="185">
        <f t="shared" si="16"/>
        <v>3154.4545454545514</v>
      </c>
      <c r="N85" s="185">
        <f t="shared" si="17"/>
        <v>4251.2749999999942</v>
      </c>
      <c r="O85" s="315">
        <f t="shared" si="18"/>
        <v>5633.4706772248492</v>
      </c>
      <c r="P85" s="315">
        <f t="shared" si="19"/>
        <v>979.39370813977166</v>
      </c>
      <c r="Q85" s="315">
        <f t="shared" si="20"/>
        <v>6612.8643853646208</v>
      </c>
    </row>
    <row r="86" spans="9:17" x14ac:dyDescent="0.25">
      <c r="I86" s="199">
        <v>2040</v>
      </c>
      <c r="J86" s="234">
        <f t="shared" si="13"/>
        <v>21.482778149518253</v>
      </c>
      <c r="K86" s="234">
        <f t="shared" si="14"/>
        <v>19.494072670443984</v>
      </c>
      <c r="L86" s="234">
        <f t="shared" si="15"/>
        <v>1.9887054790742695</v>
      </c>
      <c r="M86" s="185">
        <f t="shared" si="16"/>
        <v>3184</v>
      </c>
      <c r="N86" s="185">
        <f t="shared" si="17"/>
        <v>4324</v>
      </c>
      <c r="O86" s="315">
        <f t="shared" si="18"/>
        <v>6332.0382453724742</v>
      </c>
      <c r="P86" s="315">
        <f t="shared" si="19"/>
        <v>1133.5621230723336</v>
      </c>
      <c r="Q86" s="315">
        <f t="shared" si="20"/>
        <v>7465.6003684448078</v>
      </c>
    </row>
    <row r="87" spans="9:17" x14ac:dyDescent="0.25">
      <c r="I87" s="199">
        <v>2041</v>
      </c>
      <c r="J87" s="234">
        <f t="shared" si="13"/>
        <v>22.010191409054187</v>
      </c>
      <c r="K87" s="234">
        <f t="shared" si="14"/>
        <v>19.818658356593915</v>
      </c>
      <c r="L87" s="234">
        <f t="shared" si="15"/>
        <v>2.1915330524602723</v>
      </c>
      <c r="M87" s="185">
        <f t="shared" si="16"/>
        <v>3213.5454545454559</v>
      </c>
      <c r="N87" s="185">
        <f t="shared" si="17"/>
        <v>4396.7249999999767</v>
      </c>
      <c r="O87" s="315">
        <f t="shared" si="18"/>
        <v>7042.5910792198365</v>
      </c>
      <c r="P87" s="315">
        <f t="shared" si="19"/>
        <v>1296.4885404292518</v>
      </c>
      <c r="Q87" s="315">
        <f t="shared" si="20"/>
        <v>8339.0796196490883</v>
      </c>
    </row>
    <row r="88" spans="9:17" x14ac:dyDescent="0.25">
      <c r="I88" s="199">
        <v>2042</v>
      </c>
      <c r="J88" s="234">
        <f t="shared" si="13"/>
        <v>22.53760466859012</v>
      </c>
      <c r="K88" s="234">
        <f t="shared" si="14"/>
        <v>20.143244042743731</v>
      </c>
      <c r="L88" s="234">
        <f t="shared" si="15"/>
        <v>2.3943606258463888</v>
      </c>
      <c r="M88" s="185">
        <f t="shared" si="16"/>
        <v>3243.0909090909117</v>
      </c>
      <c r="N88" s="185">
        <f t="shared" si="17"/>
        <v>4469.4499999999825</v>
      </c>
      <c r="O88" s="315">
        <f t="shared" si="18"/>
        <v>7765.1291787676491</v>
      </c>
      <c r="P88" s="315">
        <f t="shared" si="19"/>
        <v>1468.1729602107255</v>
      </c>
      <c r="Q88" s="315">
        <f t="shared" si="20"/>
        <v>9233.3021389783753</v>
      </c>
    </row>
    <row r="89" spans="9:17" x14ac:dyDescent="0.25">
      <c r="I89" s="199">
        <v>2043</v>
      </c>
      <c r="J89" s="234">
        <f t="shared" si="13"/>
        <v>23.065017928126281</v>
      </c>
      <c r="K89" s="234">
        <f t="shared" si="14"/>
        <v>20.467829728893662</v>
      </c>
      <c r="L89" s="234">
        <f t="shared" si="15"/>
        <v>2.5971881992326189</v>
      </c>
      <c r="M89" s="185">
        <f t="shared" si="16"/>
        <v>3272.6363636363676</v>
      </c>
      <c r="N89" s="185">
        <f t="shared" si="17"/>
        <v>4542.1749999999884</v>
      </c>
      <c r="O89" s="315">
        <f t="shared" si="18"/>
        <v>8499.6525440159239</v>
      </c>
      <c r="P89" s="315">
        <f t="shared" si="19"/>
        <v>1648.6153824167334</v>
      </c>
      <c r="Q89" s="315">
        <f t="shared" si="20"/>
        <v>10148.267926432658</v>
      </c>
    </row>
    <row r="90" spans="9:17" x14ac:dyDescent="0.25">
      <c r="I90" s="199">
        <v>2044</v>
      </c>
      <c r="J90" s="234">
        <f t="shared" si="13"/>
        <v>23.592431187662214</v>
      </c>
      <c r="K90" s="234">
        <f t="shared" si="14"/>
        <v>20.792415415043479</v>
      </c>
      <c r="L90" s="234">
        <f t="shared" si="15"/>
        <v>2.8000157726187354</v>
      </c>
      <c r="M90" s="185">
        <f t="shared" si="16"/>
        <v>3302.1818181818235</v>
      </c>
      <c r="N90" s="185">
        <f t="shared" si="17"/>
        <v>4614.8999999999942</v>
      </c>
      <c r="O90" s="315">
        <f t="shared" si="18"/>
        <v>9246.1611749639196</v>
      </c>
      <c r="P90" s="315">
        <f t="shared" si="19"/>
        <v>1837.8158070471334</v>
      </c>
      <c r="Q90" s="315">
        <f t="shared" si="20"/>
        <v>11083.976982011052</v>
      </c>
    </row>
    <row r="91" spans="9:17" x14ac:dyDescent="0.25">
      <c r="I91" s="199">
        <v>2045</v>
      </c>
      <c r="J91" s="234">
        <f t="shared" si="13"/>
        <v>24.119844447198147</v>
      </c>
      <c r="K91" s="234">
        <f t="shared" si="14"/>
        <v>21.117001101193409</v>
      </c>
      <c r="L91" s="234">
        <f t="shared" si="15"/>
        <v>3.0028433460047381</v>
      </c>
      <c r="M91" s="185">
        <f t="shared" si="16"/>
        <v>3331.7272727272793</v>
      </c>
      <c r="N91" s="185">
        <f t="shared" si="17"/>
        <v>4687.625</v>
      </c>
      <c r="O91" s="315">
        <f t="shared" si="18"/>
        <v>10004.655071611623</v>
      </c>
      <c r="P91" s="315">
        <f t="shared" si="19"/>
        <v>2035.7742341019182</v>
      </c>
      <c r="Q91" s="315">
        <f t="shared" si="20"/>
        <v>12040.429305713542</v>
      </c>
    </row>
    <row r="92" spans="9:17" x14ac:dyDescent="0.25">
      <c r="I92" s="199">
        <v>2046</v>
      </c>
      <c r="J92" s="234">
        <f t="shared" si="13"/>
        <v>24.647257706734081</v>
      </c>
      <c r="K92" s="234">
        <f t="shared" si="14"/>
        <v>21.441586787343226</v>
      </c>
      <c r="L92" s="234">
        <f t="shared" si="15"/>
        <v>3.2056709193908546</v>
      </c>
      <c r="M92" s="185">
        <f t="shared" si="16"/>
        <v>3361.2727272727279</v>
      </c>
      <c r="N92" s="185">
        <f t="shared" si="17"/>
        <v>4760.3499999999767</v>
      </c>
      <c r="O92" s="315">
        <f t="shared" si="18"/>
        <v>10775.13423395977</v>
      </c>
      <c r="P92" s="315">
        <f t="shared" si="19"/>
        <v>2242.4906635812044</v>
      </c>
      <c r="Q92" s="315">
        <f t="shared" si="20"/>
        <v>13017.624897540974</v>
      </c>
    </row>
    <row r="93" spans="9:17" x14ac:dyDescent="0.25">
      <c r="I93" s="199">
        <v>2047</v>
      </c>
      <c r="J93" s="234">
        <f t="shared" si="13"/>
        <v>25.174670966270241</v>
      </c>
      <c r="K93" s="234">
        <f t="shared" si="14"/>
        <v>21.766172473493157</v>
      </c>
      <c r="L93" s="234">
        <f t="shared" si="15"/>
        <v>3.4084984927770847</v>
      </c>
      <c r="M93" s="185">
        <f t="shared" si="16"/>
        <v>3390.8181818181838</v>
      </c>
      <c r="N93" s="185">
        <f t="shared" si="17"/>
        <v>4833.0749999999825</v>
      </c>
      <c r="O93" s="315">
        <f t="shared" si="18"/>
        <v>11557.598662008415</v>
      </c>
      <c r="P93" s="315">
        <f t="shared" si="19"/>
        <v>2457.9650954850676</v>
      </c>
      <c r="Q93" s="315">
        <f t="shared" si="20"/>
        <v>14015.563757493483</v>
      </c>
    </row>
    <row r="94" spans="9:17" x14ac:dyDescent="0.25">
      <c r="I94" s="199">
        <v>2048</v>
      </c>
      <c r="J94" s="234">
        <f t="shared" si="13"/>
        <v>25.702084225806175</v>
      </c>
      <c r="K94" s="234">
        <f t="shared" si="14"/>
        <v>22.090758159642974</v>
      </c>
      <c r="L94" s="234">
        <f t="shared" si="15"/>
        <v>3.6113260661632012</v>
      </c>
      <c r="M94" s="185">
        <f t="shared" si="16"/>
        <v>3420.3636363636397</v>
      </c>
      <c r="N94" s="185">
        <f t="shared" si="17"/>
        <v>4905.7999999999884</v>
      </c>
      <c r="O94" s="315">
        <f t="shared" si="18"/>
        <v>12352.048355756764</v>
      </c>
      <c r="P94" s="315">
        <f t="shared" si="19"/>
        <v>2682.1975298133129</v>
      </c>
      <c r="Q94" s="315">
        <f t="shared" si="20"/>
        <v>15034.245885570077</v>
      </c>
    </row>
  </sheetData>
  <autoFilter ref="U1:U94" xr:uid="{611F8A7A-4267-4D6C-B8E4-AF642CBEC677}"/>
  <mergeCells count="33">
    <mergeCell ref="U1:V1"/>
    <mergeCell ref="L17:M17"/>
    <mergeCell ref="T15:T16"/>
    <mergeCell ref="T13:T14"/>
    <mergeCell ref="T7:T8"/>
    <mergeCell ref="T9:T10"/>
    <mergeCell ref="L12:M12"/>
    <mergeCell ref="I4:J4"/>
    <mergeCell ref="J17:K17"/>
    <mergeCell ref="B4:B5"/>
    <mergeCell ref="C4:C5"/>
    <mergeCell ref="D4:D5"/>
    <mergeCell ref="E4:E5"/>
    <mergeCell ref="F4:F5"/>
    <mergeCell ref="I8:J8"/>
    <mergeCell ref="J12:K12"/>
    <mergeCell ref="AE7:AE8"/>
    <mergeCell ref="AE9:AE10"/>
    <mergeCell ref="AE13:AE14"/>
    <mergeCell ref="AE15:AE16"/>
    <mergeCell ref="AE30:AE31"/>
    <mergeCell ref="J22:K22"/>
    <mergeCell ref="L22:M22"/>
    <mergeCell ref="AE28:AE29"/>
    <mergeCell ref="T28:T29"/>
    <mergeCell ref="T30:T31"/>
    <mergeCell ref="B29:F31"/>
    <mergeCell ref="B33:F35"/>
    <mergeCell ref="B36:F39"/>
    <mergeCell ref="AE34:AE35"/>
    <mergeCell ref="AE36:AE37"/>
    <mergeCell ref="T34:T35"/>
    <mergeCell ref="T36:T37"/>
  </mergeCells>
  <pageMargins left="0.25" right="0.25" top="0.75" bottom="0.75" header="0.3" footer="0.3"/>
  <pageSetup scale="3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F0D1-2258-49A1-8E00-DC78B7E4F76B}">
  <sheetPr>
    <pageSetUpPr fitToPage="1"/>
  </sheetPr>
  <dimension ref="A1:AS79"/>
  <sheetViews>
    <sheetView view="pageBreakPreview" topLeftCell="A22" zoomScale="90" zoomScaleNormal="85" zoomScaleSheetLayoutView="90" workbookViewId="0">
      <selection activeCell="B46" sqref="B46:M47"/>
    </sheetView>
  </sheetViews>
  <sheetFormatPr defaultRowHeight="15" x14ac:dyDescent="0.25"/>
  <cols>
    <col min="1" max="1" width="9.140625" style="343"/>
    <col min="2" max="3" width="15.7109375" style="343" customWidth="1"/>
    <col min="4" max="5" width="18.5703125" style="343" customWidth="1"/>
    <col min="6" max="15" width="15.7109375" style="343" customWidth="1"/>
    <col min="16" max="16" width="17.7109375" style="343" customWidth="1"/>
    <col min="17" max="17" width="15.7109375" style="343" customWidth="1"/>
    <col min="18" max="22" width="15.42578125" style="343" customWidth="1"/>
    <col min="23" max="23" width="21.85546875" style="343" customWidth="1"/>
    <col min="24" max="24" width="50.42578125" style="343" customWidth="1"/>
    <col min="25" max="28" width="17.7109375" style="343" customWidth="1"/>
    <col min="29" max="29" width="9.140625" style="343"/>
    <col min="30" max="30" width="15.7109375" style="343" customWidth="1"/>
    <col min="31" max="31" width="12.28515625" style="343" customWidth="1"/>
    <col min="32" max="32" width="19.140625" style="343" customWidth="1"/>
    <col min="33" max="33" width="13.85546875" style="343" customWidth="1"/>
    <col min="34" max="37" width="13.140625" style="343" customWidth="1"/>
    <col min="38" max="40" width="9.140625" style="343"/>
    <col min="41" max="43" width="25.7109375" style="343" customWidth="1"/>
    <col min="44" max="44" width="37" style="343" bestFit="1" customWidth="1"/>
    <col min="45" max="45" width="38.85546875" style="343" bestFit="1" customWidth="1"/>
    <col min="46" max="16384" width="9.140625" style="343"/>
  </cols>
  <sheetData>
    <row r="1" spans="2:45" ht="15.75" thickBot="1" x14ac:dyDescent="0.3">
      <c r="B1" s="10" t="s">
        <v>50</v>
      </c>
      <c r="C1" s="10"/>
      <c r="D1" s="10"/>
      <c r="E1" s="10"/>
    </row>
    <row r="2" spans="2:45" ht="15.75" thickBot="1" x14ac:dyDescent="0.3">
      <c r="C2" s="506" t="s">
        <v>65</v>
      </c>
      <c r="D2" s="507"/>
      <c r="E2" s="508"/>
      <c r="F2" s="509" t="s">
        <v>66</v>
      </c>
      <c r="G2" s="510"/>
      <c r="H2" s="510"/>
      <c r="I2" s="510"/>
      <c r="J2" s="510"/>
      <c r="K2" s="510"/>
      <c r="L2" s="510"/>
      <c r="M2" s="510"/>
      <c r="N2" s="510"/>
      <c r="O2" s="511" t="s">
        <v>67</v>
      </c>
      <c r="P2" s="512"/>
    </row>
    <row r="3" spans="2:45" ht="35.1" customHeight="1" x14ac:dyDescent="0.25">
      <c r="B3" s="513" t="s">
        <v>0</v>
      </c>
      <c r="C3" s="515" t="s">
        <v>71</v>
      </c>
      <c r="D3" s="517" t="s">
        <v>326</v>
      </c>
      <c r="E3" s="519" t="s">
        <v>78</v>
      </c>
      <c r="F3" s="515" t="s">
        <v>51</v>
      </c>
      <c r="G3" s="517" t="s">
        <v>81</v>
      </c>
      <c r="H3" s="521" t="s">
        <v>82</v>
      </c>
      <c r="I3" s="525" t="s">
        <v>83</v>
      </c>
      <c r="J3" s="517" t="s">
        <v>250</v>
      </c>
      <c r="K3" s="521" t="s">
        <v>251</v>
      </c>
      <c r="L3" s="525" t="s">
        <v>52</v>
      </c>
      <c r="M3" s="515" t="s">
        <v>64</v>
      </c>
      <c r="N3" s="527" t="s">
        <v>1</v>
      </c>
      <c r="O3" s="529" t="s">
        <v>69</v>
      </c>
      <c r="P3" s="531" t="s">
        <v>68</v>
      </c>
      <c r="R3" s="104"/>
    </row>
    <row r="4" spans="2:45" ht="35.1" customHeight="1" thickBot="1" x14ac:dyDescent="0.3">
      <c r="B4" s="514"/>
      <c r="C4" s="516"/>
      <c r="D4" s="518"/>
      <c r="E4" s="520"/>
      <c r="F4" s="516"/>
      <c r="G4" s="518"/>
      <c r="H4" s="522"/>
      <c r="I4" s="526"/>
      <c r="J4" s="518"/>
      <c r="K4" s="522"/>
      <c r="L4" s="526"/>
      <c r="M4" s="516"/>
      <c r="N4" s="528"/>
      <c r="O4" s="530"/>
      <c r="P4" s="532"/>
    </row>
    <row r="5" spans="2:45" ht="17.25" x14ac:dyDescent="0.25">
      <c r="B5" s="1">
        <f>Assumptions!$D$8</f>
        <v>2028</v>
      </c>
      <c r="C5" s="173">
        <f>($F5*$V$7*Assumptions!$D$14+$F5*Assumptions!$D$15)/10^6</f>
        <v>4.9672109688638981</v>
      </c>
      <c r="D5" s="174">
        <f t="shared" ref="D5:D24" si="0">C5*_xlfn.XLOOKUP($B5,$R$13:$R$48,$V$13:$V$48)</f>
        <v>298.0326581318339</v>
      </c>
      <c r="E5" s="175">
        <f>D5*(1+0.03)^-($B5-Assumptions!$D$4)</f>
        <v>235.26973245639797</v>
      </c>
      <c r="F5" s="167">
        <f t="shared" ref="F5:F24" si="1">TREND($Y$21:$Z$21,$Y$20:$Z$20,B5)</f>
        <v>17068.633337708423</v>
      </c>
      <c r="G5" s="176">
        <f>($F5*S$7)/10^6</f>
        <v>3.8901094900368879E-3</v>
      </c>
      <c r="H5" s="177">
        <f>($F5*T$7)/10^6</f>
        <v>3.5330371654204525E-5</v>
      </c>
      <c r="I5" s="178">
        <f>($F5*U$7)/10^6</f>
        <v>9.9306530665025907E-5</v>
      </c>
      <c r="J5" s="179">
        <f t="shared" ref="J5" si="2">G5*_xlfn.XLOOKUP($B5,$R$13:$R$48,$S$13:$S$48)</f>
        <v>67.687905126641851</v>
      </c>
      <c r="K5" s="106">
        <f t="shared" ref="K5" si="3">G5*_xlfn.XLOOKUP($B5,$R$13:$R$48,$S$13:$S$48)</f>
        <v>67.687905126641851</v>
      </c>
      <c r="L5" s="175">
        <f>I5*_xlfn.XLOOKUP($B5,$R$13:$R$48,$U$13:$U$48)</f>
        <v>83.477069677020779</v>
      </c>
      <c r="M5" s="180">
        <f t="shared" ref="M5" si="4">SUM(J5:L5)</f>
        <v>218.85287993030448</v>
      </c>
      <c r="N5" s="181">
        <f>M5*(1+0.07)^-(B5-Assumptions!$D$4)</f>
        <v>127.37436867971637</v>
      </c>
      <c r="O5" s="174">
        <f t="shared" ref="O5:P5" si="5">M5+D5</f>
        <v>516.88553806213838</v>
      </c>
      <c r="P5" s="175">
        <f t="shared" si="5"/>
        <v>362.64410113611433</v>
      </c>
      <c r="R5" s="105" t="s">
        <v>60</v>
      </c>
      <c r="S5" s="105"/>
      <c r="T5" s="105"/>
      <c r="U5" s="105"/>
      <c r="V5" s="105"/>
      <c r="X5" s="389" t="s">
        <v>295</v>
      </c>
      <c r="Y5" s="390"/>
      <c r="Z5" s="390"/>
      <c r="AA5" s="383"/>
      <c r="AB5" s="383"/>
      <c r="AE5" s="10" t="s">
        <v>252</v>
      </c>
    </row>
    <row r="6" spans="2:45" x14ac:dyDescent="0.25">
      <c r="B6" s="2">
        <f t="shared" ref="B6:B34" si="6">+B5+1</f>
        <v>2029</v>
      </c>
      <c r="C6" s="157">
        <f>($F6*$V$7*Assumptions!$D$14+$F6*$V$8*Assumptions!$D$15)/10^6</f>
        <v>5.1669812166974918</v>
      </c>
      <c r="D6" s="158">
        <f t="shared" si="0"/>
        <v>315.18585421854698</v>
      </c>
      <c r="E6" s="111">
        <f>D6*(1+0.03)^-($B6-Assumptions!$D$4)</f>
        <v>241.56371247111355</v>
      </c>
      <c r="F6" s="168">
        <f t="shared" si="1"/>
        <v>17762.115104861092</v>
      </c>
      <c r="G6" s="170">
        <f t="shared" ref="G6:G24" si="7">($F6*S$7)/10^6</f>
        <v>4.0481608085105401E-3</v>
      </c>
      <c r="H6" s="171">
        <f t="shared" ref="H6:H24" si="8">($F6*T$7)/10^6</f>
        <v>3.6765809869096066E-5</v>
      </c>
      <c r="I6" s="172">
        <f t="shared" ref="I6:I24" si="9">($F6*U$7)/10^6</f>
        <v>1.0334125723116753E-4</v>
      </c>
      <c r="J6" s="152">
        <f t="shared" ref="J6:J24" si="10">G6*_xlfn.XLOOKUP($B6,$R$13:$R$48,$S$13:$S$48)</f>
        <v>71.652446310636563</v>
      </c>
      <c r="K6" s="106">
        <f t="shared" ref="K6:K24" si="11">G6*_xlfn.XLOOKUP($B6,$R$13:$R$48,$S$13:$S$48)</f>
        <v>71.652446310636563</v>
      </c>
      <c r="L6" s="107">
        <f t="shared" ref="L6:L24" si="12">I6*_xlfn.XLOOKUP($B6,$R$13:$R$48,$U$13:$U$48)</f>
        <v>88.253433675417071</v>
      </c>
      <c r="M6" s="112">
        <f t="shared" ref="M6:M24" si="13">SUM(J6:L6)</f>
        <v>231.55832629669021</v>
      </c>
      <c r="N6" s="182">
        <f>M6*(1+0.07)^-(B6-Assumptions!$D$4)</f>
        <v>125.95238704908006</v>
      </c>
      <c r="O6" s="184">
        <f t="shared" ref="O6:O24" si="14">M6+D6</f>
        <v>546.74418051523719</v>
      </c>
      <c r="P6" s="107">
        <f t="shared" ref="P6:P24" si="15">N6+E6</f>
        <v>367.51609952019362</v>
      </c>
      <c r="R6" s="99" t="s">
        <v>53</v>
      </c>
      <c r="S6" s="328" t="s">
        <v>74</v>
      </c>
      <c r="T6" s="328" t="s">
        <v>75</v>
      </c>
      <c r="U6" s="328" t="s">
        <v>76</v>
      </c>
      <c r="V6" s="328" t="s">
        <v>77</v>
      </c>
      <c r="X6" s="391" t="s">
        <v>253</v>
      </c>
      <c r="Y6" s="392">
        <f>AVERAGE(AS21:AS22)</f>
        <v>0.27500000000000002</v>
      </c>
      <c r="Z6" s="390"/>
      <c r="AA6" s="383"/>
      <c r="AB6" s="383"/>
      <c r="AE6" s="190" t="s">
        <v>84</v>
      </c>
      <c r="AF6" s="190" t="s">
        <v>85</v>
      </c>
      <c r="AG6" s="190" t="s">
        <v>86</v>
      </c>
      <c r="AH6" s="199" t="s">
        <v>74</v>
      </c>
      <c r="AI6" s="199" t="s">
        <v>75</v>
      </c>
      <c r="AJ6" s="199" t="s">
        <v>76</v>
      </c>
      <c r="AK6" s="199" t="s">
        <v>77</v>
      </c>
      <c r="AO6" s="343" t="s">
        <v>254</v>
      </c>
    </row>
    <row r="7" spans="2:45" ht="15.75" x14ac:dyDescent="0.25">
      <c r="B7" s="2">
        <f t="shared" si="6"/>
        <v>2030</v>
      </c>
      <c r="C7" s="157">
        <f>($F7*$V$7*Assumptions!$D$14+$F7*$V$8*Assumptions!$D$15)/10^6</f>
        <v>5.3687143573649898</v>
      </c>
      <c r="D7" s="158">
        <f t="shared" si="0"/>
        <v>332.86029015662939</v>
      </c>
      <c r="E7" s="111">
        <f>D7*(1+0.03)^-($B7-Assumptions!$D$4)</f>
        <v>247.67931641630622</v>
      </c>
      <c r="F7" s="168">
        <f t="shared" si="1"/>
        <v>18455.596872013994</v>
      </c>
      <c r="G7" s="170">
        <f t="shared" si="7"/>
        <v>4.2062121269842451E-3</v>
      </c>
      <c r="H7" s="171">
        <f t="shared" si="8"/>
        <v>3.8201248083988081E-5</v>
      </c>
      <c r="I7" s="172">
        <f t="shared" si="9"/>
        <v>1.0737598379731052E-4</v>
      </c>
      <c r="J7" s="152">
        <f t="shared" si="10"/>
        <v>76.13243949841484</v>
      </c>
      <c r="K7" s="106">
        <f t="shared" si="11"/>
        <v>76.13243949841484</v>
      </c>
      <c r="L7" s="107">
        <f t="shared" si="12"/>
        <v>93.159403542546613</v>
      </c>
      <c r="M7" s="112">
        <f t="shared" si="13"/>
        <v>245.42428253937629</v>
      </c>
      <c r="N7" s="182">
        <f>M7*(1+0.07)^-(B7-Assumptions!$D$4)</f>
        <v>124.76126030156291</v>
      </c>
      <c r="O7" s="184">
        <f t="shared" si="14"/>
        <v>578.28457269600563</v>
      </c>
      <c r="P7" s="107">
        <f t="shared" si="15"/>
        <v>372.44057671786913</v>
      </c>
      <c r="R7" s="99" t="s">
        <v>54</v>
      </c>
      <c r="S7" s="203">
        <f>AH25</f>
        <v>0.22790983982547491</v>
      </c>
      <c r="T7" s="203">
        <f t="shared" ref="T7:V7" si="16">AI25</f>
        <v>2.0699004398994176E-3</v>
      </c>
      <c r="U7" s="203">
        <f t="shared" si="16"/>
        <v>5.8180715878192544E-3</v>
      </c>
      <c r="V7" s="203">
        <f t="shared" si="16"/>
        <v>317.22468262036</v>
      </c>
      <c r="X7" s="390" t="s">
        <v>255</v>
      </c>
      <c r="Y7" s="390"/>
      <c r="Z7" s="390"/>
      <c r="AA7" s="383"/>
      <c r="AB7" s="383"/>
      <c r="AE7" s="199">
        <v>11</v>
      </c>
      <c r="AF7" s="190" t="s">
        <v>87</v>
      </c>
      <c r="AG7" s="190" t="s">
        <v>88</v>
      </c>
      <c r="AH7" s="365">
        <v>0.73690802096518104</v>
      </c>
      <c r="AI7" s="365">
        <v>2.4081927794970298E-3</v>
      </c>
      <c r="AJ7" s="365">
        <v>1.78605259703664E-2</v>
      </c>
      <c r="AK7" s="365">
        <v>362.51238716242</v>
      </c>
      <c r="AO7" s="366" t="s">
        <v>256</v>
      </c>
      <c r="AP7" s="367"/>
      <c r="AQ7" s="367"/>
      <c r="AR7" s="367"/>
      <c r="AS7" s="367"/>
    </row>
    <row r="8" spans="2:45" ht="15.75" x14ac:dyDescent="0.25">
      <c r="B8" s="2">
        <f t="shared" si="6"/>
        <v>2031</v>
      </c>
      <c r="C8" s="157">
        <f>($F8*$V$7*Assumptions!$D$14+$F8*$V$8*Assumptions!$D$15)/10^6</f>
        <v>5.5704474980324203</v>
      </c>
      <c r="D8" s="158">
        <f t="shared" si="0"/>
        <v>350.93819237604248</v>
      </c>
      <c r="E8" s="111">
        <f>D8*(1+0.03)^-($B8-Assumptions!$D$4)</f>
        <v>253.52521694356264</v>
      </c>
      <c r="F8" s="168">
        <f t="shared" si="1"/>
        <v>19149.078639166662</v>
      </c>
      <c r="G8" s="170">
        <f t="shared" si="7"/>
        <v>4.3642634454578973E-3</v>
      </c>
      <c r="H8" s="171">
        <f t="shared" si="8"/>
        <v>3.9636686298879615E-5</v>
      </c>
      <c r="I8" s="172">
        <f t="shared" si="9"/>
        <v>1.1141071036345215E-4</v>
      </c>
      <c r="J8" s="152">
        <f t="shared" si="10"/>
        <v>78.993168362787941</v>
      </c>
      <c r="K8" s="106">
        <f t="shared" si="11"/>
        <v>78.993168362787941</v>
      </c>
      <c r="L8" s="107">
        <f t="shared" si="12"/>
        <v>96.65993231133109</v>
      </c>
      <c r="M8" s="112">
        <f t="shared" si="13"/>
        <v>254.64626903690697</v>
      </c>
      <c r="N8" s="182">
        <f>M8*(1+0.07)^-(B8-Assumptions!$D$4)</f>
        <v>120.98060804640986</v>
      </c>
      <c r="O8" s="184">
        <f t="shared" si="14"/>
        <v>605.58446141294939</v>
      </c>
      <c r="P8" s="107">
        <f t="shared" si="15"/>
        <v>374.5058249899725</v>
      </c>
      <c r="R8" s="10" t="s">
        <v>318</v>
      </c>
      <c r="S8" s="201"/>
      <c r="T8" s="202"/>
      <c r="U8" s="201"/>
      <c r="V8" s="200"/>
      <c r="X8" s="389" t="s">
        <v>257</v>
      </c>
      <c r="Y8" s="390"/>
      <c r="Z8" s="390"/>
      <c r="AA8" s="383"/>
      <c r="AB8" s="383"/>
      <c r="AE8" s="199">
        <v>21</v>
      </c>
      <c r="AF8" s="190" t="s">
        <v>89</v>
      </c>
      <c r="AG8" s="190" t="s">
        <v>88</v>
      </c>
      <c r="AH8" s="365">
        <v>3.7528759722247264E-2</v>
      </c>
      <c r="AI8" s="365">
        <v>1.6122938930079201E-3</v>
      </c>
      <c r="AJ8" s="365">
        <v>1.1798384221972261E-3</v>
      </c>
      <c r="AK8" s="365">
        <v>243.79125643460799</v>
      </c>
      <c r="AO8" s="368" t="s">
        <v>258</v>
      </c>
      <c r="AP8" s="367"/>
      <c r="AQ8" s="367"/>
      <c r="AR8" s="367"/>
      <c r="AS8" s="367"/>
    </row>
    <row r="9" spans="2:45" ht="15" customHeight="1" x14ac:dyDescent="0.25">
      <c r="B9" s="2">
        <f t="shared" si="6"/>
        <v>2032</v>
      </c>
      <c r="C9" s="157">
        <f>($F9*$V$7*Assumptions!$D$14+$F9*$V$8*Assumptions!$D$15)/10^6</f>
        <v>5.7721806386999175</v>
      </c>
      <c r="D9" s="158">
        <f t="shared" si="0"/>
        <v>369.41956087679472</v>
      </c>
      <c r="E9" s="111">
        <f>D9*(1+0.03)^-($B9-Assumptions!$D$4)</f>
        <v>259.10344734870705</v>
      </c>
      <c r="F9" s="168">
        <f t="shared" si="1"/>
        <v>19842.560406319564</v>
      </c>
      <c r="G9" s="170">
        <f t="shared" si="7"/>
        <v>4.5223147639316024E-3</v>
      </c>
      <c r="H9" s="171">
        <f t="shared" si="8"/>
        <v>4.1072124513771631E-5</v>
      </c>
      <c r="I9" s="172">
        <f t="shared" si="9"/>
        <v>1.1544543692959513E-4</v>
      </c>
      <c r="J9" s="152">
        <f t="shared" si="10"/>
        <v>81.853897227162008</v>
      </c>
      <c r="K9" s="106">
        <f t="shared" si="11"/>
        <v>81.853897227162008</v>
      </c>
      <c r="L9" s="107">
        <f t="shared" si="12"/>
        <v>100.16046108011673</v>
      </c>
      <c r="M9" s="112">
        <f t="shared" si="13"/>
        <v>263.86825553444078</v>
      </c>
      <c r="N9" s="182">
        <f>M9*(1+0.07)^-(B9-Assumptions!$D$4)</f>
        <v>117.16066112128203</v>
      </c>
      <c r="O9" s="184">
        <f t="shared" si="14"/>
        <v>633.28781641123555</v>
      </c>
      <c r="P9" s="107">
        <f t="shared" si="15"/>
        <v>376.26410846998908</v>
      </c>
      <c r="R9" s="10"/>
      <c r="S9" s="201"/>
      <c r="T9" s="202"/>
      <c r="U9" s="201"/>
      <c r="V9" s="200"/>
      <c r="X9" s="393" t="s">
        <v>259</v>
      </c>
      <c r="Y9" s="393" t="s">
        <v>260</v>
      </c>
      <c r="Z9" s="390"/>
      <c r="AA9" s="383"/>
      <c r="AB9" s="383"/>
      <c r="AE9" s="199">
        <v>31</v>
      </c>
      <c r="AF9" s="190" t="s">
        <v>89</v>
      </c>
      <c r="AG9" s="190" t="s">
        <v>88</v>
      </c>
      <c r="AH9" s="365">
        <v>5.602001301010253E-2</v>
      </c>
      <c r="AI9" s="365">
        <v>2.0534055761767299E-3</v>
      </c>
      <c r="AJ9" s="365">
        <v>1.6834690354423085E-3</v>
      </c>
      <c r="AK9" s="365">
        <v>318.590574637288</v>
      </c>
      <c r="AO9" s="367"/>
      <c r="AP9" s="367"/>
      <c r="AQ9" s="367"/>
      <c r="AR9" s="367"/>
      <c r="AS9" s="367"/>
    </row>
    <row r="10" spans="2:45" ht="15.75" x14ac:dyDescent="0.25">
      <c r="B10" s="2">
        <f t="shared" si="6"/>
        <v>2033</v>
      </c>
      <c r="C10" s="157">
        <f>($F10*$V$7*Assumptions!$D$14+$F10*$V$8*Assumptions!$D$15)/10^6</f>
        <v>5.9739137793673471</v>
      </c>
      <c r="D10" s="158">
        <f t="shared" si="0"/>
        <v>388.30439565887758</v>
      </c>
      <c r="E10" s="111">
        <f>D10*(1+0.03)^-($B10-Assumptions!$D$4)</f>
        <v>264.41639854915383</v>
      </c>
      <c r="F10" s="168">
        <f t="shared" si="1"/>
        <v>20536.042173472233</v>
      </c>
      <c r="G10" s="170">
        <f t="shared" si="7"/>
        <v>4.6803660824052537E-3</v>
      </c>
      <c r="H10" s="171">
        <f t="shared" si="8"/>
        <v>4.2507562728663165E-5</v>
      </c>
      <c r="I10" s="172">
        <f t="shared" si="9"/>
        <v>1.1948016349573677E-4</v>
      </c>
      <c r="J10" s="152">
        <f t="shared" si="10"/>
        <v>84.714626091535095</v>
      </c>
      <c r="K10" s="106">
        <f t="shared" si="11"/>
        <v>84.714626091535095</v>
      </c>
      <c r="L10" s="107">
        <f t="shared" si="12"/>
        <v>103.66098984890122</v>
      </c>
      <c r="M10" s="112">
        <f t="shared" si="13"/>
        <v>273.0902420319714</v>
      </c>
      <c r="N10" s="182">
        <f>M10*(1+0.07)^-(B10-Assumptions!$D$4)</f>
        <v>113.32274150854411</v>
      </c>
      <c r="O10" s="184">
        <f t="shared" si="14"/>
        <v>661.39463769084898</v>
      </c>
      <c r="P10" s="107">
        <f t="shared" si="15"/>
        <v>377.73914005769791</v>
      </c>
      <c r="S10" s="14"/>
      <c r="T10" s="14"/>
      <c r="U10" s="14"/>
      <c r="V10" s="14"/>
      <c r="X10" s="393" t="s">
        <v>54</v>
      </c>
      <c r="Y10" s="392">
        <v>24.9</v>
      </c>
      <c r="Z10" s="390"/>
      <c r="AA10" s="383"/>
      <c r="AB10" s="383"/>
      <c r="AE10" s="199">
        <v>32</v>
      </c>
      <c r="AF10" s="190" t="s">
        <v>89</v>
      </c>
      <c r="AG10" s="190" t="s">
        <v>88</v>
      </c>
      <c r="AH10" s="365">
        <v>8.1182565604368817E-2</v>
      </c>
      <c r="AI10" s="365">
        <v>2.2057095109159902E-3</v>
      </c>
      <c r="AJ10" s="365">
        <v>2.5484529232710825E-3</v>
      </c>
      <c r="AK10" s="365">
        <v>344.00451224712401</v>
      </c>
      <c r="AO10" s="369" t="s">
        <v>261</v>
      </c>
      <c r="AP10" s="366"/>
      <c r="AQ10" s="366"/>
      <c r="AR10" s="366"/>
      <c r="AS10" s="366"/>
    </row>
    <row r="11" spans="2:45" ht="17.25" x14ac:dyDescent="0.25">
      <c r="B11" s="2">
        <f t="shared" si="6"/>
        <v>2034</v>
      </c>
      <c r="C11" s="157">
        <f>($F11*$V$7*Assumptions!$D$14+$F11*$V$8*Assumptions!$D$15)/10^6</f>
        <v>6.1756469200347777</v>
      </c>
      <c r="D11" s="158">
        <f t="shared" si="0"/>
        <v>407.59269672229533</v>
      </c>
      <c r="E11" s="111">
        <f>D11*(1+0.03)^-($B11-Assumptions!$D$4)</f>
        <v>269.46678932473782</v>
      </c>
      <c r="F11" s="168">
        <f t="shared" si="1"/>
        <v>21229.523940624902</v>
      </c>
      <c r="G11" s="170">
        <f t="shared" si="7"/>
        <v>4.8384174008789067E-3</v>
      </c>
      <c r="H11" s="171">
        <f t="shared" si="8"/>
        <v>4.3943000943554699E-5</v>
      </c>
      <c r="I11" s="172">
        <f t="shared" si="9"/>
        <v>1.2351489006187839E-4</v>
      </c>
      <c r="J11" s="152">
        <f t="shared" si="10"/>
        <v>87.57535495590821</v>
      </c>
      <c r="K11" s="106">
        <f t="shared" si="11"/>
        <v>87.57535495590821</v>
      </c>
      <c r="L11" s="107">
        <f t="shared" si="12"/>
        <v>107.16151861768569</v>
      </c>
      <c r="M11" s="112">
        <f t="shared" si="13"/>
        <v>282.31222852950214</v>
      </c>
      <c r="N11" s="182">
        <f>M11*(1+0.07)^-(B11-Assumptions!$D$4)</f>
        <v>109.48554957376403</v>
      </c>
      <c r="O11" s="184">
        <f t="shared" si="14"/>
        <v>689.90492525179752</v>
      </c>
      <c r="P11" s="107">
        <f t="shared" si="15"/>
        <v>378.95233889850186</v>
      </c>
      <c r="R11" s="10" t="s">
        <v>94</v>
      </c>
      <c r="X11" s="390"/>
      <c r="Y11" s="390"/>
      <c r="Z11" s="390"/>
      <c r="AA11" s="383"/>
      <c r="AB11" s="383"/>
      <c r="AE11" s="199">
        <v>41</v>
      </c>
      <c r="AF11" s="190" t="s">
        <v>90</v>
      </c>
      <c r="AG11" s="190" t="s">
        <v>91</v>
      </c>
      <c r="AH11" s="365">
        <v>2.237602310868759</v>
      </c>
      <c r="AI11" s="365">
        <v>5.5717265564873301E-3</v>
      </c>
      <c r="AJ11" s="365">
        <v>1.658066855283262E-2</v>
      </c>
      <c r="AK11" s="365">
        <v>1406.7823013201701</v>
      </c>
      <c r="AO11" s="369" t="s">
        <v>262</v>
      </c>
      <c r="AP11" s="366" t="s">
        <v>263</v>
      </c>
      <c r="AQ11" s="366" t="s">
        <v>264</v>
      </c>
      <c r="AR11" s="366" t="s">
        <v>265</v>
      </c>
      <c r="AS11" s="366" t="s">
        <v>266</v>
      </c>
    </row>
    <row r="12" spans="2:45" ht="15.75" x14ac:dyDescent="0.25">
      <c r="B12" s="2">
        <f t="shared" si="6"/>
        <v>2035</v>
      </c>
      <c r="C12" s="157">
        <f>($F12*$V$7*Assumptions!$D$14+$F12*$V$8*Assumptions!$D$15)/10^6</f>
        <v>6.3773800607022748</v>
      </c>
      <c r="D12" s="158">
        <f t="shared" si="0"/>
        <v>427.2844640670524</v>
      </c>
      <c r="E12" s="111">
        <f>D12*(1+0.03)^-($B12-Assumptions!$D$4)</f>
        <v>274.2576381984411</v>
      </c>
      <c r="F12" s="168">
        <f t="shared" si="1"/>
        <v>21923.005707777804</v>
      </c>
      <c r="G12" s="170">
        <f t="shared" si="7"/>
        <v>4.9964687193526118E-3</v>
      </c>
      <c r="H12" s="171">
        <f t="shared" si="8"/>
        <v>4.5378439158446714E-5</v>
      </c>
      <c r="I12" s="172">
        <f t="shared" si="9"/>
        <v>1.2754961662802137E-4</v>
      </c>
      <c r="J12" s="152">
        <f t="shared" si="10"/>
        <v>90.436083820282278</v>
      </c>
      <c r="K12" s="106">
        <f t="shared" si="11"/>
        <v>90.436083820282278</v>
      </c>
      <c r="L12" s="107">
        <f t="shared" si="12"/>
        <v>110.66204738647134</v>
      </c>
      <c r="M12" s="112">
        <f t="shared" si="13"/>
        <v>291.53421502703588</v>
      </c>
      <c r="N12" s="182">
        <f>M12*(1+0.07)^-(B12-Assumptions!$D$4)</f>
        <v>105.66541582610895</v>
      </c>
      <c r="O12" s="184">
        <f t="shared" si="14"/>
        <v>718.81867909408834</v>
      </c>
      <c r="P12" s="107">
        <f t="shared" si="15"/>
        <v>379.92305402455008</v>
      </c>
      <c r="R12" s="370" t="s">
        <v>59</v>
      </c>
      <c r="S12" s="347" t="s">
        <v>74</v>
      </c>
      <c r="T12" s="347" t="s">
        <v>75</v>
      </c>
      <c r="U12" s="347" t="s">
        <v>76</v>
      </c>
      <c r="V12" s="347" t="s">
        <v>77</v>
      </c>
      <c r="X12" s="389" t="s">
        <v>267</v>
      </c>
      <c r="Y12" s="390"/>
      <c r="Z12" s="390"/>
      <c r="AA12" s="383"/>
      <c r="AB12" s="383"/>
      <c r="AE12" s="199">
        <v>42</v>
      </c>
      <c r="AF12" s="190" t="s">
        <v>90</v>
      </c>
      <c r="AG12" s="190" t="s">
        <v>91</v>
      </c>
      <c r="AH12" s="365">
        <v>1.9658170115512426</v>
      </c>
      <c r="AI12" s="365">
        <v>5.4889920561794897E-3</v>
      </c>
      <c r="AJ12" s="365">
        <v>1.2308421676718551E-2</v>
      </c>
      <c r="AK12" s="365">
        <v>1391.9649569298599</v>
      </c>
      <c r="AO12" s="366" t="s">
        <v>268</v>
      </c>
      <c r="AP12" s="371" t="s">
        <v>269</v>
      </c>
      <c r="AQ12" s="371" t="s">
        <v>270</v>
      </c>
      <c r="AR12" s="372">
        <v>80000</v>
      </c>
      <c r="AS12" s="373">
        <v>0.64</v>
      </c>
    </row>
    <row r="13" spans="2:45" ht="15" customHeight="1" x14ac:dyDescent="0.25">
      <c r="B13" s="2">
        <f t="shared" si="6"/>
        <v>2036</v>
      </c>
      <c r="C13" s="157">
        <f>($F13*$V$7*Assumptions!$D$14+$F13*$V$8*Assumptions!$D$15)/10^6</f>
        <v>6.5791132013697045</v>
      </c>
      <c r="D13" s="158">
        <f t="shared" si="0"/>
        <v>453.95881089450961</v>
      </c>
      <c r="E13" s="111">
        <f>D13*(1+0.03)^-($B13-Assumptions!$D$4)</f>
        <v>282.89212271713427</v>
      </c>
      <c r="F13" s="168">
        <f t="shared" si="1"/>
        <v>22616.487474930473</v>
      </c>
      <c r="G13" s="170">
        <f t="shared" si="7"/>
        <v>5.1545200378262631E-3</v>
      </c>
      <c r="H13" s="171">
        <f t="shared" si="8"/>
        <v>4.6813877373338255E-5</v>
      </c>
      <c r="I13" s="172">
        <f t="shared" si="9"/>
        <v>1.3158434319416302E-4</v>
      </c>
      <c r="J13" s="152">
        <f t="shared" si="10"/>
        <v>93.296812684655364</v>
      </c>
      <c r="K13" s="106">
        <f t="shared" si="11"/>
        <v>93.296812684655364</v>
      </c>
      <c r="L13" s="107">
        <f t="shared" si="12"/>
        <v>114.16257615525583</v>
      </c>
      <c r="M13" s="112">
        <f t="shared" si="13"/>
        <v>300.75620152456656</v>
      </c>
      <c r="N13" s="182">
        <f>M13*(1+0.07)^-(B13-Assumptions!$D$4)</f>
        <v>101.87653095825659</v>
      </c>
      <c r="O13" s="184">
        <f t="shared" si="14"/>
        <v>754.71501241907617</v>
      </c>
      <c r="P13" s="107">
        <f t="shared" si="15"/>
        <v>384.76865367539085</v>
      </c>
      <c r="R13" s="348">
        <v>2021</v>
      </c>
      <c r="S13" s="374">
        <v>15600</v>
      </c>
      <c r="T13" s="374">
        <v>41500</v>
      </c>
      <c r="U13" s="374">
        <v>748600</v>
      </c>
      <c r="V13" s="374">
        <v>52</v>
      </c>
      <c r="X13" s="393" t="s">
        <v>271</v>
      </c>
      <c r="Y13" s="392">
        <f>Y6*Y10</f>
        <v>6.8475000000000001</v>
      </c>
      <c r="Z13" s="393" t="s">
        <v>272</v>
      </c>
      <c r="AA13" s="383"/>
      <c r="AB13" s="383"/>
      <c r="AE13" s="199">
        <v>43</v>
      </c>
      <c r="AF13" s="190" t="s">
        <v>90</v>
      </c>
      <c r="AG13" s="190" t="s">
        <v>91</v>
      </c>
      <c r="AH13" s="365">
        <v>1.9469017025302577</v>
      </c>
      <c r="AI13" s="365">
        <v>3.66910948950592E-3</v>
      </c>
      <c r="AJ13" s="365">
        <v>5.5096995199883071E-2</v>
      </c>
      <c r="AK13" s="365">
        <v>1071.1129065416801</v>
      </c>
      <c r="AO13" s="366" t="s">
        <v>273</v>
      </c>
      <c r="AP13" s="371" t="s">
        <v>269</v>
      </c>
      <c r="AQ13" s="371" t="s">
        <v>270</v>
      </c>
      <c r="AR13" s="372">
        <v>37000</v>
      </c>
      <c r="AS13" s="373">
        <v>0.9</v>
      </c>
    </row>
    <row r="14" spans="2:45" ht="15.75" x14ac:dyDescent="0.25">
      <c r="B14" s="2">
        <f t="shared" si="6"/>
        <v>2037</v>
      </c>
      <c r="C14" s="157">
        <f>($F14*$V$7*Assumptions!$D$14+$F14*$V$8*Assumptions!$D$15)/10^6</f>
        <v>6.7808463420372016</v>
      </c>
      <c r="D14" s="158">
        <f t="shared" si="0"/>
        <v>474.65924394260412</v>
      </c>
      <c r="E14" s="111">
        <f>D14*(1+0.03)^-($B14-Assumptions!$D$4)</f>
        <v>287.17664875752058</v>
      </c>
      <c r="F14" s="168">
        <f t="shared" si="1"/>
        <v>23309.969242083374</v>
      </c>
      <c r="G14" s="170">
        <f t="shared" si="7"/>
        <v>5.312571356299969E-3</v>
      </c>
      <c r="H14" s="171">
        <f t="shared" si="8"/>
        <v>4.8249315588230277E-5</v>
      </c>
      <c r="I14" s="172">
        <f t="shared" si="9"/>
        <v>1.35619069760306E-4</v>
      </c>
      <c r="J14" s="152">
        <f t="shared" si="10"/>
        <v>96.157541549029432</v>
      </c>
      <c r="K14" s="106">
        <f t="shared" si="11"/>
        <v>96.157541549029432</v>
      </c>
      <c r="L14" s="107">
        <f t="shared" si="12"/>
        <v>117.66310492404149</v>
      </c>
      <c r="M14" s="112">
        <f t="shared" si="13"/>
        <v>309.97818802210037</v>
      </c>
      <c r="N14" s="182">
        <f>M14*(1+0.07)^-(B14-Assumptions!$D$4)</f>
        <v>98.131155930265763</v>
      </c>
      <c r="O14" s="184">
        <f t="shared" si="14"/>
        <v>784.63743196470455</v>
      </c>
      <c r="P14" s="107">
        <f t="shared" si="15"/>
        <v>385.30780468778636</v>
      </c>
      <c r="R14" s="348">
        <v>2022</v>
      </c>
      <c r="S14" s="374">
        <v>15800</v>
      </c>
      <c r="T14" s="374">
        <v>42300</v>
      </c>
      <c r="U14" s="374">
        <v>761600</v>
      </c>
      <c r="V14" s="374">
        <v>53</v>
      </c>
      <c r="X14" s="394"/>
      <c r="Y14" s="390"/>
      <c r="Z14" s="390"/>
      <c r="AA14" s="383"/>
      <c r="AB14" s="383"/>
      <c r="AE14" s="199">
        <v>51</v>
      </c>
      <c r="AF14" s="190" t="s">
        <v>92</v>
      </c>
      <c r="AG14" s="190" t="s">
        <v>91</v>
      </c>
      <c r="AH14" s="365">
        <v>2.48942987946789</v>
      </c>
      <c r="AI14" s="365">
        <v>5.2833773025508703E-3</v>
      </c>
      <c r="AJ14" s="365">
        <v>3.4321389281753531E-2</v>
      </c>
      <c r="AK14" s="365">
        <v>1427.83446247497</v>
      </c>
      <c r="AO14" s="366" t="s">
        <v>93</v>
      </c>
      <c r="AP14" s="371" t="s">
        <v>269</v>
      </c>
      <c r="AQ14" s="371" t="s">
        <v>270</v>
      </c>
      <c r="AR14" s="372">
        <v>32000</v>
      </c>
      <c r="AS14" s="373">
        <v>0.49</v>
      </c>
    </row>
    <row r="15" spans="2:45" ht="15.75" x14ac:dyDescent="0.25">
      <c r="B15" s="2">
        <f t="shared" si="6"/>
        <v>2038</v>
      </c>
      <c r="C15" s="157">
        <f>($F15*$V$7*Assumptions!$D$14+$F15*$V$8*Assumptions!$D$15)/10^6</f>
        <v>6.9825794827046321</v>
      </c>
      <c r="D15" s="158">
        <f t="shared" si="0"/>
        <v>495.76314327202886</v>
      </c>
      <c r="E15" s="111">
        <f>D15*(1+0.03)^-($B15-Assumptions!$D$4)</f>
        <v>291.20859701288833</v>
      </c>
      <c r="F15" s="168">
        <f t="shared" si="1"/>
        <v>24003.451009236043</v>
      </c>
      <c r="G15" s="170">
        <f t="shared" si="7"/>
        <v>5.4706226747736212E-3</v>
      </c>
      <c r="H15" s="171">
        <f t="shared" si="8"/>
        <v>4.9684753803121811E-5</v>
      </c>
      <c r="I15" s="172">
        <f t="shared" si="9"/>
        <v>1.3965379632644763E-4</v>
      </c>
      <c r="J15" s="152">
        <f t="shared" si="10"/>
        <v>99.018270413402547</v>
      </c>
      <c r="K15" s="106">
        <f t="shared" si="11"/>
        <v>99.018270413402547</v>
      </c>
      <c r="L15" s="107">
        <f t="shared" si="12"/>
        <v>121.16363369282595</v>
      </c>
      <c r="M15" s="112">
        <f t="shared" si="13"/>
        <v>319.20017451963105</v>
      </c>
      <c r="N15" s="182">
        <f>M15*(1+0.07)^-(B15-Assumptions!$D$4)</f>
        <v>94.439813723915677</v>
      </c>
      <c r="O15" s="184">
        <f t="shared" si="14"/>
        <v>814.96331779165985</v>
      </c>
      <c r="P15" s="107">
        <f t="shared" si="15"/>
        <v>385.64841073680401</v>
      </c>
      <c r="R15" s="348">
        <v>2023</v>
      </c>
      <c r="S15" s="374">
        <v>16000</v>
      </c>
      <c r="T15" s="374">
        <v>43100</v>
      </c>
      <c r="U15" s="374">
        <v>774700</v>
      </c>
      <c r="V15" s="374">
        <v>54</v>
      </c>
      <c r="X15" s="389" t="s">
        <v>296</v>
      </c>
      <c r="Y15" s="523" t="s">
        <v>17</v>
      </c>
      <c r="Z15" s="524"/>
      <c r="AA15" s="383"/>
      <c r="AB15" s="383"/>
      <c r="AE15" s="199">
        <v>52</v>
      </c>
      <c r="AF15" s="190" t="s">
        <v>92</v>
      </c>
      <c r="AG15" s="190" t="s">
        <v>91</v>
      </c>
      <c r="AH15" s="365">
        <v>0.95074648895471525</v>
      </c>
      <c r="AI15" s="365">
        <v>3.5321878667988801E-3</v>
      </c>
      <c r="AJ15" s="365">
        <v>1.5158170819293781E-2</v>
      </c>
      <c r="AK15" s="365">
        <v>862.616489254057</v>
      </c>
      <c r="AO15" s="366" t="s">
        <v>274</v>
      </c>
      <c r="AP15" s="371" t="s">
        <v>269</v>
      </c>
      <c r="AQ15" s="371" t="s">
        <v>270</v>
      </c>
      <c r="AR15" s="372">
        <v>30000</v>
      </c>
      <c r="AS15" s="373">
        <v>0.97</v>
      </c>
    </row>
    <row r="16" spans="2:45" ht="15.75" x14ac:dyDescent="0.25">
      <c r="B16" s="2">
        <f t="shared" si="6"/>
        <v>2039</v>
      </c>
      <c r="C16" s="157">
        <f>($F16*$V$7*Assumptions!$D$14+$F16*$V$8*Assumptions!$D$15)/10^6</f>
        <v>7.1843126233721293</v>
      </c>
      <c r="D16" s="158">
        <f t="shared" si="0"/>
        <v>517.27050888279337</v>
      </c>
      <c r="E16" s="111">
        <f>D16*(1+0.03)^-($B16-Assumptions!$D$4)</f>
        <v>294.99214329775077</v>
      </c>
      <c r="F16" s="168">
        <f t="shared" si="1"/>
        <v>24696.932776388945</v>
      </c>
      <c r="G16" s="170">
        <f t="shared" si="7"/>
        <v>5.6286739932473254E-3</v>
      </c>
      <c r="H16" s="171">
        <f t="shared" si="8"/>
        <v>5.1120192018013826E-5</v>
      </c>
      <c r="I16" s="172">
        <f t="shared" si="9"/>
        <v>1.4368852289259061E-4</v>
      </c>
      <c r="J16" s="152">
        <f t="shared" si="10"/>
        <v>101.87899927777659</v>
      </c>
      <c r="K16" s="106">
        <f t="shared" si="11"/>
        <v>101.87899927777659</v>
      </c>
      <c r="L16" s="107">
        <f t="shared" si="12"/>
        <v>124.66416246161161</v>
      </c>
      <c r="M16" s="112">
        <f t="shared" si="13"/>
        <v>328.4221610171648</v>
      </c>
      <c r="N16" s="182">
        <f>M16*(1+0.07)^-(B16-Assumptions!$D$4)</f>
        <v>90.811464266673752</v>
      </c>
      <c r="O16" s="184">
        <f t="shared" si="14"/>
        <v>845.69266989995822</v>
      </c>
      <c r="P16" s="107">
        <f t="shared" si="15"/>
        <v>385.80360756442451</v>
      </c>
      <c r="R16" s="348">
        <v>2024</v>
      </c>
      <c r="S16" s="374">
        <v>16200</v>
      </c>
      <c r="T16" s="374">
        <v>44000</v>
      </c>
      <c r="U16" s="374">
        <v>788100</v>
      </c>
      <c r="V16" s="374">
        <v>55</v>
      </c>
      <c r="X16" s="395" t="s">
        <v>298</v>
      </c>
      <c r="Y16" s="395">
        <v>2019</v>
      </c>
      <c r="Z16" s="395">
        <v>2040</v>
      </c>
      <c r="AA16" s="383"/>
      <c r="AB16" s="383"/>
      <c r="AE16" s="199">
        <v>53</v>
      </c>
      <c r="AF16" s="190" t="s">
        <v>92</v>
      </c>
      <c r="AG16" s="190" t="s">
        <v>91</v>
      </c>
      <c r="AH16" s="365">
        <v>0.89067775827536644</v>
      </c>
      <c r="AI16" s="365">
        <v>3.4020765235606102E-3</v>
      </c>
      <c r="AJ16" s="365">
        <v>1.349939126139434E-2</v>
      </c>
      <c r="AK16" s="365">
        <v>829.46088804247995</v>
      </c>
      <c r="AO16" s="366" t="s">
        <v>275</v>
      </c>
      <c r="AP16" s="371" t="s">
        <v>269</v>
      </c>
      <c r="AQ16" s="375" t="s">
        <v>276</v>
      </c>
      <c r="AR16" s="371" t="s">
        <v>277</v>
      </c>
      <c r="AS16" s="373">
        <v>0.44</v>
      </c>
    </row>
    <row r="17" spans="2:45" ht="15.75" x14ac:dyDescent="0.25">
      <c r="B17" s="2">
        <f t="shared" si="6"/>
        <v>2040</v>
      </c>
      <c r="C17" s="157">
        <f>($F17*$V$7*Assumptions!$D$14+$F17*$V$8*Assumptions!$D$15)/10^6</f>
        <v>7.3860457640395589</v>
      </c>
      <c r="D17" s="158">
        <f t="shared" si="0"/>
        <v>539.18134077488776</v>
      </c>
      <c r="E17" s="111">
        <f>D17*(1+0.03)^-($B17-Assumptions!$D$4)</f>
        <v>298.53163549673525</v>
      </c>
      <c r="F17" s="168">
        <f t="shared" si="1"/>
        <v>25390.414543541614</v>
      </c>
      <c r="G17" s="170">
        <f t="shared" si="7"/>
        <v>5.7867253117209784E-3</v>
      </c>
      <c r="H17" s="171">
        <f t="shared" si="8"/>
        <v>5.255563023290536E-5</v>
      </c>
      <c r="I17" s="172">
        <f t="shared" si="9"/>
        <v>1.4772324945873226E-4</v>
      </c>
      <c r="J17" s="152">
        <f t="shared" si="10"/>
        <v>104.73972814214972</v>
      </c>
      <c r="K17" s="106">
        <f t="shared" si="11"/>
        <v>104.73972814214972</v>
      </c>
      <c r="L17" s="107">
        <f t="shared" si="12"/>
        <v>128.1646912303961</v>
      </c>
      <c r="M17" s="112">
        <f t="shared" si="13"/>
        <v>337.64414751469553</v>
      </c>
      <c r="N17" s="182">
        <f>M17*(1+0.07)^-(B17-Assumptions!$D$4)</f>
        <v>87.253663906686398</v>
      </c>
      <c r="O17" s="184">
        <f t="shared" si="14"/>
        <v>876.82548828958329</v>
      </c>
      <c r="P17" s="107">
        <f t="shared" si="15"/>
        <v>385.78529940342162</v>
      </c>
      <c r="R17" s="348">
        <v>2025</v>
      </c>
      <c r="S17" s="374">
        <v>16500</v>
      </c>
      <c r="T17" s="374">
        <v>44900</v>
      </c>
      <c r="U17" s="374">
        <v>801700</v>
      </c>
      <c r="V17" s="374">
        <v>56</v>
      </c>
      <c r="X17" s="393" t="s">
        <v>299</v>
      </c>
      <c r="Y17" s="396">
        <f>SUM('Travel Time - Interchange'!X7,'Travel Time - Interchange'!X9,'Travel Time - Interchange'!X28,'Travel Time - Interchange'!X30)</f>
        <v>1581.2044444444446</v>
      </c>
      <c r="Z17" s="396">
        <f>SUM('Travel Time - Interchange'!X13,'Travel Time - Interchange'!X15,'Travel Time - Interchange'!X29,'Travel Time - Interchange'!X31)</f>
        <v>3707.9831388888892</v>
      </c>
      <c r="AA17" s="383"/>
      <c r="AB17" s="383"/>
      <c r="AE17" s="199">
        <v>54</v>
      </c>
      <c r="AF17" s="190" t="s">
        <v>92</v>
      </c>
      <c r="AG17" s="190" t="s">
        <v>91</v>
      </c>
      <c r="AH17" s="365">
        <v>1.6481032166429217</v>
      </c>
      <c r="AI17" s="365">
        <v>6.0326542026046303E-3</v>
      </c>
      <c r="AJ17" s="365">
        <v>4.2864875162321965E-2</v>
      </c>
      <c r="AK17" s="365">
        <v>1166.1048437433201</v>
      </c>
      <c r="AO17" s="366" t="s">
        <v>278</v>
      </c>
      <c r="AP17" s="371" t="s">
        <v>269</v>
      </c>
      <c r="AQ17" s="371" t="s">
        <v>270</v>
      </c>
      <c r="AR17" s="372">
        <v>26000</v>
      </c>
      <c r="AS17" s="373">
        <v>0.59</v>
      </c>
    </row>
    <row r="18" spans="2:45" ht="15.75" x14ac:dyDescent="0.25">
      <c r="B18" s="2">
        <f t="shared" si="6"/>
        <v>2041</v>
      </c>
      <c r="C18" s="157">
        <f>($F18*$V$7*Assumptions!$D$14+$F18*$V$8*Assumptions!$D$15)/10^6</f>
        <v>7.587778904707057</v>
      </c>
      <c r="D18" s="158">
        <f t="shared" si="0"/>
        <v>561.49563894832227</v>
      </c>
      <c r="E18" s="111">
        <f>D18*(1+0.03)^-($B18-Assumptions!$D$4)</f>
        <v>301.83157414276735</v>
      </c>
      <c r="F18" s="168">
        <f t="shared" si="1"/>
        <v>26083.896310694516</v>
      </c>
      <c r="G18" s="170">
        <f t="shared" si="7"/>
        <v>5.9447766301946835E-3</v>
      </c>
      <c r="H18" s="171">
        <f t="shared" si="8"/>
        <v>5.3991068447797376E-5</v>
      </c>
      <c r="I18" s="172">
        <f t="shared" si="9"/>
        <v>1.5175797602487524E-4</v>
      </c>
      <c r="J18" s="152">
        <f t="shared" si="10"/>
        <v>107.60045700652377</v>
      </c>
      <c r="K18" s="106">
        <f t="shared" si="11"/>
        <v>107.60045700652377</v>
      </c>
      <c r="L18" s="107">
        <f t="shared" si="12"/>
        <v>131.66521999918174</v>
      </c>
      <c r="M18" s="112">
        <f t="shared" si="13"/>
        <v>346.86613401222928</v>
      </c>
      <c r="N18" s="182">
        <f>M18*(1+0.07)^-(B18-Assumptions!$D$4)</f>
        <v>83.772710711534614</v>
      </c>
      <c r="O18" s="184">
        <f t="shared" si="14"/>
        <v>908.36177296055155</v>
      </c>
      <c r="P18" s="107">
        <f t="shared" si="15"/>
        <v>385.60428485430197</v>
      </c>
      <c r="R18" s="348">
        <v>2026</v>
      </c>
      <c r="S18" s="374">
        <v>16800</v>
      </c>
      <c r="T18" s="374">
        <v>45700</v>
      </c>
      <c r="U18" s="374">
        <v>814500</v>
      </c>
      <c r="V18" s="374">
        <v>57</v>
      </c>
      <c r="X18" s="397"/>
      <c r="Y18" s="398"/>
      <c r="Z18" s="398"/>
      <c r="AA18" s="383"/>
      <c r="AB18" s="383"/>
      <c r="AE18" s="199">
        <v>61</v>
      </c>
      <c r="AF18" s="190" t="s">
        <v>93</v>
      </c>
      <c r="AG18" s="190" t="s">
        <v>91</v>
      </c>
      <c r="AH18" s="365">
        <v>3.0234078113615883</v>
      </c>
      <c r="AI18" s="365">
        <v>4.9760807160904204E-3</v>
      </c>
      <c r="AJ18" s="365">
        <v>4.3407648080982714E-2</v>
      </c>
      <c r="AK18" s="365">
        <v>1463.90880302132</v>
      </c>
      <c r="AO18" s="366" t="s">
        <v>279</v>
      </c>
      <c r="AP18" s="371" t="s">
        <v>269</v>
      </c>
      <c r="AQ18" s="371" t="s">
        <v>270</v>
      </c>
      <c r="AR18" s="372">
        <v>19500</v>
      </c>
      <c r="AS18" s="373">
        <v>0.84</v>
      </c>
    </row>
    <row r="19" spans="2:45" ht="15.75" x14ac:dyDescent="0.25">
      <c r="B19" s="2">
        <f t="shared" si="6"/>
        <v>2042</v>
      </c>
      <c r="C19" s="157">
        <f>($F19*$V$7*Assumptions!$D$14+$F19*$V$8*Assumptions!$D$15)/10^6</f>
        <v>7.7895120453744866</v>
      </c>
      <c r="D19" s="158">
        <f t="shared" si="0"/>
        <v>584.21340340308655</v>
      </c>
      <c r="E19" s="111">
        <f>D19*(1+0.03)^-($B19-Assumptions!$D$4)</f>
        <v>304.89659415116364</v>
      </c>
      <c r="F19" s="168">
        <f t="shared" si="1"/>
        <v>26777.378077847185</v>
      </c>
      <c r="G19" s="170">
        <f t="shared" si="7"/>
        <v>6.1028279486683348E-3</v>
      </c>
      <c r="H19" s="171">
        <f t="shared" si="8"/>
        <v>5.542650666268891E-5</v>
      </c>
      <c r="I19" s="172">
        <f t="shared" si="9"/>
        <v>1.5579270259101689E-4</v>
      </c>
      <c r="J19" s="152">
        <f t="shared" si="10"/>
        <v>110.46118587089686</v>
      </c>
      <c r="K19" s="106">
        <f t="shared" si="11"/>
        <v>110.46118587089686</v>
      </c>
      <c r="L19" s="107">
        <f t="shared" si="12"/>
        <v>135.16574876796625</v>
      </c>
      <c r="M19" s="112">
        <f t="shared" si="13"/>
        <v>356.08812050975996</v>
      </c>
      <c r="N19" s="182">
        <f>M19*(1+0.07)^-(B19-Assumptions!$D$4)</f>
        <v>80.373776763033348</v>
      </c>
      <c r="O19" s="184">
        <f t="shared" si="14"/>
        <v>940.30152391284651</v>
      </c>
      <c r="P19" s="107">
        <f t="shared" si="15"/>
        <v>385.27037091419697</v>
      </c>
      <c r="R19" s="348">
        <v>2027</v>
      </c>
      <c r="S19" s="374">
        <v>17100</v>
      </c>
      <c r="T19" s="374">
        <v>46500</v>
      </c>
      <c r="U19" s="374">
        <v>827400</v>
      </c>
      <c r="V19" s="374">
        <v>58</v>
      </c>
      <c r="X19" s="389" t="s">
        <v>297</v>
      </c>
      <c r="Y19" s="523" t="s">
        <v>17</v>
      </c>
      <c r="Z19" s="524"/>
      <c r="AA19" s="383"/>
      <c r="AB19" s="383"/>
      <c r="AE19" s="199">
        <v>62</v>
      </c>
      <c r="AF19" s="190" t="s">
        <v>93</v>
      </c>
      <c r="AG19" s="190" t="s">
        <v>91</v>
      </c>
      <c r="AH19" s="365">
        <v>3.7426725771679936</v>
      </c>
      <c r="AI19" s="365">
        <v>5.1160211102583997E-3</v>
      </c>
      <c r="AJ19" s="365">
        <v>5.9310023601485649E-2</v>
      </c>
      <c r="AK19" s="365">
        <v>1528.79872430418</v>
      </c>
      <c r="AO19" s="366" t="s">
        <v>275</v>
      </c>
      <c r="AP19" s="371" t="s">
        <v>280</v>
      </c>
      <c r="AQ19" s="375" t="s">
        <v>281</v>
      </c>
      <c r="AR19" s="371" t="s">
        <v>282</v>
      </c>
      <c r="AS19" s="373">
        <v>0.84</v>
      </c>
    </row>
    <row r="20" spans="2:45" ht="15.75" x14ac:dyDescent="0.25">
      <c r="B20" s="2">
        <f t="shared" si="6"/>
        <v>2043</v>
      </c>
      <c r="C20" s="157">
        <f>($F20*$V$7*Assumptions!$D$14+$F20*$V$8*Assumptions!$D$15)/10^6</f>
        <v>7.9912451860419846</v>
      </c>
      <c r="D20" s="158">
        <f t="shared" si="0"/>
        <v>615.32587932523279</v>
      </c>
      <c r="E20" s="111">
        <f>D20*(1+0.03)^-($B20-Assumptions!$D$4)</f>
        <v>311.78054564934149</v>
      </c>
      <c r="F20" s="168">
        <f t="shared" si="1"/>
        <v>27470.859845000086</v>
      </c>
      <c r="G20" s="170">
        <f t="shared" si="7"/>
        <v>6.2608792671420407E-3</v>
      </c>
      <c r="H20" s="171">
        <f t="shared" si="8"/>
        <v>5.6861944877580925E-5</v>
      </c>
      <c r="I20" s="172">
        <f t="shared" si="9"/>
        <v>1.5982742915715987E-4</v>
      </c>
      <c r="J20" s="152">
        <f t="shared" si="10"/>
        <v>113.32191473527094</v>
      </c>
      <c r="K20" s="106">
        <f t="shared" si="11"/>
        <v>113.32191473527094</v>
      </c>
      <c r="L20" s="107">
        <f t="shared" si="12"/>
        <v>138.66627753675189</v>
      </c>
      <c r="M20" s="112">
        <f t="shared" si="13"/>
        <v>365.31010700729377</v>
      </c>
      <c r="N20" s="182">
        <f>M20*(1+0.07)^-(B20-Assumptions!$D$4)</f>
        <v>77.061028527694546</v>
      </c>
      <c r="O20" s="184">
        <f t="shared" si="14"/>
        <v>980.6359863325265</v>
      </c>
      <c r="P20" s="107">
        <f t="shared" si="15"/>
        <v>388.84157417703602</v>
      </c>
      <c r="R20" s="348">
        <v>2028</v>
      </c>
      <c r="S20" s="374">
        <v>17400</v>
      </c>
      <c r="T20" s="374">
        <v>47300</v>
      </c>
      <c r="U20" s="374">
        <v>840600</v>
      </c>
      <c r="V20" s="374">
        <v>60</v>
      </c>
      <c r="X20" s="399" t="s">
        <v>100</v>
      </c>
      <c r="Y20" s="395">
        <v>2019</v>
      </c>
      <c r="Z20" s="395">
        <v>2040</v>
      </c>
      <c r="AA20" s="383"/>
      <c r="AB20" s="383"/>
      <c r="AO20" s="366" t="s">
        <v>283</v>
      </c>
      <c r="AP20" s="371" t="s">
        <v>269</v>
      </c>
      <c r="AQ20" s="371">
        <v>2</v>
      </c>
      <c r="AR20" s="371" t="s">
        <v>270</v>
      </c>
      <c r="AS20" s="373">
        <v>0.17</v>
      </c>
    </row>
    <row r="21" spans="2:45" ht="15.75" x14ac:dyDescent="0.25">
      <c r="B21" s="2">
        <f t="shared" si="6"/>
        <v>2044</v>
      </c>
      <c r="C21" s="157">
        <f>($F21*$V$7*Assumptions!$D$14+$F21*$V$8*Assumptions!$D$15)/10^6</f>
        <v>8.1929783267094134</v>
      </c>
      <c r="D21" s="158">
        <f t="shared" si="0"/>
        <v>639.05230948333428</v>
      </c>
      <c r="E21" s="111">
        <f>D21*(1+0.03)^-($B21-Assumptions!$D$4)</f>
        <v>314.37139032052914</v>
      </c>
      <c r="F21" s="168">
        <f t="shared" si="1"/>
        <v>28164.341612152755</v>
      </c>
      <c r="G21" s="170">
        <f t="shared" si="7"/>
        <v>6.4189305856156929E-3</v>
      </c>
      <c r="H21" s="171">
        <f t="shared" si="8"/>
        <v>5.8297383092472459E-5</v>
      </c>
      <c r="I21" s="172">
        <f t="shared" si="9"/>
        <v>1.6386215572330147E-4</v>
      </c>
      <c r="J21" s="152">
        <f t="shared" si="10"/>
        <v>116.18264359964404</v>
      </c>
      <c r="K21" s="106">
        <f t="shared" si="11"/>
        <v>116.18264359964404</v>
      </c>
      <c r="L21" s="107">
        <f t="shared" si="12"/>
        <v>142.16680630553634</v>
      </c>
      <c r="M21" s="112">
        <f t="shared" si="13"/>
        <v>374.53209350482439</v>
      </c>
      <c r="N21" s="182">
        <f>M21*(1+0.07)^-(B21-Assumptions!$D$4)</f>
        <v>73.837736296822683</v>
      </c>
      <c r="O21" s="184">
        <f t="shared" si="14"/>
        <v>1013.5844029881587</v>
      </c>
      <c r="P21" s="107">
        <f t="shared" si="15"/>
        <v>388.20912661735184</v>
      </c>
      <c r="R21" s="348">
        <v>2029</v>
      </c>
      <c r="S21" s="374">
        <v>17700</v>
      </c>
      <c r="T21" s="374">
        <v>48200</v>
      </c>
      <c r="U21" s="374">
        <v>854000</v>
      </c>
      <c r="V21" s="374">
        <v>61</v>
      </c>
      <c r="X21" s="400" t="s">
        <v>284</v>
      </c>
      <c r="Y21" s="396">
        <f>Y17*$Y$13</f>
        <v>10827.297433333335</v>
      </c>
      <c r="Z21" s="396">
        <f>Z17*$Y$13</f>
        <v>25390.414543541669</v>
      </c>
      <c r="AA21" s="383"/>
      <c r="AB21" s="383"/>
      <c r="AO21" s="366" t="s">
        <v>285</v>
      </c>
      <c r="AP21" s="371" t="s">
        <v>280</v>
      </c>
      <c r="AQ21" s="371">
        <v>4.5999999999999996</v>
      </c>
      <c r="AR21" s="371" t="s">
        <v>270</v>
      </c>
      <c r="AS21" s="373">
        <v>0.39</v>
      </c>
    </row>
    <row r="22" spans="2:45" ht="15.75" x14ac:dyDescent="0.25">
      <c r="B22" s="2">
        <f t="shared" si="6"/>
        <v>2045</v>
      </c>
      <c r="C22" s="157">
        <f>($F22*$V$7*Assumptions!$D$14+$F22*$V$8*Assumptions!$D$15)/10^6</f>
        <v>8.3947114673769097</v>
      </c>
      <c r="D22" s="158">
        <f t="shared" si="0"/>
        <v>663.18220592277589</v>
      </c>
      <c r="E22" s="111">
        <f>D22*(1+0.03)^-($B22-Assumptions!$D$4)</f>
        <v>316.73951498395058</v>
      </c>
      <c r="F22" s="168">
        <f t="shared" si="1"/>
        <v>28857.823379305657</v>
      </c>
      <c r="G22" s="170">
        <f t="shared" si="7"/>
        <v>6.5769819040893971E-3</v>
      </c>
      <c r="H22" s="171">
        <f t="shared" si="8"/>
        <v>5.9732821307364474E-5</v>
      </c>
      <c r="I22" s="172">
        <f t="shared" si="9"/>
        <v>1.6789688228944447E-4</v>
      </c>
      <c r="J22" s="152">
        <f t="shared" si="10"/>
        <v>119.04337246401809</v>
      </c>
      <c r="K22" s="106">
        <f t="shared" si="11"/>
        <v>119.04337246401809</v>
      </c>
      <c r="L22" s="107">
        <f t="shared" si="12"/>
        <v>145.66733507432201</v>
      </c>
      <c r="M22" s="112">
        <f t="shared" si="13"/>
        <v>383.75408000235819</v>
      </c>
      <c r="N22" s="182">
        <f>M22*(1+0.07)^-(B22-Assumptions!$D$4)</f>
        <v>70.70637361123822</v>
      </c>
      <c r="O22" s="184">
        <f t="shared" si="14"/>
        <v>1046.9362859251341</v>
      </c>
      <c r="P22" s="107">
        <f t="shared" si="15"/>
        <v>387.44588859518882</v>
      </c>
      <c r="R22" s="348">
        <v>2030</v>
      </c>
      <c r="S22" s="374">
        <v>18100</v>
      </c>
      <c r="T22" s="374">
        <v>49100</v>
      </c>
      <c r="U22" s="374">
        <v>867600</v>
      </c>
      <c r="V22" s="374">
        <v>62</v>
      </c>
      <c r="AA22" s="383"/>
      <c r="AB22" s="383"/>
      <c r="AO22" s="366" t="s">
        <v>283</v>
      </c>
      <c r="AP22" s="371" t="s">
        <v>280</v>
      </c>
      <c r="AQ22" s="371">
        <v>2</v>
      </c>
      <c r="AR22" s="371" t="s">
        <v>270</v>
      </c>
      <c r="AS22" s="373">
        <v>0.16</v>
      </c>
    </row>
    <row r="23" spans="2:45" ht="15.75" x14ac:dyDescent="0.25">
      <c r="B23" s="2">
        <f t="shared" si="6"/>
        <v>2046</v>
      </c>
      <c r="C23" s="157">
        <f>($F23*$V$7*Assumptions!$D$14+$F23*$V$8*Assumptions!$D$15)/10^6</f>
        <v>8.596444608044342</v>
      </c>
      <c r="D23" s="158">
        <f t="shared" si="0"/>
        <v>687.71556864354739</v>
      </c>
      <c r="E23" s="111">
        <f>D23*(1+0.03)^-($B23-Assumptions!$D$4)</f>
        <v>318.89008315738585</v>
      </c>
      <c r="F23" s="168">
        <f t="shared" si="1"/>
        <v>29551.305146458326</v>
      </c>
      <c r="G23" s="170">
        <f t="shared" si="7"/>
        <v>6.7350332225630492E-3</v>
      </c>
      <c r="H23" s="171">
        <f t="shared" si="8"/>
        <v>6.1168259522256015E-5</v>
      </c>
      <c r="I23" s="172">
        <f t="shared" si="9"/>
        <v>1.719316088555861E-4</v>
      </c>
      <c r="J23" s="152">
        <f t="shared" si="10"/>
        <v>121.90410132839119</v>
      </c>
      <c r="K23" s="106">
        <f t="shared" si="11"/>
        <v>121.90410132839119</v>
      </c>
      <c r="L23" s="107">
        <f t="shared" si="12"/>
        <v>149.16786384310649</v>
      </c>
      <c r="M23" s="112">
        <f t="shared" si="13"/>
        <v>392.97606649988887</v>
      </c>
      <c r="N23" s="182">
        <f>M23*(1+0.07)^-(B23-Assumptions!$D$4)</f>
        <v>67.66870751264436</v>
      </c>
      <c r="O23" s="184">
        <f t="shared" si="14"/>
        <v>1080.6916351434363</v>
      </c>
      <c r="P23" s="107">
        <f t="shared" si="15"/>
        <v>386.55879067003019</v>
      </c>
      <c r="R23" s="348">
        <v>2031</v>
      </c>
      <c r="S23" s="374">
        <v>18100</v>
      </c>
      <c r="T23" s="374">
        <v>49100</v>
      </c>
      <c r="U23" s="374">
        <v>867600</v>
      </c>
      <c r="V23" s="374">
        <v>63</v>
      </c>
      <c r="AO23" s="366"/>
      <c r="AP23" s="366"/>
      <c r="AQ23" s="366"/>
      <c r="AR23" s="366"/>
      <c r="AS23" s="366"/>
    </row>
    <row r="24" spans="2:45" ht="15" customHeight="1" thickBot="1" x14ac:dyDescent="0.3">
      <c r="B24" s="350">
        <f t="shared" si="6"/>
        <v>2047</v>
      </c>
      <c r="C24" s="413">
        <f>($F24*$V$7*Assumptions!$D$14+$F24*$V$8*Assumptions!$D$15)/10^6</f>
        <v>8.79817774871184</v>
      </c>
      <c r="D24" s="414">
        <f t="shared" si="0"/>
        <v>712.65239764565899</v>
      </c>
      <c r="E24" s="415">
        <f>D24*(1+0.03)^-($B24-Assumptions!$D$4)</f>
        <v>320.82830998514618</v>
      </c>
      <c r="F24" s="416">
        <f t="shared" si="1"/>
        <v>30244.786913611228</v>
      </c>
      <c r="G24" s="417">
        <f t="shared" si="7"/>
        <v>6.8930845410367543E-3</v>
      </c>
      <c r="H24" s="418">
        <f t="shared" si="8"/>
        <v>6.2603697737148031E-5</v>
      </c>
      <c r="I24" s="419">
        <f t="shared" si="9"/>
        <v>1.7596633542172908E-4</v>
      </c>
      <c r="J24" s="420">
        <f t="shared" si="10"/>
        <v>124.76483019276526</v>
      </c>
      <c r="K24" s="421">
        <f t="shared" si="11"/>
        <v>124.76483019276526</v>
      </c>
      <c r="L24" s="422">
        <f t="shared" si="12"/>
        <v>152.66839261189216</v>
      </c>
      <c r="M24" s="423">
        <f t="shared" si="13"/>
        <v>402.19805299742268</v>
      </c>
      <c r="N24" s="424">
        <f>M24*(1+0.07)^-(B24-Assumptions!$D$4)</f>
        <v>64.725880396385051</v>
      </c>
      <c r="O24" s="425">
        <f t="shared" si="14"/>
        <v>1114.8504506430818</v>
      </c>
      <c r="P24" s="422">
        <f t="shared" si="15"/>
        <v>385.55419038153121</v>
      </c>
      <c r="R24" s="348">
        <v>2032</v>
      </c>
      <c r="S24" s="374">
        <v>18100</v>
      </c>
      <c r="T24" s="374">
        <v>49100</v>
      </c>
      <c r="U24" s="374">
        <v>867600</v>
      </c>
      <c r="V24" s="374">
        <v>64</v>
      </c>
      <c r="AG24" s="99" t="s">
        <v>53</v>
      </c>
      <c r="AH24" s="328" t="s">
        <v>74</v>
      </c>
      <c r="AI24" s="328" t="s">
        <v>75</v>
      </c>
      <c r="AJ24" s="328" t="s">
        <v>76</v>
      </c>
      <c r="AK24" s="328" t="s">
        <v>77</v>
      </c>
      <c r="AO24" s="376" t="s">
        <v>286</v>
      </c>
      <c r="AP24" s="366"/>
      <c r="AQ24" s="366"/>
      <c r="AR24" s="366"/>
      <c r="AS24" s="366"/>
    </row>
    <row r="25" spans="2:45" ht="16.5" thickTop="1" x14ac:dyDescent="0.25">
      <c r="B25" s="193">
        <f t="shared" si="6"/>
        <v>2048</v>
      </c>
      <c r="C25" s="157">
        <v>0</v>
      </c>
      <c r="D25" s="158">
        <v>0</v>
      </c>
      <c r="E25" s="111">
        <v>0</v>
      </c>
      <c r="F25" s="408">
        <v>0</v>
      </c>
      <c r="G25" s="409">
        <v>0</v>
      </c>
      <c r="H25" s="410">
        <v>0</v>
      </c>
      <c r="I25" s="111">
        <v>0</v>
      </c>
      <c r="J25" s="409">
        <v>0</v>
      </c>
      <c r="K25" s="410">
        <v>0</v>
      </c>
      <c r="L25" s="111">
        <v>0</v>
      </c>
      <c r="M25" s="411">
        <v>0</v>
      </c>
      <c r="N25" s="412">
        <v>0</v>
      </c>
      <c r="O25" s="158">
        <v>0</v>
      </c>
      <c r="P25" s="111">
        <f t="shared" ref="P25" si="17">N25+E25</f>
        <v>0</v>
      </c>
      <c r="R25" s="348">
        <v>2033</v>
      </c>
      <c r="S25" s="374">
        <v>18100</v>
      </c>
      <c r="T25" s="374">
        <v>49100</v>
      </c>
      <c r="U25" s="374">
        <v>867600</v>
      </c>
      <c r="V25" s="374">
        <v>65</v>
      </c>
      <c r="AG25" s="99" t="s">
        <v>54</v>
      </c>
      <c r="AH25" s="203">
        <f>AVERAGE(AH7:AH10)</f>
        <v>0.22790983982547491</v>
      </c>
      <c r="AI25" s="203">
        <f t="shared" ref="AI25:AK25" si="18">AVERAGE(AI7:AI10)</f>
        <v>2.0699004398994176E-3</v>
      </c>
      <c r="AJ25" s="203">
        <f t="shared" si="18"/>
        <v>5.8180715878192544E-3</v>
      </c>
      <c r="AK25" s="203">
        <f t="shared" si="18"/>
        <v>317.22468262036</v>
      </c>
      <c r="AO25" s="377" t="s">
        <v>287</v>
      </c>
      <c r="AP25" s="366"/>
      <c r="AQ25" s="366"/>
      <c r="AR25" s="366"/>
      <c r="AS25" s="366"/>
    </row>
    <row r="26" spans="2:45" x14ac:dyDescent="0.25">
      <c r="B26" s="2">
        <f t="shared" si="6"/>
        <v>2049</v>
      </c>
      <c r="C26" s="157">
        <v>0</v>
      </c>
      <c r="D26" s="158">
        <v>0</v>
      </c>
      <c r="E26" s="111">
        <v>0</v>
      </c>
      <c r="F26" s="168">
        <v>0</v>
      </c>
      <c r="G26" s="152">
        <v>0</v>
      </c>
      <c r="H26" s="106">
        <v>0</v>
      </c>
      <c r="I26" s="107">
        <v>0</v>
      </c>
      <c r="J26" s="152">
        <v>0</v>
      </c>
      <c r="K26" s="106">
        <v>0</v>
      </c>
      <c r="L26" s="107">
        <v>0</v>
      </c>
      <c r="M26" s="112">
        <v>0</v>
      </c>
      <c r="N26" s="182">
        <v>0</v>
      </c>
      <c r="O26" s="184">
        <v>0</v>
      </c>
      <c r="P26" s="107">
        <f t="shared" ref="P26:P34" si="19">N26+E26</f>
        <v>0</v>
      </c>
      <c r="R26" s="348">
        <v>2034</v>
      </c>
      <c r="S26" s="374">
        <v>18100</v>
      </c>
      <c r="T26" s="374">
        <v>49100</v>
      </c>
      <c r="U26" s="374">
        <v>867600</v>
      </c>
      <c r="V26" s="374">
        <v>66</v>
      </c>
      <c r="AG26" s="99" t="s">
        <v>55</v>
      </c>
      <c r="AH26" s="203">
        <f>AVERAGE(AH11:AH19)</f>
        <v>2.099484306313415</v>
      </c>
      <c r="AI26" s="203">
        <f t="shared" ref="AI26:AK26" si="20">AVERAGE(AI11:AI19)</f>
        <v>4.7858028693373951E-3</v>
      </c>
      <c r="AJ26" s="203">
        <f t="shared" si="20"/>
        <v>3.2505287070740692E-2</v>
      </c>
      <c r="AK26" s="203">
        <f t="shared" si="20"/>
        <v>1238.7315972924489</v>
      </c>
    </row>
    <row r="27" spans="2:45" x14ac:dyDescent="0.25">
      <c r="B27" s="2">
        <f t="shared" si="6"/>
        <v>2050</v>
      </c>
      <c r="C27" s="157">
        <v>0</v>
      </c>
      <c r="D27" s="158">
        <v>0</v>
      </c>
      <c r="E27" s="111">
        <v>0</v>
      </c>
      <c r="F27" s="168">
        <v>0</v>
      </c>
      <c r="G27" s="152">
        <v>0</v>
      </c>
      <c r="H27" s="106">
        <v>0</v>
      </c>
      <c r="I27" s="107">
        <v>0</v>
      </c>
      <c r="J27" s="152">
        <v>0</v>
      </c>
      <c r="K27" s="106">
        <v>0</v>
      </c>
      <c r="L27" s="107">
        <v>0</v>
      </c>
      <c r="M27" s="112">
        <v>0</v>
      </c>
      <c r="N27" s="182">
        <v>0</v>
      </c>
      <c r="O27" s="184">
        <v>0</v>
      </c>
      <c r="P27" s="107">
        <f t="shared" si="19"/>
        <v>0</v>
      </c>
      <c r="R27" s="348">
        <v>2035</v>
      </c>
      <c r="S27" s="374">
        <v>18100</v>
      </c>
      <c r="T27" s="374">
        <v>49100</v>
      </c>
      <c r="U27" s="374">
        <v>867600</v>
      </c>
      <c r="V27" s="374">
        <v>67</v>
      </c>
    </row>
    <row r="28" spans="2:45" ht="15" customHeight="1" x14ac:dyDescent="0.25">
      <c r="B28" s="2">
        <f t="shared" si="6"/>
        <v>2051</v>
      </c>
      <c r="C28" s="157">
        <v>0</v>
      </c>
      <c r="D28" s="158">
        <v>0</v>
      </c>
      <c r="E28" s="111">
        <v>0</v>
      </c>
      <c r="F28" s="168">
        <v>0</v>
      </c>
      <c r="G28" s="152">
        <v>0</v>
      </c>
      <c r="H28" s="106">
        <v>0</v>
      </c>
      <c r="I28" s="107">
        <v>0</v>
      </c>
      <c r="J28" s="152">
        <v>0</v>
      </c>
      <c r="K28" s="106">
        <v>0</v>
      </c>
      <c r="L28" s="107">
        <v>0</v>
      </c>
      <c r="M28" s="112">
        <v>0</v>
      </c>
      <c r="N28" s="182">
        <v>0</v>
      </c>
      <c r="O28" s="184">
        <v>0</v>
      </c>
      <c r="P28" s="107">
        <f t="shared" si="19"/>
        <v>0</v>
      </c>
      <c r="R28" s="348">
        <v>2036</v>
      </c>
      <c r="S28" s="374">
        <v>18100</v>
      </c>
      <c r="T28" s="374">
        <v>49100</v>
      </c>
      <c r="U28" s="374">
        <v>867600</v>
      </c>
      <c r="V28" s="374">
        <v>69</v>
      </c>
    </row>
    <row r="29" spans="2:45" x14ac:dyDescent="0.25">
      <c r="B29" s="2">
        <f t="shared" si="6"/>
        <v>2052</v>
      </c>
      <c r="C29" s="157">
        <v>0</v>
      </c>
      <c r="D29" s="158">
        <v>0</v>
      </c>
      <c r="E29" s="111">
        <v>0</v>
      </c>
      <c r="F29" s="168">
        <v>0</v>
      </c>
      <c r="G29" s="152">
        <v>0</v>
      </c>
      <c r="H29" s="106">
        <v>0</v>
      </c>
      <c r="I29" s="107">
        <v>0</v>
      </c>
      <c r="J29" s="152">
        <v>0</v>
      </c>
      <c r="K29" s="106">
        <v>0</v>
      </c>
      <c r="L29" s="107">
        <v>0</v>
      </c>
      <c r="M29" s="112">
        <v>0</v>
      </c>
      <c r="N29" s="182">
        <v>0</v>
      </c>
      <c r="O29" s="184">
        <v>0</v>
      </c>
      <c r="P29" s="107">
        <f t="shared" si="19"/>
        <v>0</v>
      </c>
      <c r="R29" s="348">
        <v>2037</v>
      </c>
      <c r="S29" s="374">
        <v>18100</v>
      </c>
      <c r="T29" s="374">
        <v>49100</v>
      </c>
      <c r="U29" s="374">
        <v>867600</v>
      </c>
      <c r="V29" s="374">
        <v>70</v>
      </c>
    </row>
    <row r="30" spans="2:45" x14ac:dyDescent="0.25">
      <c r="B30" s="2">
        <f t="shared" si="6"/>
        <v>2053</v>
      </c>
      <c r="C30" s="157">
        <v>0</v>
      </c>
      <c r="D30" s="158">
        <v>0</v>
      </c>
      <c r="E30" s="111">
        <v>0</v>
      </c>
      <c r="F30" s="168">
        <v>0</v>
      </c>
      <c r="G30" s="152">
        <v>0</v>
      </c>
      <c r="H30" s="106">
        <v>0</v>
      </c>
      <c r="I30" s="107">
        <v>0</v>
      </c>
      <c r="J30" s="152">
        <v>0</v>
      </c>
      <c r="K30" s="106">
        <v>0</v>
      </c>
      <c r="L30" s="107">
        <v>0</v>
      </c>
      <c r="M30" s="112">
        <v>0</v>
      </c>
      <c r="N30" s="182">
        <v>0</v>
      </c>
      <c r="O30" s="184">
        <v>0</v>
      </c>
      <c r="P30" s="107">
        <f t="shared" si="19"/>
        <v>0</v>
      </c>
      <c r="R30" s="348">
        <v>2038</v>
      </c>
      <c r="S30" s="374">
        <v>18100</v>
      </c>
      <c r="T30" s="374">
        <v>49100</v>
      </c>
      <c r="U30" s="374">
        <v>867600</v>
      </c>
      <c r="V30" s="374">
        <v>71</v>
      </c>
    </row>
    <row r="31" spans="2:45" x14ac:dyDescent="0.25">
      <c r="B31" s="2">
        <f t="shared" si="6"/>
        <v>2054</v>
      </c>
      <c r="C31" s="157">
        <v>0</v>
      </c>
      <c r="D31" s="158">
        <v>0</v>
      </c>
      <c r="E31" s="111">
        <v>0</v>
      </c>
      <c r="F31" s="168">
        <v>0</v>
      </c>
      <c r="G31" s="152">
        <v>0</v>
      </c>
      <c r="H31" s="106">
        <v>0</v>
      </c>
      <c r="I31" s="107">
        <v>0</v>
      </c>
      <c r="J31" s="152">
        <v>0</v>
      </c>
      <c r="K31" s="106">
        <v>0</v>
      </c>
      <c r="L31" s="107">
        <v>0</v>
      </c>
      <c r="M31" s="112">
        <v>0</v>
      </c>
      <c r="N31" s="182">
        <v>0</v>
      </c>
      <c r="O31" s="184">
        <v>0</v>
      </c>
      <c r="P31" s="107">
        <f t="shared" si="19"/>
        <v>0</v>
      </c>
      <c r="R31" s="348">
        <v>2039</v>
      </c>
      <c r="S31" s="374">
        <v>18100</v>
      </c>
      <c r="T31" s="374">
        <v>49100</v>
      </c>
      <c r="U31" s="374">
        <v>867600</v>
      </c>
      <c r="V31" s="374">
        <v>72</v>
      </c>
    </row>
    <row r="32" spans="2:45" x14ac:dyDescent="0.25">
      <c r="B32" s="2">
        <f t="shared" si="6"/>
        <v>2055</v>
      </c>
      <c r="C32" s="157">
        <v>0</v>
      </c>
      <c r="D32" s="158">
        <v>0</v>
      </c>
      <c r="E32" s="111">
        <v>0</v>
      </c>
      <c r="F32" s="168">
        <v>0</v>
      </c>
      <c r="G32" s="152">
        <v>0</v>
      </c>
      <c r="H32" s="106">
        <v>0</v>
      </c>
      <c r="I32" s="107">
        <v>0</v>
      </c>
      <c r="J32" s="152">
        <v>0</v>
      </c>
      <c r="K32" s="106">
        <v>0</v>
      </c>
      <c r="L32" s="107">
        <v>0</v>
      </c>
      <c r="M32" s="112">
        <v>0</v>
      </c>
      <c r="N32" s="182">
        <v>0</v>
      </c>
      <c r="O32" s="184">
        <v>0</v>
      </c>
      <c r="P32" s="107">
        <f t="shared" si="19"/>
        <v>0</v>
      </c>
      <c r="R32" s="348">
        <v>2040</v>
      </c>
      <c r="S32" s="374">
        <v>18100</v>
      </c>
      <c r="T32" s="374">
        <v>49100</v>
      </c>
      <c r="U32" s="374">
        <v>867600</v>
      </c>
      <c r="V32" s="374">
        <v>73</v>
      </c>
    </row>
    <row r="33" spans="1:30" x14ac:dyDescent="0.25">
      <c r="B33" s="2">
        <f t="shared" si="6"/>
        <v>2056</v>
      </c>
      <c r="C33" s="157">
        <v>0</v>
      </c>
      <c r="D33" s="158">
        <v>0</v>
      </c>
      <c r="E33" s="111">
        <v>0</v>
      </c>
      <c r="F33" s="168">
        <v>0</v>
      </c>
      <c r="G33" s="152">
        <v>0</v>
      </c>
      <c r="H33" s="106">
        <v>0</v>
      </c>
      <c r="I33" s="107">
        <v>0</v>
      </c>
      <c r="J33" s="152">
        <v>0</v>
      </c>
      <c r="K33" s="106">
        <v>0</v>
      </c>
      <c r="L33" s="107">
        <v>0</v>
      </c>
      <c r="M33" s="112">
        <v>0</v>
      </c>
      <c r="N33" s="182">
        <v>0</v>
      </c>
      <c r="O33" s="184">
        <v>0</v>
      </c>
      <c r="P33" s="107">
        <f t="shared" si="19"/>
        <v>0</v>
      </c>
      <c r="R33" s="348">
        <v>2041</v>
      </c>
      <c r="S33" s="374">
        <v>18100</v>
      </c>
      <c r="T33" s="374">
        <v>49100</v>
      </c>
      <c r="U33" s="374">
        <v>867600</v>
      </c>
      <c r="V33" s="374">
        <v>74</v>
      </c>
    </row>
    <row r="34" spans="1:30" ht="15.75" thickBot="1" x14ac:dyDescent="0.3">
      <c r="B34" s="3">
        <f t="shared" si="6"/>
        <v>2057</v>
      </c>
      <c r="C34" s="159">
        <v>0</v>
      </c>
      <c r="D34" s="160">
        <v>0</v>
      </c>
      <c r="E34" s="150">
        <v>0</v>
      </c>
      <c r="F34" s="169">
        <v>0</v>
      </c>
      <c r="G34" s="153">
        <v>0</v>
      </c>
      <c r="H34" s="149">
        <v>0</v>
      </c>
      <c r="I34" s="150">
        <v>0</v>
      </c>
      <c r="J34" s="153">
        <v>0</v>
      </c>
      <c r="K34" s="149">
        <v>0</v>
      </c>
      <c r="L34" s="150">
        <v>0</v>
      </c>
      <c r="M34" s="151">
        <v>0</v>
      </c>
      <c r="N34" s="183">
        <v>0</v>
      </c>
      <c r="O34" s="160">
        <v>0</v>
      </c>
      <c r="P34" s="150">
        <f t="shared" si="19"/>
        <v>0</v>
      </c>
      <c r="R34" s="348">
        <v>2042</v>
      </c>
      <c r="S34" s="374">
        <v>18100</v>
      </c>
      <c r="T34" s="374">
        <v>49100</v>
      </c>
      <c r="U34" s="374">
        <v>867600</v>
      </c>
      <c r="V34" s="374">
        <v>75</v>
      </c>
    </row>
    <row r="35" spans="1:30" x14ac:dyDescent="0.25">
      <c r="B35" s="4"/>
      <c r="C35" s="4"/>
      <c r="D35" s="161">
        <f>SUM(D5:D34)</f>
        <v>9834.0885633468552</v>
      </c>
      <c r="E35" s="161">
        <f>SUM(E5:E34)</f>
        <v>5689.4214113807329</v>
      </c>
      <c r="F35" s="108"/>
      <c r="G35" s="4"/>
      <c r="H35" s="4"/>
      <c r="I35" s="4"/>
      <c r="J35" s="4"/>
      <c r="K35" s="4"/>
      <c r="L35" s="4"/>
      <c r="M35" s="109" t="s">
        <v>2</v>
      </c>
      <c r="N35" s="161">
        <f>SUM(N5:N24)</f>
        <v>1935.3618347116196</v>
      </c>
      <c r="O35" s="161">
        <f>SUM(O5:O24)</f>
        <v>16113.10078940502</v>
      </c>
      <c r="P35" s="161">
        <f>SUM(P5:P24)</f>
        <v>7624.7832460923528</v>
      </c>
      <c r="Q35" s="102"/>
      <c r="R35" s="348">
        <v>2043</v>
      </c>
      <c r="S35" s="374">
        <v>18100</v>
      </c>
      <c r="T35" s="374">
        <v>49100</v>
      </c>
      <c r="U35" s="374">
        <v>867600</v>
      </c>
      <c r="V35" s="374">
        <v>77</v>
      </c>
    </row>
    <row r="36" spans="1:30" x14ac:dyDescent="0.25">
      <c r="Q36" s="102"/>
      <c r="R36" s="348">
        <v>2044</v>
      </c>
      <c r="S36" s="374">
        <v>18100</v>
      </c>
      <c r="T36" s="374">
        <v>49100</v>
      </c>
      <c r="U36" s="374">
        <v>867600</v>
      </c>
      <c r="V36" s="374">
        <v>78</v>
      </c>
    </row>
    <row r="37" spans="1:30" x14ac:dyDescent="0.25">
      <c r="B37" s="10" t="s">
        <v>3</v>
      </c>
      <c r="C37" s="10"/>
      <c r="D37" s="10"/>
      <c r="E37" s="10"/>
      <c r="R37" s="348">
        <v>2045</v>
      </c>
      <c r="S37" s="374">
        <v>18100</v>
      </c>
      <c r="T37" s="374">
        <v>49100</v>
      </c>
      <c r="U37" s="374">
        <v>867600</v>
      </c>
      <c r="V37" s="374">
        <v>79</v>
      </c>
    </row>
    <row r="38" spans="1:30" ht="15" customHeight="1" x14ac:dyDescent="0.25">
      <c r="A38" s="343">
        <v>1</v>
      </c>
      <c r="B38" s="505" t="s">
        <v>319</v>
      </c>
      <c r="C38" s="505"/>
      <c r="D38" s="505"/>
      <c r="E38" s="505"/>
      <c r="F38" s="505"/>
      <c r="G38" s="505"/>
      <c r="H38" s="505"/>
      <c r="I38" s="505"/>
      <c r="J38" s="505"/>
      <c r="K38" s="505"/>
      <c r="L38" s="505"/>
      <c r="M38" s="505"/>
      <c r="N38" s="79"/>
      <c r="R38" s="348">
        <v>2046</v>
      </c>
      <c r="S38" s="374">
        <v>18100</v>
      </c>
      <c r="T38" s="374">
        <v>49100</v>
      </c>
      <c r="U38" s="374">
        <v>867600</v>
      </c>
      <c r="V38" s="374">
        <v>80</v>
      </c>
    </row>
    <row r="39" spans="1:30" x14ac:dyDescent="0.25">
      <c r="B39" s="505"/>
      <c r="C39" s="505"/>
      <c r="D39" s="505"/>
      <c r="E39" s="505"/>
      <c r="F39" s="505"/>
      <c r="G39" s="505"/>
      <c r="H39" s="505"/>
      <c r="I39" s="505"/>
      <c r="J39" s="505"/>
      <c r="K39" s="505"/>
      <c r="L39" s="505"/>
      <c r="M39" s="505"/>
      <c r="N39" s="79"/>
      <c r="R39" s="348">
        <v>2047</v>
      </c>
      <c r="S39" s="374">
        <v>18100</v>
      </c>
      <c r="T39" s="374">
        <v>49100</v>
      </c>
      <c r="U39" s="374">
        <v>867600</v>
      </c>
      <c r="V39" s="374">
        <v>81</v>
      </c>
      <c r="X39" s="344"/>
      <c r="Y39" s="344"/>
      <c r="Z39" s="344"/>
      <c r="AA39" s="344"/>
      <c r="AB39" s="344"/>
    </row>
    <row r="40" spans="1:30" x14ac:dyDescent="0.25">
      <c r="B40" s="79"/>
      <c r="C40" s="79"/>
      <c r="D40" s="79"/>
      <c r="E40" s="79"/>
      <c r="F40" s="79"/>
      <c r="G40" s="79"/>
      <c r="H40" s="79"/>
      <c r="I40" s="79"/>
      <c r="J40" s="79"/>
      <c r="K40" s="79"/>
      <c r="L40" s="79"/>
      <c r="M40" s="79"/>
      <c r="N40" s="79"/>
      <c r="R40" s="348">
        <v>2048</v>
      </c>
      <c r="S40" s="374">
        <v>18100</v>
      </c>
      <c r="T40" s="374">
        <v>49100</v>
      </c>
      <c r="U40" s="374">
        <v>867600</v>
      </c>
      <c r="V40" s="374">
        <v>82</v>
      </c>
      <c r="X40" s="344"/>
      <c r="Y40" s="344"/>
      <c r="Z40" s="344"/>
      <c r="AA40" s="344"/>
      <c r="AB40" s="344"/>
    </row>
    <row r="41" spans="1:30" x14ac:dyDescent="0.25">
      <c r="B41" s="405" t="s">
        <v>320</v>
      </c>
      <c r="R41" s="348">
        <v>2049</v>
      </c>
      <c r="S41" s="374">
        <v>18100</v>
      </c>
      <c r="T41" s="374">
        <v>49100</v>
      </c>
      <c r="U41" s="374">
        <v>867600</v>
      </c>
      <c r="V41" s="374">
        <v>83</v>
      </c>
      <c r="X41" s="344"/>
      <c r="Y41" s="344"/>
      <c r="Z41" s="344"/>
      <c r="AA41" s="344"/>
      <c r="AB41" s="344"/>
    </row>
    <row r="42" spans="1:30" ht="15" customHeight="1" x14ac:dyDescent="0.25">
      <c r="A42" s="11" t="s">
        <v>27</v>
      </c>
      <c r="B42" s="505" t="s">
        <v>96</v>
      </c>
      <c r="C42" s="505"/>
      <c r="D42" s="505"/>
      <c r="E42" s="505"/>
      <c r="F42" s="505"/>
      <c r="G42" s="505"/>
      <c r="H42" s="505"/>
      <c r="I42" s="505"/>
      <c r="J42" s="505"/>
      <c r="K42" s="505"/>
      <c r="L42" s="505"/>
      <c r="M42" s="505"/>
      <c r="R42" s="348">
        <v>2050</v>
      </c>
      <c r="S42" s="374">
        <v>18100</v>
      </c>
      <c r="T42" s="374">
        <v>49100</v>
      </c>
      <c r="U42" s="374">
        <v>867600</v>
      </c>
      <c r="V42" s="374">
        <v>85</v>
      </c>
      <c r="X42" s="344"/>
      <c r="Y42" s="344"/>
      <c r="Z42" s="344"/>
      <c r="AA42" s="344"/>
      <c r="AB42" s="344"/>
    </row>
    <row r="43" spans="1:30" ht="15.75" customHeight="1" x14ac:dyDescent="0.25">
      <c r="B43" s="505"/>
      <c r="C43" s="505"/>
      <c r="D43" s="505"/>
      <c r="E43" s="505"/>
      <c r="F43" s="505"/>
      <c r="G43" s="505"/>
      <c r="H43" s="505"/>
      <c r="I43" s="505"/>
      <c r="J43" s="505"/>
      <c r="K43" s="505"/>
      <c r="L43" s="505"/>
      <c r="M43" s="505"/>
      <c r="R43" s="348">
        <v>2050</v>
      </c>
      <c r="S43" s="374">
        <v>18000</v>
      </c>
      <c r="T43" s="374">
        <v>48200</v>
      </c>
      <c r="U43" s="374">
        <v>852700</v>
      </c>
      <c r="V43" s="374">
        <v>84</v>
      </c>
      <c r="X43" s="344"/>
      <c r="Y43" s="344"/>
      <c r="Z43" s="344"/>
      <c r="AA43" s="344"/>
      <c r="AB43" s="344"/>
    </row>
    <row r="44" spans="1:30" ht="15" customHeight="1" x14ac:dyDescent="0.25">
      <c r="B44" s="505"/>
      <c r="C44" s="505"/>
      <c r="D44" s="505"/>
      <c r="E44" s="505"/>
      <c r="F44" s="505"/>
      <c r="G44" s="505"/>
      <c r="H44" s="505"/>
      <c r="I44" s="505"/>
      <c r="J44" s="505"/>
      <c r="K44" s="505"/>
      <c r="L44" s="505"/>
      <c r="M44" s="505"/>
      <c r="R44" s="378">
        <v>2051</v>
      </c>
      <c r="S44" s="379">
        <f>S43</f>
        <v>18000</v>
      </c>
      <c r="T44" s="379">
        <f t="shared" ref="T44:V48" si="21">T43</f>
        <v>48200</v>
      </c>
      <c r="U44" s="379">
        <f t="shared" si="21"/>
        <v>852700</v>
      </c>
      <c r="V44" s="379">
        <f>V43</f>
        <v>84</v>
      </c>
      <c r="W44" s="380" t="s">
        <v>95</v>
      </c>
      <c r="AC44" s="344"/>
      <c r="AD44" s="344"/>
    </row>
    <row r="45" spans="1:30" ht="15" customHeight="1" x14ac:dyDescent="0.25">
      <c r="B45" s="10"/>
      <c r="C45" s="10"/>
      <c r="D45" s="10"/>
      <c r="E45" s="10"/>
      <c r="R45" s="378">
        <v>2052</v>
      </c>
      <c r="S45" s="379">
        <f t="shared" ref="S45:S48" si="22">S44</f>
        <v>18000</v>
      </c>
      <c r="T45" s="379">
        <f t="shared" si="21"/>
        <v>48200</v>
      </c>
      <c r="U45" s="379">
        <f t="shared" si="21"/>
        <v>852700</v>
      </c>
      <c r="V45" s="379">
        <f t="shared" si="21"/>
        <v>84</v>
      </c>
      <c r="W45" s="345"/>
      <c r="AC45" s="344"/>
      <c r="AD45" s="344"/>
    </row>
    <row r="46" spans="1:30" ht="15" customHeight="1" x14ac:dyDescent="0.25">
      <c r="A46" s="11" t="s">
        <v>34</v>
      </c>
      <c r="B46" s="505" t="s">
        <v>312</v>
      </c>
      <c r="C46" s="505"/>
      <c r="D46" s="505"/>
      <c r="E46" s="505"/>
      <c r="F46" s="505"/>
      <c r="G46" s="505"/>
      <c r="H46" s="505"/>
      <c r="I46" s="505"/>
      <c r="J46" s="505"/>
      <c r="K46" s="505"/>
      <c r="L46" s="505"/>
      <c r="M46" s="505"/>
      <c r="R46" s="378">
        <v>2053</v>
      </c>
      <c r="S46" s="379">
        <f t="shared" si="22"/>
        <v>18000</v>
      </c>
      <c r="T46" s="379">
        <f t="shared" si="21"/>
        <v>48200</v>
      </c>
      <c r="U46" s="379">
        <f t="shared" si="21"/>
        <v>852700</v>
      </c>
      <c r="V46" s="379">
        <f t="shared" si="21"/>
        <v>84</v>
      </c>
      <c r="W46" s="345"/>
      <c r="AC46" s="344"/>
      <c r="AD46" s="344"/>
    </row>
    <row r="47" spans="1:30" x14ac:dyDescent="0.25">
      <c r="A47" s="403"/>
      <c r="B47" s="505"/>
      <c r="C47" s="505"/>
      <c r="D47" s="505"/>
      <c r="E47" s="505"/>
      <c r="F47" s="505"/>
      <c r="G47" s="505"/>
      <c r="H47" s="505"/>
      <c r="I47" s="505"/>
      <c r="J47" s="505"/>
      <c r="K47" s="505"/>
      <c r="L47" s="505"/>
      <c r="M47" s="505"/>
      <c r="R47" s="378">
        <v>2054</v>
      </c>
      <c r="S47" s="379">
        <f t="shared" si="22"/>
        <v>18000</v>
      </c>
      <c r="T47" s="379">
        <f t="shared" si="21"/>
        <v>48200</v>
      </c>
      <c r="U47" s="379">
        <f t="shared" si="21"/>
        <v>852700</v>
      </c>
      <c r="V47" s="379">
        <f t="shared" si="21"/>
        <v>84</v>
      </c>
      <c r="W47" s="345"/>
      <c r="AC47" s="344"/>
      <c r="AD47" s="344"/>
    </row>
    <row r="48" spans="1:30" x14ac:dyDescent="0.25">
      <c r="A48" s="11"/>
      <c r="B48" s="79"/>
      <c r="C48" s="79"/>
      <c r="D48" s="79"/>
      <c r="E48" s="79"/>
      <c r="F48" s="79"/>
      <c r="G48" s="79"/>
      <c r="H48" s="79"/>
      <c r="I48" s="79"/>
      <c r="J48" s="79"/>
      <c r="K48" s="79"/>
      <c r="L48" s="79"/>
      <c r="M48" s="79"/>
      <c r="R48" s="378">
        <v>2055</v>
      </c>
      <c r="S48" s="379">
        <f t="shared" si="22"/>
        <v>18000</v>
      </c>
      <c r="T48" s="379">
        <f t="shared" si="21"/>
        <v>48200</v>
      </c>
      <c r="U48" s="379">
        <f t="shared" si="21"/>
        <v>852700</v>
      </c>
      <c r="V48" s="379">
        <f t="shared" si="21"/>
        <v>84</v>
      </c>
      <c r="W48" s="345"/>
      <c r="AC48" s="344"/>
      <c r="AD48" s="344"/>
    </row>
    <row r="49" spans="1:16" x14ac:dyDescent="0.25">
      <c r="A49" s="11"/>
      <c r="C49" s="79"/>
      <c r="D49" s="79"/>
      <c r="E49" s="79"/>
      <c r="F49" s="79"/>
      <c r="G49" s="79"/>
      <c r="H49" s="79"/>
      <c r="I49" s="79"/>
      <c r="J49" s="79"/>
      <c r="K49" s="79"/>
      <c r="L49" s="79"/>
      <c r="M49" s="79"/>
    </row>
    <row r="50" spans="1:16" x14ac:dyDescent="0.25">
      <c r="A50" s="11"/>
      <c r="B50" s="344"/>
      <c r="C50" s="344"/>
      <c r="D50" s="344"/>
      <c r="E50" s="344"/>
      <c r="F50" s="344"/>
      <c r="G50" s="344"/>
      <c r="H50" s="344"/>
      <c r="I50" s="344"/>
    </row>
    <row r="51" spans="1:16" x14ac:dyDescent="0.25">
      <c r="A51" s="11"/>
      <c r="B51" s="344"/>
      <c r="C51" s="344"/>
      <c r="D51" s="344"/>
      <c r="E51" s="344"/>
      <c r="F51" s="344"/>
      <c r="G51" s="344"/>
      <c r="H51" s="344"/>
      <c r="I51" s="344"/>
    </row>
    <row r="52" spans="1:16" x14ac:dyDescent="0.25">
      <c r="A52" s="11"/>
      <c r="B52" s="344"/>
      <c r="C52" s="344"/>
      <c r="D52" s="344"/>
      <c r="E52" s="344"/>
      <c r="F52" s="344"/>
      <c r="G52" s="344"/>
      <c r="H52" s="344"/>
      <c r="I52" s="344"/>
    </row>
    <row r="53" spans="1:16" x14ac:dyDescent="0.25">
      <c r="A53" s="11"/>
      <c r="B53" s="110"/>
      <c r="C53" s="110"/>
      <c r="D53" s="110"/>
      <c r="E53" s="110"/>
      <c r="F53" s="79"/>
      <c r="G53" s="79"/>
      <c r="H53" s="79"/>
      <c r="I53" s="79"/>
      <c r="N53" s="381"/>
      <c r="O53" s="381"/>
      <c r="P53" s="381"/>
    </row>
    <row r="54" spans="1:16" x14ac:dyDescent="0.25">
      <c r="B54" s="110"/>
      <c r="C54" s="110"/>
      <c r="D54" s="110"/>
      <c r="E54" s="110"/>
      <c r="F54" s="79"/>
      <c r="G54" s="79"/>
      <c r="H54" s="79"/>
      <c r="I54" s="79"/>
      <c r="N54" s="381"/>
      <c r="O54" s="381"/>
      <c r="P54" s="381"/>
    </row>
    <row r="55" spans="1:16" x14ac:dyDescent="0.25">
      <c r="B55" s="110"/>
      <c r="C55" s="110"/>
      <c r="D55" s="110"/>
      <c r="E55" s="110"/>
      <c r="F55" s="79"/>
      <c r="G55" s="79"/>
      <c r="H55" s="79"/>
      <c r="I55" s="79"/>
      <c r="J55" s="71"/>
      <c r="L55" s="102"/>
      <c r="M55" s="102"/>
      <c r="N55" s="381"/>
      <c r="O55" s="381"/>
      <c r="P55" s="381"/>
    </row>
    <row r="56" spans="1:16" x14ac:dyDescent="0.25">
      <c r="B56" s="110"/>
      <c r="C56" s="110"/>
      <c r="D56" s="110"/>
      <c r="E56" s="110"/>
      <c r="F56" s="79"/>
      <c r="G56" s="79"/>
      <c r="H56" s="79"/>
      <c r="I56" s="79"/>
      <c r="J56" s="71"/>
      <c r="L56" s="102"/>
      <c r="M56" s="102"/>
    </row>
    <row r="57" spans="1:16" x14ac:dyDescent="0.25">
      <c r="A57" s="11"/>
      <c r="B57" s="110"/>
      <c r="C57" s="110"/>
      <c r="D57" s="110"/>
      <c r="E57" s="110"/>
      <c r="F57" s="79"/>
      <c r="G57" s="79"/>
      <c r="H57" s="79"/>
      <c r="I57" s="79"/>
      <c r="L57" s="102"/>
      <c r="M57" s="102"/>
    </row>
    <row r="58" spans="1:16" x14ac:dyDescent="0.25">
      <c r="B58" s="110"/>
      <c r="C58" s="110"/>
      <c r="D58" s="110"/>
      <c r="E58" s="110"/>
      <c r="F58" s="79"/>
      <c r="G58" s="79"/>
      <c r="H58" s="79"/>
      <c r="I58" s="79"/>
      <c r="L58" s="102"/>
      <c r="M58" s="102"/>
    </row>
    <row r="59" spans="1:16" x14ac:dyDescent="0.25">
      <c r="B59" s="110"/>
      <c r="C59" s="110"/>
      <c r="D59" s="110"/>
      <c r="E59" s="110"/>
      <c r="F59" s="79"/>
      <c r="G59" s="79"/>
      <c r="H59" s="79"/>
      <c r="I59" s="79"/>
      <c r="J59" s="102"/>
      <c r="K59" s="102"/>
      <c r="L59" s="102"/>
      <c r="M59" s="102"/>
    </row>
    <row r="60" spans="1:16" x14ac:dyDescent="0.25">
      <c r="B60" s="110"/>
      <c r="C60" s="110"/>
      <c r="D60" s="110"/>
      <c r="E60" s="110"/>
      <c r="F60" s="79"/>
      <c r="G60" s="79"/>
      <c r="H60" s="79"/>
      <c r="I60" s="79"/>
      <c r="K60" s="102"/>
      <c r="L60" s="102"/>
      <c r="M60" s="102"/>
    </row>
    <row r="61" spans="1:16" x14ac:dyDescent="0.25">
      <c r="B61" s="110"/>
      <c r="C61" s="110"/>
      <c r="D61" s="110"/>
      <c r="E61" s="110"/>
      <c r="F61" s="79"/>
      <c r="G61" s="79"/>
      <c r="H61" s="79"/>
      <c r="I61" s="79"/>
      <c r="J61" s="79"/>
      <c r="L61" s="102"/>
      <c r="M61" s="102"/>
    </row>
    <row r="62" spans="1:16" x14ac:dyDescent="0.25">
      <c r="B62" s="110"/>
      <c r="C62" s="110"/>
      <c r="D62" s="110"/>
      <c r="E62" s="110"/>
      <c r="F62" s="79"/>
      <c r="G62" s="79"/>
      <c r="H62" s="79"/>
      <c r="I62" s="79"/>
      <c r="J62" s="79"/>
    </row>
    <row r="63" spans="1:16" x14ac:dyDescent="0.25">
      <c r="B63" s="110"/>
      <c r="C63" s="110"/>
      <c r="D63" s="110"/>
      <c r="E63" s="110"/>
      <c r="F63" s="79"/>
      <c r="G63" s="79"/>
      <c r="H63" s="79"/>
      <c r="I63" s="79"/>
      <c r="J63" s="79"/>
      <c r="K63" s="79"/>
    </row>
    <row r="64" spans="1:16" x14ac:dyDescent="0.25">
      <c r="B64" s="110"/>
      <c r="C64" s="110"/>
      <c r="D64" s="110"/>
      <c r="E64" s="110"/>
      <c r="F64" s="79"/>
      <c r="G64" s="79"/>
      <c r="H64" s="79"/>
      <c r="I64" s="79"/>
      <c r="J64" s="79"/>
      <c r="K64" s="79"/>
    </row>
    <row r="65" spans="1:12" x14ac:dyDescent="0.25">
      <c r="A65" s="11"/>
      <c r="B65" s="110"/>
      <c r="C65" s="110"/>
      <c r="D65" s="110"/>
      <c r="E65" s="110"/>
      <c r="F65" s="79"/>
      <c r="G65" s="79"/>
      <c r="H65" s="79"/>
      <c r="I65" s="79"/>
      <c r="J65" s="79"/>
      <c r="K65" s="79"/>
    </row>
    <row r="66" spans="1:12" x14ac:dyDescent="0.25">
      <c r="J66" s="79"/>
      <c r="K66" s="79"/>
    </row>
    <row r="67" spans="1:12" x14ac:dyDescent="0.25">
      <c r="F67" s="102"/>
      <c r="I67" s="102"/>
      <c r="J67" s="79"/>
      <c r="K67" s="79"/>
    </row>
    <row r="68" spans="1:12" x14ac:dyDescent="0.25">
      <c r="B68" s="102"/>
      <c r="C68" s="102"/>
      <c r="D68" s="102"/>
      <c r="E68" s="102"/>
      <c r="F68" s="102"/>
      <c r="I68" s="102"/>
      <c r="J68" s="79"/>
      <c r="K68" s="79"/>
    </row>
    <row r="69" spans="1:12" x14ac:dyDescent="0.25">
      <c r="J69" s="79"/>
      <c r="K69" s="79"/>
    </row>
    <row r="70" spans="1:12" x14ac:dyDescent="0.25">
      <c r="A70" s="11"/>
      <c r="B70" s="79"/>
      <c r="C70" s="79"/>
      <c r="D70" s="79"/>
      <c r="E70" s="79"/>
      <c r="F70" s="79"/>
      <c r="G70" s="79"/>
      <c r="H70" s="79"/>
      <c r="I70" s="79"/>
      <c r="J70" s="79"/>
      <c r="K70" s="79"/>
    </row>
    <row r="71" spans="1:12" x14ac:dyDescent="0.25">
      <c r="B71" s="79"/>
      <c r="C71" s="79"/>
      <c r="D71" s="79"/>
      <c r="E71" s="79"/>
      <c r="F71" s="79"/>
      <c r="G71" s="79"/>
      <c r="H71" s="79"/>
      <c r="J71" s="79"/>
      <c r="K71" s="79"/>
    </row>
    <row r="72" spans="1:12" x14ac:dyDescent="0.25">
      <c r="J72" s="79"/>
      <c r="K72" s="79"/>
    </row>
    <row r="73" spans="1:12" x14ac:dyDescent="0.25">
      <c r="A73" s="11"/>
      <c r="J73" s="79"/>
      <c r="K73" s="79"/>
    </row>
    <row r="74" spans="1:12" x14ac:dyDescent="0.25">
      <c r="J74" s="79"/>
      <c r="K74" s="79"/>
    </row>
    <row r="76" spans="1:12" x14ac:dyDescent="0.25">
      <c r="J76" s="102"/>
    </row>
    <row r="77" spans="1:12" x14ac:dyDescent="0.25">
      <c r="J77" s="102"/>
      <c r="L77" s="79"/>
    </row>
    <row r="79" spans="1:12" x14ac:dyDescent="0.25">
      <c r="J79" s="79"/>
      <c r="K79" s="79"/>
    </row>
  </sheetData>
  <mergeCells count="23">
    <mergeCell ref="Y15:Z15"/>
    <mergeCell ref="Y19:Z19"/>
    <mergeCell ref="I3:I4"/>
    <mergeCell ref="J3:J4"/>
    <mergeCell ref="K3:K4"/>
    <mergeCell ref="L3:L4"/>
    <mergeCell ref="M3:M4"/>
    <mergeCell ref="N3:N4"/>
    <mergeCell ref="O3:O4"/>
    <mergeCell ref="P3:P4"/>
    <mergeCell ref="B46:M47"/>
    <mergeCell ref="B38:M39"/>
    <mergeCell ref="C2:E2"/>
    <mergeCell ref="F2:N2"/>
    <mergeCell ref="O2:P2"/>
    <mergeCell ref="B3:B4"/>
    <mergeCell ref="C3:C4"/>
    <mergeCell ref="D3:D4"/>
    <mergeCell ref="E3:E4"/>
    <mergeCell ref="F3:F4"/>
    <mergeCell ref="G3:G4"/>
    <mergeCell ref="H3:H4"/>
    <mergeCell ref="B42:M44"/>
  </mergeCells>
  <hyperlinks>
    <hyperlink ref="AO8" r:id="rId1" xr:uid="{852B7C05-2958-4828-890B-6A4EEA2B98A1}"/>
    <hyperlink ref="AO25" r:id="rId2" xr:uid="{40CA5FA8-B7D4-48D9-A5E0-89E10B1860BE}"/>
    <hyperlink ref="B41" r:id="rId3" display="http://www.transportation.anl.gov/pdfs/idling_worksheet.pdf" xr:uid="{B70B9108-D1A0-44ED-8D77-C20E51EB2C96}"/>
  </hyperlinks>
  <pageMargins left="0.25" right="0.25" top="0.75" bottom="0.75" header="0.3" footer="0.3"/>
  <pageSetup paperSize="3" scale="4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J122"/>
  <sheetViews>
    <sheetView view="pageBreakPreview" topLeftCell="A37" zoomScale="70" zoomScaleNormal="55" zoomScaleSheetLayoutView="70" workbookViewId="0">
      <selection activeCell="B66" sqref="B66:F68"/>
    </sheetView>
  </sheetViews>
  <sheetFormatPr defaultRowHeight="15" x14ac:dyDescent="0.25"/>
  <cols>
    <col min="1" max="1" width="7.7109375" style="28" customWidth="1"/>
    <col min="2" max="2" width="25.28515625" style="28" customWidth="1"/>
    <col min="3" max="4" width="12.85546875" style="28" customWidth="1"/>
    <col min="5" max="5" width="15.7109375" style="28" customWidth="1"/>
    <col min="6" max="6" width="20.140625" style="28" customWidth="1"/>
    <col min="7" max="7" width="15.85546875" style="28" customWidth="1"/>
    <col min="8" max="8" width="56.7109375" style="28" customWidth="1"/>
    <col min="9" max="13" width="30.7109375" style="28" customWidth="1"/>
    <col min="14" max="20" width="15.7109375" style="28" customWidth="1"/>
    <col min="21" max="21" width="9" style="28" customWidth="1"/>
    <col min="22" max="22" width="9.140625" style="28"/>
    <col min="27" max="37" width="9.140625" style="28"/>
    <col min="38" max="38" width="46.28515625" style="28" bestFit="1" customWidth="1"/>
    <col min="39" max="39" width="9.140625" style="28"/>
    <col min="40" max="40" width="24.140625" style="28" bestFit="1" customWidth="1"/>
    <col min="41" max="41" width="13.42578125" style="28" bestFit="1" customWidth="1"/>
    <col min="42" max="16384" width="9.140625" style="28"/>
  </cols>
  <sheetData>
    <row r="1" spans="1:21" ht="15" customHeight="1" x14ac:dyDescent="0.25">
      <c r="A1" s="50"/>
      <c r="B1" s="47"/>
      <c r="C1" s="47"/>
      <c r="D1" s="47"/>
    </row>
    <row r="2" spans="1:21" ht="15" customHeight="1" x14ac:dyDescent="0.25">
      <c r="A2" s="62"/>
      <c r="U2" s="29"/>
    </row>
    <row r="3" spans="1:21" ht="15.75" thickBot="1" x14ac:dyDescent="0.3">
      <c r="B3" s="10" t="s">
        <v>28</v>
      </c>
      <c r="C3" s="10"/>
      <c r="D3" s="10"/>
    </row>
    <row r="4" spans="1:21" ht="15.75" thickBot="1" x14ac:dyDescent="0.3">
      <c r="B4" s="10"/>
      <c r="C4" s="509" t="s">
        <v>113</v>
      </c>
      <c r="D4" s="510"/>
      <c r="E4" s="510"/>
      <c r="F4" s="533"/>
    </row>
    <row r="5" spans="1:21" ht="30" customHeight="1" x14ac:dyDescent="0.25">
      <c r="B5" s="538" t="s">
        <v>0</v>
      </c>
      <c r="C5" s="538" t="s">
        <v>97</v>
      </c>
      <c r="D5" s="538" t="s">
        <v>98</v>
      </c>
      <c r="E5" s="534" t="s">
        <v>73</v>
      </c>
      <c r="F5" s="536" t="s">
        <v>1</v>
      </c>
      <c r="G5" s="221"/>
    </row>
    <row r="6" spans="1:21" ht="30" customHeight="1" thickBot="1" x14ac:dyDescent="0.3">
      <c r="B6" s="539"/>
      <c r="C6" s="539"/>
      <c r="D6" s="539"/>
      <c r="E6" s="535"/>
      <c r="F6" s="537"/>
      <c r="G6" s="221"/>
      <c r="H6" s="317" t="s">
        <v>164</v>
      </c>
      <c r="N6" s="75"/>
    </row>
    <row r="7" spans="1:21" x14ac:dyDescent="0.25">
      <c r="B7" s="48">
        <f>Assumptions!$D$8</f>
        <v>2028</v>
      </c>
      <c r="C7" s="207">
        <f t="shared" ref="C7:C26" si="0">TREND($I$71:$J$71,$I$64:$J$64,B7)</f>
        <v>7855194.7993987948</v>
      </c>
      <c r="D7" s="207">
        <f t="shared" ref="D7:D26" si="1">TREND($K$71:$L$71,$K$64:$L$64,B7)</f>
        <v>2935453.2351129204</v>
      </c>
      <c r="E7" s="129">
        <f t="shared" ref="E7:E26" si="2">C7-D7</f>
        <v>4919741.5642858744</v>
      </c>
      <c r="F7" s="122">
        <f>E7*(1+0.07)^-(B7-Assumptions!$D$4)</f>
        <v>2863334.382521423</v>
      </c>
      <c r="G7" s="49"/>
      <c r="H7" s="57" t="s">
        <v>29</v>
      </c>
      <c r="I7" s="57" t="s">
        <v>30</v>
      </c>
      <c r="J7" s="57" t="s">
        <v>31</v>
      </c>
      <c r="K7" s="57" t="s">
        <v>32</v>
      </c>
      <c r="L7" s="57" t="s">
        <v>33</v>
      </c>
      <c r="N7" s="75"/>
    </row>
    <row r="8" spans="1:21" x14ac:dyDescent="0.25">
      <c r="B8" s="31">
        <f>+B7+1</f>
        <v>2029</v>
      </c>
      <c r="C8" s="208">
        <f t="shared" si="0"/>
        <v>7912030.750420019</v>
      </c>
      <c r="D8" s="208">
        <f t="shared" si="1"/>
        <v>2983182.6360561997</v>
      </c>
      <c r="E8" s="130">
        <f t="shared" si="2"/>
        <v>4928848.1143638194</v>
      </c>
      <c r="F8" s="117">
        <f>E8*(1+0.07)^-(B8-Assumptions!$D$4)</f>
        <v>2680966.8014747333</v>
      </c>
      <c r="G8" s="49"/>
      <c r="H8" s="145">
        <v>12837400</v>
      </c>
      <c r="I8" s="145">
        <v>554800</v>
      </c>
      <c r="J8" s="145">
        <v>151100</v>
      </c>
      <c r="K8" s="145">
        <v>77200</v>
      </c>
      <c r="L8" s="145">
        <v>4600</v>
      </c>
      <c r="N8" s="60"/>
    </row>
    <row r="9" spans="1:21" ht="15" customHeight="1" x14ac:dyDescent="0.25">
      <c r="B9" s="31">
        <f t="shared" ref="B9:B26" si="3">+B8+1</f>
        <v>2030</v>
      </c>
      <c r="C9" s="208">
        <f t="shared" si="0"/>
        <v>7968866.7014412284</v>
      </c>
      <c r="D9" s="208">
        <f t="shared" si="1"/>
        <v>3030912.0369994789</v>
      </c>
      <c r="E9" s="130">
        <f t="shared" si="2"/>
        <v>4937954.6644417495</v>
      </c>
      <c r="F9" s="117">
        <f>E9*(1+0.07)^-(B9-Assumptions!$D$4)</f>
        <v>2510205.7582622911</v>
      </c>
      <c r="G9" s="49"/>
      <c r="H9" s="60"/>
      <c r="I9" s="87"/>
      <c r="J9" s="74"/>
      <c r="K9" s="61"/>
      <c r="L9" s="35"/>
      <c r="M9" s="35"/>
      <c r="N9" s="90"/>
    </row>
    <row r="10" spans="1:21" x14ac:dyDescent="0.25">
      <c r="B10" s="31">
        <f t="shared" si="3"/>
        <v>2031</v>
      </c>
      <c r="C10" s="208">
        <f t="shared" si="0"/>
        <v>8025702.6524624527</v>
      </c>
      <c r="D10" s="208">
        <f t="shared" si="1"/>
        <v>3078641.4379427582</v>
      </c>
      <c r="E10" s="130">
        <f t="shared" si="2"/>
        <v>4947061.2145196944</v>
      </c>
      <c r="F10" s="117">
        <f>E10*(1+0.07)^-(B10-Assumptions!$D$4)</f>
        <v>2350313.1463067322</v>
      </c>
      <c r="G10" s="49"/>
      <c r="H10" s="220" t="s">
        <v>192</v>
      </c>
      <c r="I10" s="92"/>
      <c r="J10" s="92"/>
      <c r="K10" s="92"/>
      <c r="L10" s="92"/>
      <c r="M10" s="92"/>
      <c r="N10" s="90"/>
    </row>
    <row r="11" spans="1:21" x14ac:dyDescent="0.25">
      <c r="B11" s="31">
        <f t="shared" si="3"/>
        <v>2032</v>
      </c>
      <c r="C11" s="208">
        <f t="shared" si="0"/>
        <v>8082538.603483662</v>
      </c>
      <c r="D11" s="208">
        <f t="shared" si="1"/>
        <v>3126370.8388860375</v>
      </c>
      <c r="E11" s="130">
        <f t="shared" si="2"/>
        <v>4956167.7645976245</v>
      </c>
      <c r="F11" s="117">
        <f>E11*(1+0.07)^-(B11-Assumptions!$D$4)</f>
        <v>2200597.7594847665</v>
      </c>
      <c r="G11" s="49"/>
      <c r="H11" s="301" t="s">
        <v>100</v>
      </c>
      <c r="I11" s="100" t="s">
        <v>29</v>
      </c>
      <c r="J11" s="297" t="s">
        <v>30</v>
      </c>
      <c r="K11" s="297" t="s">
        <v>31</v>
      </c>
      <c r="L11" s="297" t="s">
        <v>32</v>
      </c>
      <c r="M11" s="297" t="s">
        <v>33</v>
      </c>
      <c r="N11" s="90"/>
    </row>
    <row r="12" spans="1:21" x14ac:dyDescent="0.25">
      <c r="B12" s="31">
        <f t="shared" si="3"/>
        <v>2033</v>
      </c>
      <c r="C12" s="208">
        <f t="shared" si="0"/>
        <v>8139374.5545048863</v>
      </c>
      <c r="D12" s="208">
        <f t="shared" si="1"/>
        <v>3174100.2398293167</v>
      </c>
      <c r="E12" s="130">
        <f t="shared" si="2"/>
        <v>4965274.3146755695</v>
      </c>
      <c r="F12" s="117">
        <f>E12*(1+0.07)^-(B12-Assumptions!$D$4)</f>
        <v>2060412.3146044845</v>
      </c>
      <c r="G12" s="49"/>
      <c r="H12" s="313">
        <v>1</v>
      </c>
      <c r="I12" s="223"/>
      <c r="J12" s="223">
        <v>1</v>
      </c>
      <c r="K12" s="223">
        <v>3</v>
      </c>
      <c r="L12" s="223">
        <v>2</v>
      </c>
      <c r="M12" s="223">
        <v>17</v>
      </c>
      <c r="N12" s="90"/>
    </row>
    <row r="13" spans="1:21" x14ac:dyDescent="0.25">
      <c r="B13" s="31">
        <f t="shared" si="3"/>
        <v>2034</v>
      </c>
      <c r="C13" s="208">
        <f t="shared" si="0"/>
        <v>8196210.5055261105</v>
      </c>
      <c r="D13" s="208">
        <f t="shared" si="1"/>
        <v>3221829.640772596</v>
      </c>
      <c r="E13" s="130">
        <f t="shared" si="2"/>
        <v>4974380.8647535145</v>
      </c>
      <c r="F13" s="117">
        <f>E13*(1+0.07)^-(B13-Assumptions!$D$4)</f>
        <v>1929150.6627380827</v>
      </c>
      <c r="G13" s="49"/>
      <c r="H13" s="313">
        <v>2</v>
      </c>
      <c r="I13" s="223"/>
      <c r="J13" s="223"/>
      <c r="K13" s="223"/>
      <c r="L13" s="223">
        <v>1</v>
      </c>
      <c r="M13" s="223">
        <v>13</v>
      </c>
    </row>
    <row r="14" spans="1:21" x14ac:dyDescent="0.25">
      <c r="B14" s="31">
        <f t="shared" si="3"/>
        <v>2035</v>
      </c>
      <c r="C14" s="208">
        <f t="shared" si="0"/>
        <v>8253046.4565473199</v>
      </c>
      <c r="D14" s="208">
        <f t="shared" si="1"/>
        <v>3269559.0417158604</v>
      </c>
      <c r="E14" s="130">
        <f t="shared" si="2"/>
        <v>4983487.4148314595</v>
      </c>
      <c r="F14" s="117">
        <f>E14*(1+0.07)^-(B14-Assumptions!$D$4)</f>
        <v>1806245.1774434554</v>
      </c>
      <c r="G14" s="49"/>
      <c r="H14" s="313">
        <v>3</v>
      </c>
      <c r="I14" s="223">
        <v>3</v>
      </c>
      <c r="J14" s="223">
        <v>1</v>
      </c>
      <c r="K14" s="223">
        <v>3</v>
      </c>
      <c r="L14" s="223">
        <v>9</v>
      </c>
      <c r="M14" s="223">
        <v>30</v>
      </c>
      <c r="O14" s="35"/>
      <c r="P14" s="35"/>
    </row>
    <row r="15" spans="1:21" x14ac:dyDescent="0.25">
      <c r="B15" s="31">
        <f t="shared" si="3"/>
        <v>2036</v>
      </c>
      <c r="C15" s="208">
        <f t="shared" si="0"/>
        <v>8309882.4075685441</v>
      </c>
      <c r="D15" s="208">
        <f t="shared" si="1"/>
        <v>3317288.4426591396</v>
      </c>
      <c r="E15" s="130">
        <f t="shared" si="2"/>
        <v>4992593.9649094045</v>
      </c>
      <c r="F15" s="117">
        <f>E15*(1+0.07)^-(B15-Assumptions!$D$4)</f>
        <v>1691164.3086653091</v>
      </c>
      <c r="G15" s="49"/>
      <c r="H15" s="313">
        <v>4</v>
      </c>
      <c r="I15" s="223"/>
      <c r="J15" s="223">
        <v>1</v>
      </c>
      <c r="K15" s="223">
        <v>1</v>
      </c>
      <c r="L15" s="223"/>
      <c r="M15" s="223">
        <v>18</v>
      </c>
      <c r="O15" s="227"/>
      <c r="P15" s="227"/>
    </row>
    <row r="16" spans="1:21" x14ac:dyDescent="0.25">
      <c r="B16" s="31">
        <f t="shared" si="3"/>
        <v>2037</v>
      </c>
      <c r="C16" s="208">
        <f t="shared" si="0"/>
        <v>8366718.3585897535</v>
      </c>
      <c r="D16" s="208">
        <f t="shared" si="1"/>
        <v>3365017.8436024189</v>
      </c>
      <c r="E16" s="130">
        <f t="shared" si="2"/>
        <v>5001700.5149873346</v>
      </c>
      <c r="F16" s="117">
        <f>E16*(1+0.07)^-(B16-Assumptions!$D$4)</f>
        <v>1583410.2918161415</v>
      </c>
      <c r="G16" s="49"/>
      <c r="H16" s="313" t="s">
        <v>196</v>
      </c>
      <c r="I16" s="223">
        <v>1</v>
      </c>
      <c r="J16" s="223"/>
      <c r="K16" s="223">
        <v>3</v>
      </c>
      <c r="L16" s="223">
        <v>2</v>
      </c>
      <c r="M16" s="223">
        <v>16</v>
      </c>
      <c r="O16" s="227"/>
      <c r="P16" s="227"/>
    </row>
    <row r="17" spans="1:36" x14ac:dyDescent="0.25">
      <c r="B17" s="31">
        <f t="shared" si="3"/>
        <v>2038</v>
      </c>
      <c r="C17" s="208">
        <f t="shared" si="0"/>
        <v>8423554.3096109778</v>
      </c>
      <c r="D17" s="208">
        <f t="shared" si="1"/>
        <v>3412747.2445456982</v>
      </c>
      <c r="E17" s="130">
        <f t="shared" si="2"/>
        <v>5010807.0650652796</v>
      </c>
      <c r="F17" s="117">
        <f>E17*(1+0.07)^-(B17-Assumptions!$D$4)</f>
        <v>1482517.0022021472</v>
      </c>
      <c r="G17" s="49"/>
      <c r="H17" s="313" t="s">
        <v>197</v>
      </c>
      <c r="I17" s="223"/>
      <c r="J17" s="223">
        <v>2</v>
      </c>
      <c r="K17" s="223">
        <v>9</v>
      </c>
      <c r="L17" s="223">
        <v>8</v>
      </c>
      <c r="M17" s="223">
        <v>30</v>
      </c>
      <c r="O17" s="227"/>
      <c r="P17" s="227"/>
      <c r="AB17" s="30" t="s">
        <v>222</v>
      </c>
    </row>
    <row r="18" spans="1:36" x14ac:dyDescent="0.25">
      <c r="B18" s="31">
        <f t="shared" si="3"/>
        <v>2039</v>
      </c>
      <c r="C18" s="208">
        <f t="shared" si="0"/>
        <v>8480390.2606321871</v>
      </c>
      <c r="D18" s="208">
        <f t="shared" si="1"/>
        <v>3460476.6454889774</v>
      </c>
      <c r="E18" s="130">
        <f t="shared" si="2"/>
        <v>5019913.6151432097</v>
      </c>
      <c r="F18" s="117">
        <f>E18*(1+0.07)^-(B18-Assumptions!$D$4)</f>
        <v>1388047.9455816657</v>
      </c>
      <c r="G18" s="49"/>
      <c r="O18" s="227"/>
      <c r="P18" s="227"/>
      <c r="AB18" s="34" t="s">
        <v>223</v>
      </c>
      <c r="AC18" s="28" t="s">
        <v>224</v>
      </c>
    </row>
    <row r="19" spans="1:36" x14ac:dyDescent="0.25">
      <c r="B19" s="31">
        <f t="shared" si="3"/>
        <v>2040</v>
      </c>
      <c r="C19" s="208">
        <f t="shared" si="0"/>
        <v>8537226.2116534114</v>
      </c>
      <c r="D19" s="208">
        <f t="shared" si="1"/>
        <v>3508206.0464322567</v>
      </c>
      <c r="E19" s="130">
        <f t="shared" si="2"/>
        <v>5029020.1652211547</v>
      </c>
      <c r="F19" s="117">
        <f>E19*(1+0.07)^-(B19-Assumptions!$D$4)</f>
        <v>1299594.376227288</v>
      </c>
      <c r="G19" s="49"/>
      <c r="H19" s="300" t="s">
        <v>195</v>
      </c>
      <c r="O19" s="229"/>
      <c r="P19" s="229"/>
    </row>
    <row r="20" spans="1:36" x14ac:dyDescent="0.25">
      <c r="B20" s="31">
        <f t="shared" si="3"/>
        <v>2041</v>
      </c>
      <c r="C20" s="208">
        <f t="shared" si="0"/>
        <v>8594062.1626746207</v>
      </c>
      <c r="D20" s="208">
        <f t="shared" si="1"/>
        <v>3555935.447375536</v>
      </c>
      <c r="E20" s="130">
        <f t="shared" si="2"/>
        <v>5038126.7152990848</v>
      </c>
      <c r="F20" s="117">
        <f>E20*(1+0.07)^-(B20-Assumptions!$D$4)</f>
        <v>1216773.5344088797</v>
      </c>
      <c r="G20" s="49"/>
      <c r="H20" s="322" t="s">
        <v>70</v>
      </c>
      <c r="I20" s="187" t="s">
        <v>193</v>
      </c>
      <c r="J20" s="323" t="s">
        <v>198</v>
      </c>
      <c r="K20" s="187" t="s">
        <v>194</v>
      </c>
      <c r="O20" s="39"/>
      <c r="P20" s="39"/>
    </row>
    <row r="21" spans="1:36" x14ac:dyDescent="0.25">
      <c r="B21" s="31">
        <f t="shared" si="3"/>
        <v>2042</v>
      </c>
      <c r="C21" s="208">
        <f t="shared" si="0"/>
        <v>8650898.113695845</v>
      </c>
      <c r="D21" s="208">
        <f t="shared" si="1"/>
        <v>3603664.8483188152</v>
      </c>
      <c r="E21" s="130">
        <f t="shared" si="2"/>
        <v>5047233.2653770298</v>
      </c>
      <c r="F21" s="117">
        <f>E21*(1+0.07)^-(B21-Assumptions!$D$4)</f>
        <v>1139226.9957268918</v>
      </c>
      <c r="G21" s="49"/>
      <c r="H21" s="199">
        <v>1</v>
      </c>
      <c r="I21" s="246">
        <v>0.77121212121212124</v>
      </c>
      <c r="J21" s="247">
        <v>11368.666666666664</v>
      </c>
      <c r="K21" s="247">
        <f>365*9*I21*J21</f>
        <v>28801741.86363636</v>
      </c>
    </row>
    <row r="22" spans="1:36" x14ac:dyDescent="0.25">
      <c r="B22" s="31">
        <f t="shared" si="3"/>
        <v>2043</v>
      </c>
      <c r="C22" s="208">
        <f t="shared" si="0"/>
        <v>8707734.0647170544</v>
      </c>
      <c r="D22" s="208">
        <f t="shared" si="1"/>
        <v>3651394.2492620945</v>
      </c>
      <c r="E22" s="130">
        <f t="shared" si="2"/>
        <v>5056339.8154549599</v>
      </c>
      <c r="F22" s="117">
        <f>E22*(1+0.07)^-(B22-Assumptions!$D$4)</f>
        <v>1066619.1252045287</v>
      </c>
      <c r="G22" s="49"/>
      <c r="H22" s="199">
        <v>2</v>
      </c>
      <c r="I22" s="246">
        <v>0.63636363636363635</v>
      </c>
      <c r="J22" s="247">
        <v>11368.666666666664</v>
      </c>
      <c r="K22" s="247">
        <f t="shared" ref="K22:K26" si="4">365*9*I22*J22</f>
        <v>23765680.909090903</v>
      </c>
    </row>
    <row r="23" spans="1:36" x14ac:dyDescent="0.25">
      <c r="B23" s="31">
        <f t="shared" si="3"/>
        <v>2044</v>
      </c>
      <c r="C23" s="208">
        <f t="shared" si="0"/>
        <v>8764570.0157382786</v>
      </c>
      <c r="D23" s="208">
        <f t="shared" si="1"/>
        <v>3699123.6502053589</v>
      </c>
      <c r="E23" s="130">
        <f t="shared" si="2"/>
        <v>5065446.3655329198</v>
      </c>
      <c r="F23" s="117">
        <f>E23*(1+0.07)^-(B23-Assumptions!$D$4)</f>
        <v>998635.6294967304</v>
      </c>
      <c r="G23" s="49"/>
      <c r="H23" s="199">
        <v>3</v>
      </c>
      <c r="I23" s="246">
        <v>1.6420454545454546</v>
      </c>
      <c r="J23" s="247">
        <v>11368.666666666664</v>
      </c>
      <c r="K23" s="247">
        <f t="shared" si="4"/>
        <v>61323944.488636352</v>
      </c>
      <c r="O23" s="35"/>
      <c r="P23" s="35"/>
    </row>
    <row r="24" spans="1:36" x14ac:dyDescent="0.25">
      <c r="B24" s="31">
        <f t="shared" si="3"/>
        <v>2045</v>
      </c>
      <c r="C24" s="208">
        <f t="shared" si="0"/>
        <v>8821405.966759488</v>
      </c>
      <c r="D24" s="208">
        <f t="shared" si="1"/>
        <v>3746853.0511486381</v>
      </c>
      <c r="E24" s="130">
        <f t="shared" si="2"/>
        <v>5074552.9156108499</v>
      </c>
      <c r="F24" s="117">
        <f>E24*(1+0.07)^-(B24-Assumptions!$D$4)</f>
        <v>934982.20099438191</v>
      </c>
      <c r="G24" s="49"/>
      <c r="H24" s="199">
        <v>4</v>
      </c>
      <c r="I24" s="246">
        <v>1.0509469696969698</v>
      </c>
      <c r="J24" s="247">
        <v>11588.444444444447</v>
      </c>
      <c r="K24" s="247">
        <f t="shared" si="4"/>
        <v>40007491.280303039</v>
      </c>
      <c r="O24" s="35"/>
      <c r="P24" s="35"/>
    </row>
    <row r="25" spans="1:36" x14ac:dyDescent="0.25">
      <c r="B25" s="31">
        <f t="shared" si="3"/>
        <v>2046</v>
      </c>
      <c r="C25" s="208">
        <f t="shared" si="0"/>
        <v>8878241.9177807122</v>
      </c>
      <c r="D25" s="208">
        <f t="shared" si="1"/>
        <v>3794582.4520919174</v>
      </c>
      <c r="E25" s="130">
        <f t="shared" si="2"/>
        <v>5083659.4656887949</v>
      </c>
      <c r="F25" s="117">
        <f>E25*(1+0.07)^-(B25-Assumptions!$D$4)</f>
        <v>875383.24799655005</v>
      </c>
      <c r="G25" s="49"/>
      <c r="H25" s="313" t="s">
        <v>196</v>
      </c>
      <c r="I25" s="246">
        <v>0.19128787878787878</v>
      </c>
      <c r="J25" s="247">
        <v>10383.705170517052</v>
      </c>
      <c r="K25" s="247">
        <f t="shared" si="4"/>
        <v>6524919.7348484844</v>
      </c>
    </row>
    <row r="26" spans="1:36" ht="15.75" thickBot="1" x14ac:dyDescent="0.3">
      <c r="B26" s="32">
        <f t="shared" si="3"/>
        <v>2047</v>
      </c>
      <c r="C26" s="209">
        <f t="shared" si="0"/>
        <v>8935077.8688019216</v>
      </c>
      <c r="D26" s="209">
        <f t="shared" si="1"/>
        <v>3842311.8530351967</v>
      </c>
      <c r="E26" s="131">
        <f t="shared" si="2"/>
        <v>5092766.0157667249</v>
      </c>
      <c r="F26" s="118">
        <f>E26*(1+0.07)^-(B26-Assumptions!$D$4)</f>
        <v>819580.70549238531</v>
      </c>
      <c r="G26" s="49"/>
      <c r="H26" s="313" t="s">
        <v>197</v>
      </c>
      <c r="I26" s="246">
        <v>0.17140151515151514</v>
      </c>
      <c r="J26" s="247">
        <v>12932.960098219768</v>
      </c>
      <c r="K26" s="247">
        <f t="shared" si="4"/>
        <v>7281954.621212122</v>
      </c>
      <c r="M26" s="92"/>
    </row>
    <row r="27" spans="1:36" ht="15.75" thickBot="1" x14ac:dyDescent="0.3">
      <c r="B27" s="33"/>
      <c r="C27" s="33"/>
      <c r="D27" s="33"/>
      <c r="E27" s="93" t="s">
        <v>2</v>
      </c>
      <c r="F27" s="88">
        <f>SUM(F7:F26)</f>
        <v>32897161.366648868</v>
      </c>
      <c r="G27" s="49"/>
      <c r="M27" s="92"/>
    </row>
    <row r="28" spans="1:36" x14ac:dyDescent="0.25">
      <c r="G28" s="49"/>
      <c r="H28" s="300" t="s">
        <v>216</v>
      </c>
      <c r="M28" s="92"/>
      <c r="O28" s="75"/>
      <c r="P28" s="75"/>
    </row>
    <row r="29" spans="1:36" x14ac:dyDescent="0.25">
      <c r="G29" s="49"/>
      <c r="H29" s="100" t="s">
        <v>70</v>
      </c>
      <c r="I29" s="100" t="s">
        <v>29</v>
      </c>
      <c r="J29" s="297" t="s">
        <v>30</v>
      </c>
      <c r="K29" s="297" t="s">
        <v>31</v>
      </c>
      <c r="L29" s="297" t="s">
        <v>32</v>
      </c>
      <c r="M29" s="297" t="s">
        <v>33</v>
      </c>
      <c r="N29" s="297" t="s">
        <v>4</v>
      </c>
      <c r="O29" s="60"/>
      <c r="P29" s="60"/>
    </row>
    <row r="30" spans="1:36" ht="15" customHeight="1" x14ac:dyDescent="0.25">
      <c r="G30" s="49"/>
      <c r="H30" s="199">
        <v>1</v>
      </c>
      <c r="I30" s="223">
        <f>I12/$K21</f>
        <v>0</v>
      </c>
      <c r="J30" s="223">
        <f t="shared" ref="J30:M30" si="5">J12/$K21</f>
        <v>3.4720122301441432E-8</v>
      </c>
      <c r="K30" s="223">
        <f t="shared" si="5"/>
        <v>1.0416036690432429E-7</v>
      </c>
      <c r="L30" s="223">
        <f t="shared" si="5"/>
        <v>6.9440244602882864E-8</v>
      </c>
      <c r="M30" s="223">
        <f t="shared" si="5"/>
        <v>5.9024207912450426E-7</v>
      </c>
      <c r="N30" s="325">
        <f t="shared" ref="N30:N35" si="6">SUMPRODUCT($H$8:$L$8,I30:M30)</f>
        <v>4.3077255739398385E-2</v>
      </c>
      <c r="O30" s="77"/>
      <c r="P30" s="77"/>
    </row>
    <row r="31" spans="1:36" ht="15.75" customHeight="1" x14ac:dyDescent="0.25">
      <c r="B31" s="30" t="s">
        <v>3</v>
      </c>
      <c r="C31" s="30"/>
      <c r="D31" s="30"/>
      <c r="G31" s="49"/>
      <c r="H31" s="199">
        <v>2</v>
      </c>
      <c r="I31" s="223">
        <f>I13/$K22</f>
        <v>0</v>
      </c>
      <c r="J31" s="223">
        <f t="shared" ref="J31:M31" si="7">J13/$K22</f>
        <v>0</v>
      </c>
      <c r="K31" s="223">
        <f t="shared" si="7"/>
        <v>0</v>
      </c>
      <c r="L31" s="223">
        <f t="shared" si="7"/>
        <v>4.2077481551032597E-8</v>
      </c>
      <c r="M31" s="223">
        <f t="shared" si="7"/>
        <v>5.4700726016342377E-7</v>
      </c>
      <c r="N31" s="325">
        <f t="shared" si="6"/>
        <v>5.7646149724914653E-3</v>
      </c>
      <c r="O31" s="77"/>
      <c r="P31" s="77"/>
      <c r="AG31" s="78"/>
      <c r="AH31" s="78"/>
      <c r="AI31" s="78"/>
      <c r="AJ31" s="78"/>
    </row>
    <row r="32" spans="1:36" ht="15" customHeight="1" x14ac:dyDescent="0.25">
      <c r="A32" s="34" t="s">
        <v>27</v>
      </c>
      <c r="B32" s="490" t="s">
        <v>315</v>
      </c>
      <c r="C32" s="490"/>
      <c r="D32" s="490"/>
      <c r="E32" s="490"/>
      <c r="F32" s="490"/>
      <c r="G32" s="49"/>
      <c r="H32" s="199">
        <v>3</v>
      </c>
      <c r="I32" s="223">
        <f t="shared" ref="I32:M35" si="8">I14/$K23</f>
        <v>4.8920532183899483E-8</v>
      </c>
      <c r="J32" s="223">
        <f t="shared" si="8"/>
        <v>1.6306844061299829E-8</v>
      </c>
      <c r="K32" s="223">
        <f t="shared" si="8"/>
        <v>4.8920532183899483E-8</v>
      </c>
      <c r="L32" s="223">
        <f t="shared" si="8"/>
        <v>1.4676159655169844E-7</v>
      </c>
      <c r="M32" s="223">
        <f t="shared" si="8"/>
        <v>4.8920532183899486E-7</v>
      </c>
      <c r="N32" s="325">
        <f t="shared" si="6"/>
        <v>0.65803170909003805</v>
      </c>
      <c r="O32" s="77"/>
      <c r="P32" s="77"/>
    </row>
    <row r="33" spans="1:31" ht="15" customHeight="1" x14ac:dyDescent="0.25">
      <c r="B33" s="490"/>
      <c r="C33" s="490"/>
      <c r="D33" s="490"/>
      <c r="E33" s="490"/>
      <c r="F33" s="490"/>
      <c r="G33" s="49"/>
      <c r="H33" s="199">
        <v>4</v>
      </c>
      <c r="I33" s="223">
        <f t="shared" si="8"/>
        <v>0</v>
      </c>
      <c r="J33" s="223">
        <f t="shared" si="8"/>
        <v>2.4995318826510171E-8</v>
      </c>
      <c r="K33" s="223">
        <f t="shared" si="8"/>
        <v>2.4995318826510171E-8</v>
      </c>
      <c r="L33" s="223">
        <f t="shared" si="8"/>
        <v>0</v>
      </c>
      <c r="M33" s="223">
        <f t="shared" si="8"/>
        <v>4.4991573887718308E-7</v>
      </c>
      <c r="N33" s="325">
        <f t="shared" si="6"/>
        <v>1.9713807958468572E-2</v>
      </c>
      <c r="O33" s="77"/>
      <c r="P33" s="77"/>
      <c r="AB33" s="30" t="s">
        <v>204</v>
      </c>
    </row>
    <row r="34" spans="1:31" ht="15" customHeight="1" x14ac:dyDescent="0.25">
      <c r="A34" s="34"/>
      <c r="B34" s="490"/>
      <c r="C34" s="490"/>
      <c r="D34" s="490"/>
      <c r="E34" s="490"/>
      <c r="F34" s="490"/>
      <c r="G34" s="49"/>
      <c r="H34" s="313" t="s">
        <v>196</v>
      </c>
      <c r="I34" s="223">
        <f t="shared" si="8"/>
        <v>1.5325859024122096E-7</v>
      </c>
      <c r="J34" s="223">
        <f t="shared" si="8"/>
        <v>0</v>
      </c>
      <c r="K34" s="223">
        <f t="shared" si="8"/>
        <v>4.5977577072366288E-7</v>
      </c>
      <c r="L34" s="223">
        <f t="shared" si="8"/>
        <v>3.0651718048244192E-7</v>
      </c>
      <c r="M34" s="223">
        <f t="shared" si="8"/>
        <v>2.4521374438595353E-6</v>
      </c>
      <c r="N34" s="325">
        <f t="shared" si="6"/>
        <v>2.0718569038939934</v>
      </c>
      <c r="AB34" s="34" t="s">
        <v>206</v>
      </c>
      <c r="AC34" s="104" t="s">
        <v>203</v>
      </c>
    </row>
    <row r="35" spans="1:31" ht="15" customHeight="1" x14ac:dyDescent="0.25">
      <c r="B35" s="490"/>
      <c r="C35" s="490"/>
      <c r="D35" s="490"/>
      <c r="E35" s="490"/>
      <c r="F35" s="490"/>
      <c r="G35" s="49"/>
      <c r="H35" s="313" t="s">
        <v>197</v>
      </c>
      <c r="I35" s="223">
        <f t="shared" si="8"/>
        <v>0</v>
      </c>
      <c r="J35" s="223">
        <f t="shared" si="8"/>
        <v>2.7465153300654443E-7</v>
      </c>
      <c r="K35" s="223">
        <f t="shared" si="8"/>
        <v>1.23593189852945E-6</v>
      </c>
      <c r="L35" s="223">
        <f t="shared" si="8"/>
        <v>1.0986061320261777E-6</v>
      </c>
      <c r="M35" s="223">
        <f t="shared" si="8"/>
        <v>4.1197729950981664E-6</v>
      </c>
      <c r="N35" s="325">
        <f t="shared" si="6"/>
        <v>0.44288932954970328</v>
      </c>
      <c r="AB35" s="34" t="s">
        <v>207</v>
      </c>
      <c r="AC35" s="104" t="s">
        <v>205</v>
      </c>
    </row>
    <row r="36" spans="1:31" ht="15" customHeight="1" x14ac:dyDescent="0.25">
      <c r="B36" s="490"/>
      <c r="C36" s="490"/>
      <c r="D36" s="490"/>
      <c r="E36" s="490"/>
      <c r="F36" s="490"/>
      <c r="G36" s="49"/>
    </row>
    <row r="37" spans="1:31" ht="15" customHeight="1" x14ac:dyDescent="0.25">
      <c r="B37" s="58"/>
      <c r="C37" s="58"/>
      <c r="D37" s="58"/>
      <c r="E37" s="29"/>
      <c r="F37" s="29"/>
      <c r="G37" s="49"/>
      <c r="H37" s="10" t="s">
        <v>208</v>
      </c>
      <c r="I37" s="92"/>
      <c r="J37" s="92"/>
      <c r="K37" s="92"/>
      <c r="P37" s="30" t="s">
        <v>221</v>
      </c>
      <c r="AE37" s="214"/>
    </row>
    <row r="38" spans="1:31" ht="15" customHeight="1" x14ac:dyDescent="0.25">
      <c r="A38" s="34" t="s">
        <v>34</v>
      </c>
      <c r="B38" s="490" t="s">
        <v>314</v>
      </c>
      <c r="C38" s="490"/>
      <c r="D38" s="490"/>
      <c r="E38" s="490"/>
      <c r="F38" s="490"/>
      <c r="H38" s="100" t="s">
        <v>70</v>
      </c>
      <c r="I38" s="100" t="s">
        <v>199</v>
      </c>
      <c r="J38" s="100" t="s">
        <v>200</v>
      </c>
      <c r="P38" s="11" t="s">
        <v>209</v>
      </c>
      <c r="Q38" s="302" t="s">
        <v>210</v>
      </c>
      <c r="AE38" s="215"/>
    </row>
    <row r="39" spans="1:31" x14ac:dyDescent="0.25">
      <c r="B39" s="490"/>
      <c r="C39" s="490"/>
      <c r="D39" s="490"/>
      <c r="E39" s="490"/>
      <c r="F39" s="490"/>
      <c r="H39" s="199">
        <v>1</v>
      </c>
      <c r="I39" s="199" t="s">
        <v>201</v>
      </c>
      <c r="J39" s="199">
        <v>0.34100000000000003</v>
      </c>
      <c r="K39" s="104" t="s">
        <v>203</v>
      </c>
      <c r="AE39" s="215"/>
    </row>
    <row r="40" spans="1:31" ht="15" customHeight="1" x14ac:dyDescent="0.25">
      <c r="A40" s="34"/>
      <c r="B40" s="490"/>
      <c r="C40" s="490"/>
      <c r="D40" s="490"/>
      <c r="E40" s="490"/>
      <c r="F40" s="490"/>
      <c r="H40" s="199">
        <v>2</v>
      </c>
      <c r="I40" s="199" t="s">
        <v>202</v>
      </c>
      <c r="J40" s="199">
        <v>0.44</v>
      </c>
      <c r="K40" s="28" t="s">
        <v>213</v>
      </c>
      <c r="AE40" s="215"/>
    </row>
    <row r="41" spans="1:31" ht="15" customHeight="1" x14ac:dyDescent="0.25">
      <c r="B41" s="490"/>
      <c r="C41" s="490"/>
      <c r="D41" s="490"/>
      <c r="E41" s="490"/>
      <c r="F41" s="490"/>
      <c r="H41" s="199">
        <v>3</v>
      </c>
      <c r="I41" s="199" t="s">
        <v>201</v>
      </c>
      <c r="J41" s="199">
        <v>0.34100000000000003</v>
      </c>
      <c r="K41" s="104" t="s">
        <v>203</v>
      </c>
      <c r="AB41" s="35"/>
      <c r="AC41" s="35"/>
      <c r="AD41" s="35"/>
      <c r="AE41" s="215"/>
    </row>
    <row r="42" spans="1:31" ht="15" customHeight="1" x14ac:dyDescent="0.25">
      <c r="B42" s="490"/>
      <c r="C42" s="490"/>
      <c r="D42" s="490"/>
      <c r="E42" s="490"/>
      <c r="F42" s="490"/>
      <c r="G42" s="217"/>
      <c r="H42" s="199">
        <v>4</v>
      </c>
      <c r="I42" s="199" t="s">
        <v>201</v>
      </c>
      <c r="J42" s="199">
        <v>0.34100000000000003</v>
      </c>
      <c r="K42" s="104" t="s">
        <v>203</v>
      </c>
      <c r="AB42" s="227"/>
      <c r="AC42" s="227"/>
      <c r="AD42" s="227"/>
      <c r="AE42" s="136"/>
    </row>
    <row r="43" spans="1:31" ht="15" customHeight="1" x14ac:dyDescent="0.25">
      <c r="A43" s="34" t="s">
        <v>35</v>
      </c>
      <c r="B43" s="540" t="s">
        <v>316</v>
      </c>
      <c r="C43" s="540"/>
      <c r="D43" s="540"/>
      <c r="E43" s="540"/>
      <c r="F43" s="540"/>
      <c r="G43" s="217"/>
      <c r="H43" s="313" t="s">
        <v>196</v>
      </c>
      <c r="I43" s="199" t="s">
        <v>201</v>
      </c>
      <c r="J43" s="199">
        <v>0.34100000000000003</v>
      </c>
      <c r="K43" s="104" t="s">
        <v>203</v>
      </c>
      <c r="AB43" s="227"/>
      <c r="AC43" s="227"/>
      <c r="AD43" s="227"/>
      <c r="AE43" s="136"/>
    </row>
    <row r="44" spans="1:31" x14ac:dyDescent="0.25">
      <c r="B44" s="540"/>
      <c r="C44" s="540"/>
      <c r="D44" s="540"/>
      <c r="E44" s="540"/>
      <c r="F44" s="540"/>
      <c r="G44" s="217"/>
      <c r="H44" s="313" t="s">
        <v>197</v>
      </c>
      <c r="I44" s="199" t="s">
        <v>201</v>
      </c>
      <c r="J44" s="199">
        <v>0.34100000000000003</v>
      </c>
      <c r="K44" s="104" t="s">
        <v>203</v>
      </c>
      <c r="AB44" s="227"/>
      <c r="AC44" s="227"/>
      <c r="AD44" s="227"/>
      <c r="AE44" s="35"/>
    </row>
    <row r="45" spans="1:31" ht="15" customHeight="1" x14ac:dyDescent="0.25">
      <c r="B45" s="540"/>
      <c r="C45" s="540"/>
      <c r="D45" s="540"/>
      <c r="E45" s="540"/>
      <c r="F45" s="540"/>
      <c r="G45" s="217"/>
      <c r="AA45" s="35"/>
      <c r="AB45" s="227"/>
      <c r="AC45" s="227"/>
      <c r="AD45" s="227"/>
      <c r="AE45" s="299"/>
    </row>
    <row r="46" spans="1:31" ht="15" customHeight="1" x14ac:dyDescent="0.25">
      <c r="B46" s="540"/>
      <c r="C46" s="540"/>
      <c r="D46" s="540"/>
      <c r="E46" s="540"/>
      <c r="F46" s="540"/>
      <c r="G46" s="217"/>
      <c r="AA46" s="227"/>
      <c r="AB46" s="229"/>
      <c r="AC46" s="229"/>
      <c r="AD46" s="229"/>
      <c r="AE46" s="38"/>
    </row>
    <row r="47" spans="1:31" ht="17.25" x14ac:dyDescent="0.25">
      <c r="B47" s="540"/>
      <c r="C47" s="540"/>
      <c r="D47" s="540"/>
      <c r="E47" s="540"/>
      <c r="F47" s="540"/>
      <c r="G47" s="29"/>
      <c r="H47" s="10" t="s">
        <v>225</v>
      </c>
      <c r="I47" s="542" t="s">
        <v>63</v>
      </c>
      <c r="J47" s="542"/>
      <c r="K47" s="542" t="s">
        <v>18</v>
      </c>
      <c r="L47" s="542"/>
      <c r="AA47" s="227"/>
      <c r="AB47" s="39"/>
      <c r="AC47" s="39"/>
      <c r="AD47" s="39"/>
      <c r="AE47" s="38"/>
    </row>
    <row r="48" spans="1:31" x14ac:dyDescent="0.25">
      <c r="B48" s="540"/>
      <c r="C48" s="540"/>
      <c r="D48" s="540"/>
      <c r="E48" s="540"/>
      <c r="F48" s="540"/>
      <c r="G48" s="216"/>
      <c r="H48" s="321" t="s">
        <v>100</v>
      </c>
      <c r="I48" s="57">
        <v>2019</v>
      </c>
      <c r="J48" s="57">
        <v>2040</v>
      </c>
      <c r="K48" s="57">
        <v>2019</v>
      </c>
      <c r="L48" s="57">
        <v>2040</v>
      </c>
      <c r="AA48" s="227"/>
      <c r="AE48" s="35"/>
    </row>
    <row r="49" spans="1:31" x14ac:dyDescent="0.25">
      <c r="B49" s="540"/>
      <c r="C49" s="540"/>
      <c r="D49" s="540"/>
      <c r="E49" s="540"/>
      <c r="F49" s="540"/>
      <c r="G49" s="216"/>
      <c r="H49" s="321" t="s">
        <v>211</v>
      </c>
      <c r="I49" s="223">
        <v>12800</v>
      </c>
      <c r="J49" s="223">
        <v>14800</v>
      </c>
      <c r="K49" s="223">
        <v>12800</v>
      </c>
      <c r="L49" s="223">
        <v>20000</v>
      </c>
      <c r="AA49" s="227"/>
      <c r="AE49" s="35"/>
    </row>
    <row r="50" spans="1:31" x14ac:dyDescent="0.25">
      <c r="A50" s="34"/>
      <c r="B50" s="58"/>
      <c r="C50" s="58"/>
      <c r="D50" s="58"/>
      <c r="G50" s="216"/>
      <c r="H50" s="321" t="s">
        <v>212</v>
      </c>
      <c r="I50" s="223">
        <v>11800</v>
      </c>
      <c r="J50" s="223">
        <v>13900</v>
      </c>
      <c r="K50" s="223">
        <v>11800</v>
      </c>
      <c r="L50" s="223">
        <v>11800</v>
      </c>
      <c r="AA50" s="229"/>
      <c r="AB50" s="35"/>
      <c r="AC50" s="35"/>
      <c r="AD50" s="35"/>
      <c r="AE50" s="86"/>
    </row>
    <row r="51" spans="1:31" ht="15" customHeight="1" x14ac:dyDescent="0.25">
      <c r="A51" s="34" t="s">
        <v>36</v>
      </c>
      <c r="B51" s="541" t="s">
        <v>327</v>
      </c>
      <c r="C51" s="541"/>
      <c r="D51" s="541"/>
      <c r="E51" s="541"/>
      <c r="F51" s="541"/>
      <c r="G51" s="218"/>
      <c r="H51" s="330"/>
      <c r="I51" s="330"/>
      <c r="J51" s="330"/>
      <c r="K51" s="330"/>
      <c r="L51" s="330"/>
      <c r="AA51" s="39"/>
      <c r="AB51" s="35"/>
      <c r="AC51" s="35"/>
      <c r="AD51" s="35"/>
      <c r="AE51" s="86"/>
    </row>
    <row r="52" spans="1:31" ht="15" customHeight="1" x14ac:dyDescent="0.25">
      <c r="B52" s="541"/>
      <c r="C52" s="541"/>
      <c r="D52" s="541"/>
      <c r="E52" s="541"/>
      <c r="F52" s="541"/>
      <c r="G52" s="63"/>
      <c r="AE52" s="35"/>
    </row>
    <row r="53" spans="1:31" x14ac:dyDescent="0.25">
      <c r="B53" s="541"/>
      <c r="C53" s="541"/>
      <c r="D53" s="541"/>
      <c r="E53" s="541"/>
      <c r="F53" s="541"/>
      <c r="G53" s="406"/>
      <c r="AE53" s="35"/>
    </row>
    <row r="54" spans="1:31" ht="15" customHeight="1" x14ac:dyDescent="0.25">
      <c r="B54" s="541"/>
      <c r="C54" s="541"/>
      <c r="D54" s="541"/>
      <c r="E54" s="541"/>
      <c r="F54" s="541"/>
      <c r="G54" s="63"/>
      <c r="H54" s="10" t="s">
        <v>214</v>
      </c>
      <c r="I54" s="542" t="s">
        <v>63</v>
      </c>
      <c r="J54" s="542"/>
      <c r="K54" s="542" t="s">
        <v>18</v>
      </c>
      <c r="L54" s="542"/>
      <c r="AA54" s="35"/>
      <c r="AE54" s="35"/>
    </row>
    <row r="55" spans="1:31" x14ac:dyDescent="0.25">
      <c r="G55" s="63"/>
      <c r="H55" s="314" t="s">
        <v>100</v>
      </c>
      <c r="I55" s="57">
        <v>2019</v>
      </c>
      <c r="J55" s="57">
        <v>2040</v>
      </c>
      <c r="K55" s="57">
        <v>2019</v>
      </c>
      <c r="L55" s="57">
        <v>2040</v>
      </c>
      <c r="AA55" s="35"/>
      <c r="AB55" s="75"/>
      <c r="AC55" s="75"/>
      <c r="AD55" s="75"/>
      <c r="AE55" s="35"/>
    </row>
    <row r="56" spans="1:31" x14ac:dyDescent="0.25">
      <c r="A56" s="34" t="s">
        <v>37</v>
      </c>
      <c r="B56" s="541" t="s">
        <v>331</v>
      </c>
      <c r="C56" s="541"/>
      <c r="D56" s="541"/>
      <c r="E56" s="541"/>
      <c r="F56" s="541"/>
      <c r="G56" s="63"/>
      <c r="H56" s="199">
        <v>1</v>
      </c>
      <c r="I56" s="247">
        <f t="shared" ref="I56:I61" si="9">K56</f>
        <v>3603103.0303030303</v>
      </c>
      <c r="J56" s="247">
        <f>$J$49*I21*365</f>
        <v>4166087.8787878789</v>
      </c>
      <c r="K56" s="247">
        <f>$K$49*I21*365</f>
        <v>3603103.0303030303</v>
      </c>
      <c r="L56" s="247">
        <f>$L$49*I21*365</f>
        <v>5629848.4848484844</v>
      </c>
      <c r="AB56" s="60"/>
      <c r="AC56" s="60"/>
      <c r="AD56" s="60"/>
      <c r="AE56" s="35"/>
    </row>
    <row r="57" spans="1:31" ht="15" customHeight="1" x14ac:dyDescent="0.25">
      <c r="B57" s="541"/>
      <c r="C57" s="541"/>
      <c r="D57" s="541"/>
      <c r="E57" s="541"/>
      <c r="F57" s="541"/>
      <c r="G57" s="63"/>
      <c r="H57" s="199">
        <v>2</v>
      </c>
      <c r="I57" s="247">
        <f t="shared" si="9"/>
        <v>2973090.9090909087</v>
      </c>
      <c r="J57" s="247">
        <f>$J$49*I22*365</f>
        <v>3437636.3636363638</v>
      </c>
      <c r="K57" s="247">
        <f>$K$49*I22*365</f>
        <v>2973090.9090909087</v>
      </c>
      <c r="L57" s="247">
        <f>$L$49*I22*365</f>
        <v>4645454.5454545459</v>
      </c>
      <c r="AB57" s="77"/>
      <c r="AC57" s="77"/>
      <c r="AD57" s="77"/>
      <c r="AE57" s="35"/>
    </row>
    <row r="58" spans="1:31" x14ac:dyDescent="0.25">
      <c r="A58" s="34"/>
      <c r="B58" s="541"/>
      <c r="C58" s="541"/>
      <c r="D58" s="541"/>
      <c r="E58" s="541"/>
      <c r="F58" s="541"/>
      <c r="H58" s="199">
        <v>3</v>
      </c>
      <c r="I58" s="247">
        <f t="shared" si="9"/>
        <v>7671636.3636363642</v>
      </c>
      <c r="J58" s="247">
        <f>$J$49*I23*365</f>
        <v>8870329.5454545449</v>
      </c>
      <c r="K58" s="247">
        <f>$K$49*I23*365</f>
        <v>7671636.3636363642</v>
      </c>
      <c r="L58" s="247">
        <f>$L$49*I23*365</f>
        <v>11986931.818181816</v>
      </c>
      <c r="AB58" s="77"/>
      <c r="AC58" s="77"/>
      <c r="AD58" s="77"/>
    </row>
    <row r="59" spans="1:31" x14ac:dyDescent="0.25">
      <c r="B59" s="541"/>
      <c r="C59" s="541"/>
      <c r="D59" s="541"/>
      <c r="E59" s="541"/>
      <c r="F59" s="541"/>
      <c r="H59" s="199">
        <v>4</v>
      </c>
      <c r="I59" s="247">
        <f t="shared" si="9"/>
        <v>4526428.5984848486</v>
      </c>
      <c r="J59" s="247">
        <f>$J$50*I24*365</f>
        <v>5331979.4507575762</v>
      </c>
      <c r="K59" s="247">
        <f>$K$50*I24*365</f>
        <v>4526428.5984848486</v>
      </c>
      <c r="L59" s="247">
        <f>$L$50*I24*365</f>
        <v>4526428.5984848486</v>
      </c>
      <c r="AA59" s="75"/>
      <c r="AB59" s="77"/>
      <c r="AC59" s="77"/>
      <c r="AD59" s="77"/>
      <c r="AE59" s="76"/>
    </row>
    <row r="60" spans="1:31" x14ac:dyDescent="0.25">
      <c r="B60" s="36"/>
      <c r="C60" s="36"/>
      <c r="D60" s="36"/>
      <c r="H60" s="187" t="s">
        <v>196</v>
      </c>
      <c r="I60" s="247">
        <f t="shared" si="9"/>
        <v>823876.89393939392</v>
      </c>
      <c r="J60" s="247">
        <f>$J$50*I25*365</f>
        <v>970499.05303030298</v>
      </c>
      <c r="K60" s="247">
        <f>$K$50*I25*365</f>
        <v>823876.89393939392</v>
      </c>
      <c r="L60" s="247">
        <f>$L$50*I25*365</f>
        <v>823876.89393939392</v>
      </c>
      <c r="AA60" s="60"/>
      <c r="AB60" s="77"/>
      <c r="AC60" s="77"/>
      <c r="AD60" s="77"/>
      <c r="AE60" s="76"/>
    </row>
    <row r="61" spans="1:31" ht="15" customHeight="1" x14ac:dyDescent="0.25">
      <c r="A61" s="34" t="s">
        <v>37</v>
      </c>
      <c r="B61" s="541" t="s">
        <v>331</v>
      </c>
      <c r="C61" s="541"/>
      <c r="D61" s="541"/>
      <c r="E61" s="541"/>
      <c r="F61" s="541"/>
      <c r="H61" s="187" t="s">
        <v>197</v>
      </c>
      <c r="I61" s="247">
        <f t="shared" si="9"/>
        <v>738226.32575757569</v>
      </c>
      <c r="J61" s="247">
        <f>$J$50*I26*365</f>
        <v>869605.58712121204</v>
      </c>
      <c r="K61" s="247">
        <f>$K$50*I26*365</f>
        <v>738226.32575757569</v>
      </c>
      <c r="L61" s="247">
        <f>$L$50*I26*365</f>
        <v>738226.32575757569</v>
      </c>
      <c r="AA61" s="77"/>
    </row>
    <row r="62" spans="1:31" ht="15" customHeight="1" x14ac:dyDescent="0.25">
      <c r="B62" s="541"/>
      <c r="C62" s="541"/>
      <c r="D62" s="541"/>
      <c r="E62" s="541"/>
      <c r="F62" s="541"/>
      <c r="AA62" s="77"/>
    </row>
    <row r="63" spans="1:31" x14ac:dyDescent="0.25">
      <c r="A63" s="34"/>
      <c r="B63" s="541"/>
      <c r="C63" s="541"/>
      <c r="D63" s="541"/>
      <c r="E63" s="541"/>
      <c r="F63" s="541"/>
      <c r="H63" s="10" t="s">
        <v>215</v>
      </c>
      <c r="I63" s="542" t="s">
        <v>63</v>
      </c>
      <c r="J63" s="542"/>
      <c r="K63" s="542" t="s">
        <v>18</v>
      </c>
      <c r="L63" s="542"/>
      <c r="AA63" s="77"/>
    </row>
    <row r="64" spans="1:31" x14ac:dyDescent="0.25">
      <c r="B64" s="541"/>
      <c r="C64" s="541"/>
      <c r="D64" s="541"/>
      <c r="E64" s="541"/>
      <c r="F64" s="541"/>
      <c r="H64" s="223" t="s">
        <v>100</v>
      </c>
      <c r="I64" s="57">
        <v>2019</v>
      </c>
      <c r="J64" s="57">
        <v>2040</v>
      </c>
      <c r="K64" s="57">
        <v>2019</v>
      </c>
      <c r="L64" s="57">
        <v>2040</v>
      </c>
      <c r="R64" s="30"/>
      <c r="AA64" s="77"/>
    </row>
    <row r="65" spans="1:14" x14ac:dyDescent="0.25">
      <c r="B65" s="36"/>
      <c r="C65" s="36"/>
      <c r="D65" s="36"/>
      <c r="H65" s="199">
        <v>1</v>
      </c>
      <c r="I65" s="324">
        <f t="shared" ref="I65:J70" si="10">I56*$N30</f>
        <v>155211.79069176491</v>
      </c>
      <c r="J65" s="324">
        <f t="shared" si="10"/>
        <v>179463.63298735319</v>
      </c>
      <c r="K65" s="324">
        <f>K56*$N30*J39</f>
        <v>52927.220625891838</v>
      </c>
      <c r="L65" s="324">
        <f>L56*$N30*J39</f>
        <v>82698.782227956006</v>
      </c>
    </row>
    <row r="66" spans="1:14" ht="15" customHeight="1" x14ac:dyDescent="0.25">
      <c r="A66" s="34" t="s">
        <v>322</v>
      </c>
      <c r="B66" s="541" t="s">
        <v>332</v>
      </c>
      <c r="C66" s="541"/>
      <c r="D66" s="541"/>
      <c r="E66" s="541"/>
      <c r="F66" s="541"/>
      <c r="H66" s="199">
        <v>2</v>
      </c>
      <c r="I66" s="324">
        <f t="shared" si="10"/>
        <v>17138.724369123713</v>
      </c>
      <c r="J66" s="324">
        <f t="shared" si="10"/>
        <v>19816.650051799297</v>
      </c>
      <c r="K66" s="324">
        <f t="shared" ref="K66:K70" si="11">K57*$N31*J40</f>
        <v>7541.0387224144333</v>
      </c>
      <c r="L66" s="324">
        <f t="shared" ref="L66:L70" si="12">L57*$N31*J40</f>
        <v>11782.873003772556</v>
      </c>
    </row>
    <row r="67" spans="1:14" x14ac:dyDescent="0.25">
      <c r="B67" s="541"/>
      <c r="C67" s="541"/>
      <c r="D67" s="541"/>
      <c r="E67" s="541"/>
      <c r="F67" s="541"/>
      <c r="H67" s="199">
        <v>3</v>
      </c>
      <c r="I67" s="324">
        <f t="shared" si="10"/>
        <v>5048179.987880921</v>
      </c>
      <c r="J67" s="324">
        <f t="shared" si="10"/>
        <v>5836958.110987315</v>
      </c>
      <c r="K67" s="324">
        <f t="shared" si="11"/>
        <v>1721429.3758673943</v>
      </c>
      <c r="L67" s="324">
        <f t="shared" si="12"/>
        <v>2689733.399792803</v>
      </c>
    </row>
    <row r="68" spans="1:14" ht="15" customHeight="1" x14ac:dyDescent="0.25">
      <c r="B68" s="541"/>
      <c r="C68" s="541"/>
      <c r="D68" s="541"/>
      <c r="E68" s="541"/>
      <c r="F68" s="541"/>
      <c r="H68" s="199">
        <v>4</v>
      </c>
      <c r="I68" s="324">
        <f t="shared" si="10"/>
        <v>89233.144128250351</v>
      </c>
      <c r="J68" s="324">
        <f t="shared" si="10"/>
        <v>105113.61893073558</v>
      </c>
      <c r="K68" s="324">
        <f t="shared" si="11"/>
        <v>30428.502147733372</v>
      </c>
      <c r="L68" s="324">
        <f t="shared" si="12"/>
        <v>30428.502147733372</v>
      </c>
    </row>
    <row r="69" spans="1:14" x14ac:dyDescent="0.25">
      <c r="H69" s="187" t="s">
        <v>196</v>
      </c>
      <c r="I69" s="324">
        <f t="shared" si="10"/>
        <v>1706955.0306670726</v>
      </c>
      <c r="J69" s="324">
        <f t="shared" si="10"/>
        <v>2010735.163243416</v>
      </c>
      <c r="K69" s="324">
        <f t="shared" si="11"/>
        <v>582071.66545747186</v>
      </c>
      <c r="L69" s="324">
        <f t="shared" si="12"/>
        <v>582071.66545747186</v>
      </c>
      <c r="M69" s="92"/>
      <c r="N69" s="92"/>
    </row>
    <row r="70" spans="1:14" x14ac:dyDescent="0.25">
      <c r="H70" s="187" t="s">
        <v>197</v>
      </c>
      <c r="I70" s="324">
        <f t="shared" si="10"/>
        <v>326952.56247071357</v>
      </c>
      <c r="J70" s="324">
        <f t="shared" si="10"/>
        <v>385139.03545278969</v>
      </c>
      <c r="K70" s="324">
        <f t="shared" si="11"/>
        <v>111490.82380251333</v>
      </c>
      <c r="L70" s="324">
        <f t="shared" si="12"/>
        <v>111490.82380251333</v>
      </c>
      <c r="M70" s="92"/>
      <c r="N70" s="92"/>
    </row>
    <row r="71" spans="1:14" x14ac:dyDescent="0.25">
      <c r="A71" s="34"/>
      <c r="H71" s="89" t="s">
        <v>217</v>
      </c>
      <c r="I71" s="326">
        <f>SUM(I65:I70)</f>
        <v>7343671.2402078453</v>
      </c>
      <c r="J71" s="326">
        <f>SUM(J65:J70)</f>
        <v>8537226.2116534095</v>
      </c>
      <c r="K71" s="326">
        <f>SUM(K65:K70)</f>
        <v>2505888.6266234196</v>
      </c>
      <c r="L71" s="326">
        <f>SUM(L65:L70)</f>
        <v>3508206.0464322502</v>
      </c>
      <c r="M71" s="92"/>
      <c r="N71" s="92"/>
    </row>
    <row r="72" spans="1:14" x14ac:dyDescent="0.25">
      <c r="H72" s="92"/>
      <c r="I72" s="543"/>
      <c r="J72" s="543"/>
      <c r="K72" s="543"/>
      <c r="L72" s="543"/>
      <c r="M72" s="92"/>
      <c r="N72" s="92"/>
    </row>
    <row r="73" spans="1:14" x14ac:dyDescent="0.25">
      <c r="H73" s="338" t="s">
        <v>227</v>
      </c>
      <c r="I73" s="543"/>
      <c r="J73" s="543"/>
      <c r="K73" s="543"/>
      <c r="L73" s="543"/>
      <c r="M73" s="92"/>
      <c r="N73" s="92"/>
    </row>
    <row r="74" spans="1:14" x14ac:dyDescent="0.25">
      <c r="H74" s="92"/>
      <c r="I74" s="543"/>
      <c r="J74" s="543"/>
      <c r="K74" s="543"/>
      <c r="L74" s="543"/>
      <c r="M74" s="92"/>
      <c r="N74" s="92"/>
    </row>
    <row r="75" spans="1:14" x14ac:dyDescent="0.25">
      <c r="A75" s="34"/>
      <c r="H75" s="92"/>
      <c r="I75" s="543"/>
      <c r="J75" s="543"/>
      <c r="K75" s="543"/>
      <c r="L75" s="543"/>
      <c r="M75" s="92"/>
      <c r="N75" s="92"/>
    </row>
    <row r="76" spans="1:14" x14ac:dyDescent="0.25">
      <c r="H76" s="92"/>
      <c r="I76" s="92"/>
      <c r="J76" s="92"/>
      <c r="K76" s="92"/>
      <c r="L76" s="92"/>
      <c r="M76" s="92"/>
      <c r="N76" s="92"/>
    </row>
    <row r="77" spans="1:14" x14ac:dyDescent="0.25">
      <c r="A77" s="34"/>
      <c r="H77" s="92"/>
      <c r="I77" s="92"/>
      <c r="J77" s="92"/>
      <c r="K77" s="92"/>
      <c r="L77" s="92"/>
      <c r="M77" s="92"/>
      <c r="N77" s="92"/>
    </row>
    <row r="78" spans="1:14" x14ac:dyDescent="0.25">
      <c r="H78" s="92"/>
      <c r="I78" s="92"/>
      <c r="J78" s="92"/>
      <c r="K78" s="92"/>
      <c r="L78" s="92"/>
      <c r="M78" s="92"/>
      <c r="N78" s="92"/>
    </row>
    <row r="79" spans="1:14" x14ac:dyDescent="0.25">
      <c r="H79" s="92"/>
      <c r="I79" s="92"/>
      <c r="J79" s="92"/>
      <c r="K79" s="92"/>
      <c r="L79" s="92"/>
      <c r="M79" s="92"/>
      <c r="N79" s="92"/>
    </row>
    <row r="80" spans="1:14" x14ac:dyDescent="0.25">
      <c r="H80" s="92"/>
      <c r="I80" s="92"/>
      <c r="J80" s="92"/>
      <c r="K80" s="92"/>
      <c r="L80" s="92"/>
      <c r="M80" s="92"/>
      <c r="N80" s="92"/>
    </row>
    <row r="81" spans="1:14" x14ac:dyDescent="0.25">
      <c r="A81" s="34"/>
      <c r="H81" s="92"/>
      <c r="I81" s="92"/>
      <c r="J81" s="92"/>
      <c r="K81" s="92"/>
      <c r="L81" s="92"/>
      <c r="M81" s="92"/>
      <c r="N81" s="92"/>
    </row>
    <row r="82" spans="1:14" x14ac:dyDescent="0.25">
      <c r="H82" s="92"/>
      <c r="I82" s="92"/>
      <c r="J82" s="92"/>
      <c r="K82" s="92"/>
      <c r="L82" s="92"/>
      <c r="M82" s="92"/>
      <c r="N82" s="92"/>
    </row>
    <row r="83" spans="1:14" x14ac:dyDescent="0.25">
      <c r="H83" s="92"/>
      <c r="I83" s="92"/>
      <c r="J83" s="92"/>
      <c r="K83" s="92"/>
      <c r="L83" s="92"/>
      <c r="M83" s="92"/>
      <c r="N83" s="92"/>
    </row>
    <row r="84" spans="1:14" x14ac:dyDescent="0.25">
      <c r="H84" s="92"/>
      <c r="I84" s="92"/>
      <c r="J84" s="92"/>
      <c r="K84" s="92"/>
      <c r="L84" s="92"/>
      <c r="M84" s="92"/>
      <c r="N84" s="92"/>
    </row>
    <row r="85" spans="1:14" x14ac:dyDescent="0.25">
      <c r="H85" s="92"/>
      <c r="I85" s="92"/>
      <c r="J85" s="92"/>
      <c r="K85" s="92"/>
      <c r="L85" s="92"/>
      <c r="M85" s="92"/>
      <c r="N85" s="92"/>
    </row>
    <row r="86" spans="1:14" x14ac:dyDescent="0.25">
      <c r="H86" s="92"/>
      <c r="I86" s="92"/>
      <c r="J86" s="92"/>
      <c r="K86" s="92"/>
      <c r="L86" s="92"/>
      <c r="M86" s="92"/>
      <c r="N86" s="92"/>
    </row>
    <row r="87" spans="1:14" x14ac:dyDescent="0.25">
      <c r="H87" s="92"/>
      <c r="I87" s="92"/>
      <c r="J87" s="92"/>
      <c r="K87" s="92"/>
      <c r="L87" s="92"/>
      <c r="M87" s="92"/>
      <c r="N87" s="92"/>
    </row>
    <row r="88" spans="1:14" x14ac:dyDescent="0.25">
      <c r="H88" s="92"/>
      <c r="I88" s="92"/>
      <c r="J88" s="92"/>
      <c r="K88" s="92"/>
      <c r="L88" s="92"/>
      <c r="M88" s="92"/>
      <c r="N88" s="92"/>
    </row>
    <row r="89" spans="1:14" x14ac:dyDescent="0.25">
      <c r="H89" s="92"/>
      <c r="I89" s="92"/>
      <c r="J89" s="92"/>
      <c r="K89" s="92"/>
      <c r="L89" s="92"/>
      <c r="M89" s="92"/>
      <c r="N89" s="92"/>
    </row>
    <row r="90" spans="1:14" x14ac:dyDescent="0.25">
      <c r="H90" s="92"/>
      <c r="I90" s="92"/>
      <c r="J90" s="92"/>
      <c r="K90" s="92"/>
      <c r="L90" s="92"/>
      <c r="M90" s="92"/>
      <c r="N90" s="92"/>
    </row>
    <row r="91" spans="1:14" x14ac:dyDescent="0.25">
      <c r="H91" s="92"/>
      <c r="I91" s="92"/>
      <c r="J91" s="92"/>
      <c r="K91" s="92"/>
      <c r="L91" s="92"/>
      <c r="M91" s="92"/>
      <c r="N91" s="92"/>
    </row>
    <row r="92" spans="1:14" x14ac:dyDescent="0.25">
      <c r="H92" s="92"/>
      <c r="I92" s="92"/>
      <c r="J92" s="92"/>
      <c r="K92" s="92"/>
      <c r="L92" s="92"/>
      <c r="M92" s="92"/>
      <c r="N92" s="92"/>
    </row>
    <row r="93" spans="1:14" x14ac:dyDescent="0.25">
      <c r="H93" s="92"/>
      <c r="I93" s="92"/>
      <c r="J93" s="92"/>
      <c r="K93" s="92"/>
      <c r="L93" s="92"/>
      <c r="M93" s="92"/>
      <c r="N93" s="92"/>
    </row>
    <row r="94" spans="1:14" x14ac:dyDescent="0.25">
      <c r="H94" s="92"/>
      <c r="I94" s="92"/>
      <c r="J94" s="92"/>
      <c r="K94" s="92"/>
      <c r="L94" s="92"/>
      <c r="M94" s="92"/>
      <c r="N94" s="92"/>
    </row>
    <row r="95" spans="1:14" x14ac:dyDescent="0.25">
      <c r="H95" s="92"/>
      <c r="I95" s="92"/>
      <c r="J95" s="92"/>
      <c r="K95" s="92"/>
      <c r="L95" s="92"/>
      <c r="M95" s="92"/>
      <c r="N95" s="92"/>
    </row>
    <row r="96" spans="1:14" x14ac:dyDescent="0.25">
      <c r="H96" s="92"/>
      <c r="I96" s="92"/>
      <c r="J96" s="92"/>
      <c r="K96" s="92"/>
      <c r="L96" s="92"/>
      <c r="M96" s="92"/>
      <c r="N96" s="92"/>
    </row>
    <row r="97" spans="8:14" x14ac:dyDescent="0.25">
      <c r="H97" s="92"/>
      <c r="I97" s="92"/>
      <c r="J97" s="92"/>
      <c r="K97" s="92"/>
      <c r="L97" s="92"/>
      <c r="M97" s="92"/>
      <c r="N97" s="92"/>
    </row>
    <row r="98" spans="8:14" x14ac:dyDescent="0.25">
      <c r="H98" s="92"/>
      <c r="I98" s="92"/>
      <c r="J98" s="92"/>
      <c r="K98" s="92"/>
      <c r="L98" s="92"/>
      <c r="M98" s="92"/>
      <c r="N98" s="92"/>
    </row>
    <row r="99" spans="8:14" x14ac:dyDescent="0.25">
      <c r="H99" s="92"/>
      <c r="I99" s="92"/>
      <c r="J99" s="92"/>
      <c r="K99" s="92"/>
      <c r="L99" s="92"/>
      <c r="M99" s="92"/>
      <c r="N99" s="92"/>
    </row>
    <row r="100" spans="8:14" x14ac:dyDescent="0.25">
      <c r="H100" s="92"/>
      <c r="I100" s="92"/>
      <c r="J100" s="92"/>
      <c r="K100" s="92"/>
      <c r="L100" s="92"/>
      <c r="M100" s="92"/>
      <c r="N100" s="92"/>
    </row>
    <row r="101" spans="8:14" x14ac:dyDescent="0.25">
      <c r="H101" s="92"/>
      <c r="I101" s="92"/>
      <c r="J101" s="92"/>
      <c r="K101" s="92"/>
      <c r="L101" s="92"/>
      <c r="M101" s="92"/>
      <c r="N101" s="92"/>
    </row>
    <row r="102" spans="8:14" x14ac:dyDescent="0.25">
      <c r="H102" s="92"/>
      <c r="I102" s="92"/>
      <c r="J102" s="92"/>
      <c r="K102" s="92"/>
      <c r="L102" s="92"/>
      <c r="M102" s="92"/>
      <c r="N102" s="92"/>
    </row>
    <row r="103" spans="8:14" x14ac:dyDescent="0.25">
      <c r="H103" s="92"/>
      <c r="I103" s="92"/>
      <c r="J103" s="92"/>
      <c r="K103" s="92"/>
      <c r="L103" s="92"/>
      <c r="M103" s="92"/>
      <c r="N103" s="92"/>
    </row>
    <row r="104" spans="8:14" x14ac:dyDescent="0.25">
      <c r="H104" s="92"/>
      <c r="I104" s="92"/>
      <c r="J104" s="92"/>
      <c r="K104" s="92"/>
      <c r="L104" s="92"/>
      <c r="M104" s="92"/>
      <c r="N104" s="92"/>
    </row>
    <row r="105" spans="8:14" x14ac:dyDescent="0.25">
      <c r="H105" s="92"/>
      <c r="I105" s="92"/>
      <c r="J105" s="92"/>
      <c r="K105" s="92"/>
      <c r="L105" s="92"/>
      <c r="M105" s="92"/>
      <c r="N105" s="92"/>
    </row>
    <row r="106" spans="8:14" x14ac:dyDescent="0.25">
      <c r="H106" s="92"/>
      <c r="I106" s="92"/>
      <c r="J106" s="92"/>
      <c r="K106" s="92"/>
      <c r="L106" s="92"/>
      <c r="M106" s="92"/>
      <c r="N106" s="92"/>
    </row>
    <row r="107" spans="8:14" x14ac:dyDescent="0.25">
      <c r="H107" s="92"/>
      <c r="I107" s="92"/>
      <c r="J107" s="92"/>
      <c r="K107" s="92"/>
      <c r="L107" s="92"/>
      <c r="M107" s="92"/>
      <c r="N107" s="92"/>
    </row>
    <row r="108" spans="8:14" x14ac:dyDescent="0.25">
      <c r="H108" s="92"/>
      <c r="I108" s="92"/>
      <c r="J108" s="92"/>
      <c r="K108" s="92"/>
      <c r="L108" s="92"/>
      <c r="M108" s="92"/>
      <c r="N108" s="92"/>
    </row>
    <row r="109" spans="8:14" x14ac:dyDescent="0.25">
      <c r="H109" s="92"/>
      <c r="I109" s="92"/>
      <c r="J109" s="92"/>
      <c r="K109" s="92"/>
      <c r="L109" s="92"/>
      <c r="M109" s="92"/>
      <c r="N109" s="92"/>
    </row>
    <row r="110" spans="8:14" x14ac:dyDescent="0.25">
      <c r="H110" s="92"/>
      <c r="I110" s="92"/>
      <c r="J110" s="92"/>
      <c r="K110" s="92"/>
      <c r="L110" s="92"/>
      <c r="M110" s="92"/>
      <c r="N110" s="92"/>
    </row>
    <row r="111" spans="8:14" x14ac:dyDescent="0.25">
      <c r="H111" s="92"/>
      <c r="I111" s="92"/>
      <c r="J111" s="92"/>
      <c r="K111" s="92"/>
      <c r="L111" s="92"/>
      <c r="M111" s="92"/>
      <c r="N111" s="92"/>
    </row>
    <row r="112" spans="8:14" x14ac:dyDescent="0.25">
      <c r="H112" s="92"/>
      <c r="I112" s="92"/>
      <c r="J112" s="92"/>
      <c r="K112" s="92"/>
      <c r="L112" s="92"/>
      <c r="M112" s="92"/>
      <c r="N112" s="92"/>
    </row>
    <row r="113" spans="8:14" x14ac:dyDescent="0.25">
      <c r="H113" s="92"/>
      <c r="I113" s="92"/>
      <c r="J113" s="92"/>
      <c r="K113" s="92"/>
      <c r="L113" s="92"/>
      <c r="M113" s="92"/>
      <c r="N113" s="92"/>
    </row>
    <row r="114" spans="8:14" x14ac:dyDescent="0.25">
      <c r="H114" s="92"/>
      <c r="I114" s="92"/>
      <c r="J114" s="92"/>
      <c r="K114" s="92"/>
      <c r="L114" s="92"/>
      <c r="M114" s="92"/>
      <c r="N114" s="92"/>
    </row>
    <row r="115" spans="8:14" x14ac:dyDescent="0.25">
      <c r="H115" s="92"/>
      <c r="I115" s="92"/>
      <c r="J115" s="92"/>
      <c r="K115" s="92"/>
      <c r="L115" s="92"/>
      <c r="M115" s="92"/>
      <c r="N115" s="92"/>
    </row>
    <row r="116" spans="8:14" x14ac:dyDescent="0.25">
      <c r="H116" s="92"/>
      <c r="I116" s="92"/>
      <c r="J116" s="92"/>
      <c r="K116" s="92"/>
      <c r="L116" s="92"/>
      <c r="M116" s="92"/>
      <c r="N116" s="92"/>
    </row>
    <row r="117" spans="8:14" x14ac:dyDescent="0.25">
      <c r="H117" s="92"/>
      <c r="I117" s="92"/>
      <c r="J117" s="92"/>
      <c r="K117" s="92"/>
      <c r="L117" s="92"/>
      <c r="M117" s="92"/>
      <c r="N117" s="92"/>
    </row>
    <row r="118" spans="8:14" x14ac:dyDescent="0.25">
      <c r="H118" s="92"/>
      <c r="I118" s="92"/>
      <c r="J118" s="92"/>
      <c r="K118" s="92"/>
      <c r="L118" s="92"/>
      <c r="M118" s="92"/>
      <c r="N118" s="92"/>
    </row>
    <row r="119" spans="8:14" x14ac:dyDescent="0.25">
      <c r="H119" s="92"/>
      <c r="I119" s="92"/>
      <c r="J119" s="92"/>
      <c r="K119" s="92"/>
      <c r="L119" s="92"/>
      <c r="M119" s="92"/>
      <c r="N119" s="92"/>
    </row>
    <row r="120" spans="8:14" x14ac:dyDescent="0.25">
      <c r="H120" s="92"/>
      <c r="I120" s="92"/>
      <c r="J120" s="92"/>
      <c r="K120" s="92"/>
      <c r="L120" s="92"/>
      <c r="M120" s="92"/>
      <c r="N120" s="92"/>
    </row>
    <row r="121" spans="8:14" x14ac:dyDescent="0.25">
      <c r="H121" s="92"/>
      <c r="I121" s="92"/>
      <c r="J121" s="92"/>
      <c r="K121" s="92"/>
      <c r="L121" s="92"/>
      <c r="M121" s="92"/>
      <c r="N121" s="92"/>
    </row>
    <row r="122" spans="8:14" x14ac:dyDescent="0.25">
      <c r="H122" s="92"/>
      <c r="I122" s="92"/>
      <c r="J122" s="92"/>
      <c r="K122" s="92"/>
      <c r="L122" s="92"/>
      <c r="M122" s="92"/>
      <c r="N122" s="92"/>
    </row>
  </sheetData>
  <mergeCells count="27">
    <mergeCell ref="B56:F59"/>
    <mergeCell ref="B61:F64"/>
    <mergeCell ref="B66:F68"/>
    <mergeCell ref="I75:J75"/>
    <mergeCell ref="K72:L72"/>
    <mergeCell ref="K73:L73"/>
    <mergeCell ref="K74:L74"/>
    <mergeCell ref="K75:L75"/>
    <mergeCell ref="I72:J72"/>
    <mergeCell ref="I73:J73"/>
    <mergeCell ref="K54:L54"/>
    <mergeCell ref="I54:J54"/>
    <mergeCell ref="I74:J74"/>
    <mergeCell ref="I63:J63"/>
    <mergeCell ref="K63:L63"/>
    <mergeCell ref="B38:F42"/>
    <mergeCell ref="B43:F49"/>
    <mergeCell ref="K47:L47"/>
    <mergeCell ref="I47:J47"/>
    <mergeCell ref="B51:F54"/>
    <mergeCell ref="C4:F4"/>
    <mergeCell ref="B32:F36"/>
    <mergeCell ref="E5:E6"/>
    <mergeCell ref="F5:F6"/>
    <mergeCell ref="B5:B6"/>
    <mergeCell ref="C5:C6"/>
    <mergeCell ref="D5:D6"/>
  </mergeCells>
  <phoneticPr fontId="36" type="noConversion"/>
  <hyperlinks>
    <hyperlink ref="K39" r:id="rId1" xr:uid="{9FD7022B-ED17-4CE2-A20D-557F42F3B3D3}"/>
    <hyperlink ref="K41" r:id="rId2" xr:uid="{752FA861-87D8-4E0F-9702-0669BE1B0C86}"/>
    <hyperlink ref="K42" r:id="rId3" xr:uid="{5DA872CB-0499-44B9-9E58-B42DA7F14D8B}"/>
    <hyperlink ref="K43" r:id="rId4" xr:uid="{89E96D13-12BD-474F-BE17-8849400D694A}"/>
    <hyperlink ref="K44" r:id="rId5" xr:uid="{C00029BC-EF67-43B0-8D57-9C8C0EFE10BA}"/>
    <hyperlink ref="Q38" r:id="rId6" xr:uid="{64E4D1C8-456A-476A-8A76-4612A003EEB9}"/>
    <hyperlink ref="AC34" r:id="rId7" xr:uid="{7DD40316-235B-46A0-A287-DCF234CBF373}"/>
    <hyperlink ref="AC35" r:id="rId8" xr:uid="{CB42EEF1-D0B0-421F-ADE1-F4C1F180E6A2}"/>
  </hyperlinks>
  <pageMargins left="0.25" right="0.25" top="0.75" bottom="0.75" header="0.3" footer="0.3"/>
  <pageSetup paperSize="3" scale="51" orientation="landscape"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4DCA-2E10-4245-B375-96735B53068C}">
  <sheetPr>
    <pageSetUpPr fitToPage="1"/>
  </sheetPr>
  <dimension ref="A1:V81"/>
  <sheetViews>
    <sheetView view="pageBreakPreview" topLeftCell="A22" zoomScale="70" zoomScaleNormal="40" zoomScaleSheetLayoutView="70" workbookViewId="0">
      <selection activeCell="B53" sqref="B53:F56"/>
    </sheetView>
  </sheetViews>
  <sheetFormatPr defaultRowHeight="15" x14ac:dyDescent="0.25"/>
  <cols>
    <col min="1" max="1" width="9.140625" style="28"/>
    <col min="2" max="2" width="23.7109375" style="28" bestFit="1" customWidth="1"/>
    <col min="3" max="4" width="12.85546875" style="28" customWidth="1"/>
    <col min="5" max="5" width="15.7109375" style="28" customWidth="1"/>
    <col min="6" max="7" width="15.85546875" style="28" customWidth="1"/>
    <col min="8" max="8" width="53.140625" style="316" customWidth="1"/>
    <col min="9" max="12" width="45.7109375" style="28" customWidth="1"/>
    <col min="13" max="13" width="30.7109375" style="28" customWidth="1"/>
    <col min="14" max="14" width="15.7109375" style="28" customWidth="1"/>
    <col min="15" max="15" width="34" style="28" bestFit="1" customWidth="1"/>
    <col min="16" max="16" width="13.140625" style="28" bestFit="1" customWidth="1"/>
    <col min="17" max="19" width="13.7109375" style="28" customWidth="1"/>
    <col min="20" max="20" width="20" style="28" customWidth="1"/>
    <col min="21" max="21" width="9" style="28" customWidth="1"/>
    <col min="22" max="16384" width="9.140625" style="28"/>
  </cols>
  <sheetData>
    <row r="1" spans="1:22" ht="15" customHeight="1" x14ac:dyDescent="0.25">
      <c r="A1" s="50"/>
      <c r="B1" s="47"/>
      <c r="C1" s="47"/>
      <c r="D1" s="47"/>
    </row>
    <row r="2" spans="1:22" ht="15" customHeight="1" x14ac:dyDescent="0.25">
      <c r="A2" s="62"/>
      <c r="U2" s="29"/>
    </row>
    <row r="3" spans="1:22" ht="15.75" thickBot="1" x14ac:dyDescent="0.3">
      <c r="B3" s="10" t="s">
        <v>28</v>
      </c>
      <c r="C3" s="10"/>
      <c r="D3" s="10"/>
    </row>
    <row r="4" spans="1:22" ht="15.75" thickBot="1" x14ac:dyDescent="0.3">
      <c r="B4" s="10"/>
      <c r="C4" s="509" t="s">
        <v>112</v>
      </c>
      <c r="D4" s="510"/>
      <c r="E4" s="510"/>
      <c r="F4" s="533"/>
    </row>
    <row r="5" spans="1:22" ht="30" customHeight="1" x14ac:dyDescent="0.25">
      <c r="B5" s="538" t="s">
        <v>0</v>
      </c>
      <c r="C5" s="538" t="s">
        <v>97</v>
      </c>
      <c r="D5" s="538" t="s">
        <v>98</v>
      </c>
      <c r="E5" s="534" t="s">
        <v>73</v>
      </c>
      <c r="F5" s="536" t="s">
        <v>1</v>
      </c>
      <c r="G5" s="221"/>
      <c r="Q5" s="35"/>
      <c r="R5" s="35"/>
    </row>
    <row r="6" spans="1:22" ht="30" customHeight="1" thickBot="1" x14ac:dyDescent="0.3">
      <c r="B6" s="539"/>
      <c r="C6" s="539"/>
      <c r="D6" s="539"/>
      <c r="E6" s="535"/>
      <c r="F6" s="537"/>
      <c r="G6" s="221"/>
      <c r="N6" s="75"/>
      <c r="Q6" s="35"/>
      <c r="R6" s="35"/>
    </row>
    <row r="7" spans="1:22" ht="17.25" x14ac:dyDescent="0.25">
      <c r="B7" s="48">
        <f>Assumptions!$D$8</f>
        <v>2028</v>
      </c>
      <c r="C7" s="207">
        <f>TREND($I$30:$J$30,$I$27:$J$27,B7)</f>
        <v>2082676.9754166156</v>
      </c>
      <c r="D7" s="207">
        <f>TREND($K$30:$L$30,$K$27:$L$27,B7)</f>
        <v>830218.69243928045</v>
      </c>
      <c r="E7" s="129">
        <f>C7-D7</f>
        <v>1252458.2829773352</v>
      </c>
      <c r="F7" s="122">
        <f>E7*(1+0.07)^-(B7-Assumptions!$D$4)</f>
        <v>728942.12378070434</v>
      </c>
      <c r="G7" s="49"/>
      <c r="H7" s="317" t="s">
        <v>330</v>
      </c>
      <c r="N7" s="75"/>
      <c r="P7" s="92"/>
      <c r="Q7" s="92"/>
      <c r="R7" s="92"/>
      <c r="S7" s="92"/>
      <c r="T7" s="92"/>
      <c r="U7" s="92"/>
      <c r="V7" s="92"/>
    </row>
    <row r="8" spans="1:22" x14ac:dyDescent="0.25">
      <c r="B8" s="31">
        <f>+B7+1</f>
        <v>2029</v>
      </c>
      <c r="C8" s="208">
        <f t="shared" ref="C8:C26" si="0">TREND($I$30:$J$30,$I$27:$J$27,B8)</f>
        <v>2104902.4507360533</v>
      </c>
      <c r="D8" s="208">
        <f t="shared" ref="D8:D26" si="1">TREND($K$30:$L$30,$K$27:$L$27,B8)</f>
        <v>847961.00612765551</v>
      </c>
      <c r="E8" s="130">
        <f t="shared" ref="E8:E26" si="2">C8-D8</f>
        <v>1256941.4446083978</v>
      </c>
      <c r="F8" s="117">
        <f>E8*(1+0.07)^-(B8-Assumptions!$D$4)</f>
        <v>683692.86417497147</v>
      </c>
      <c r="G8" s="49"/>
      <c r="H8" s="187" t="s">
        <v>29</v>
      </c>
      <c r="I8" s="187" t="s">
        <v>30</v>
      </c>
      <c r="J8" s="187" t="s">
        <v>31</v>
      </c>
      <c r="K8" s="187" t="s">
        <v>32</v>
      </c>
      <c r="L8" s="187" t="s">
        <v>33</v>
      </c>
      <c r="N8" s="60"/>
      <c r="P8" s="92"/>
      <c r="Q8" s="92"/>
      <c r="R8" s="92"/>
      <c r="S8" s="92"/>
      <c r="T8" s="92"/>
      <c r="U8" s="92"/>
      <c r="V8" s="92"/>
    </row>
    <row r="9" spans="1:22" ht="15" customHeight="1" x14ac:dyDescent="0.25">
      <c r="B9" s="31">
        <f t="shared" ref="B9:B26" si="3">+B8+1</f>
        <v>2030</v>
      </c>
      <c r="C9" s="208">
        <f t="shared" si="0"/>
        <v>2127127.926055491</v>
      </c>
      <c r="D9" s="208">
        <f t="shared" si="1"/>
        <v>865703.31981602311</v>
      </c>
      <c r="E9" s="130">
        <f t="shared" si="2"/>
        <v>1261424.6062394679</v>
      </c>
      <c r="F9" s="117">
        <f>E9*(1+0.07)^-(B9-Assumptions!$D$4)</f>
        <v>641244.30566314864</v>
      </c>
      <c r="G9" s="49"/>
      <c r="H9" s="145">
        <v>12837400</v>
      </c>
      <c r="I9" s="145">
        <v>554800</v>
      </c>
      <c r="J9" s="145">
        <v>151100</v>
      </c>
      <c r="K9" s="145">
        <v>77200</v>
      </c>
      <c r="L9" s="145">
        <v>4600</v>
      </c>
      <c r="N9" s="231"/>
      <c r="P9" s="92"/>
      <c r="Q9" s="92"/>
      <c r="R9" s="92"/>
      <c r="S9" s="92"/>
      <c r="T9" s="92"/>
      <c r="U9" s="92"/>
      <c r="V9" s="92"/>
    </row>
    <row r="10" spans="1:22" x14ac:dyDescent="0.25">
      <c r="B10" s="31">
        <f t="shared" si="3"/>
        <v>2031</v>
      </c>
      <c r="C10" s="208">
        <f t="shared" si="0"/>
        <v>2149353.4013749287</v>
      </c>
      <c r="D10" s="208">
        <f t="shared" si="1"/>
        <v>883445.63350439817</v>
      </c>
      <c r="E10" s="130">
        <f t="shared" si="2"/>
        <v>1265907.7678705305</v>
      </c>
      <c r="F10" s="117">
        <f>E10*(1+0.07)^-(B10-Assumptions!$D$4)</f>
        <v>601423.66140637826</v>
      </c>
      <c r="G10" s="49"/>
      <c r="H10" s="299"/>
      <c r="I10" s="87"/>
      <c r="J10" s="74"/>
      <c r="K10" s="61"/>
      <c r="L10" s="35"/>
      <c r="M10" s="35"/>
      <c r="N10" s="231"/>
      <c r="P10" s="92"/>
      <c r="Q10" s="92"/>
      <c r="R10" s="92"/>
      <c r="S10" s="92"/>
      <c r="T10" s="92"/>
      <c r="U10" s="92"/>
      <c r="V10" s="92"/>
    </row>
    <row r="11" spans="1:22" x14ac:dyDescent="0.25">
      <c r="B11" s="31">
        <f t="shared" si="3"/>
        <v>2032</v>
      </c>
      <c r="C11" s="208">
        <f t="shared" si="0"/>
        <v>2171578.8766943663</v>
      </c>
      <c r="D11" s="208">
        <f t="shared" si="1"/>
        <v>901187.94719277322</v>
      </c>
      <c r="E11" s="130">
        <f t="shared" si="2"/>
        <v>1270390.9295015931</v>
      </c>
      <c r="F11" s="117">
        <f>E11*(1+0.07)^-(B11-Assumptions!$D$4)</f>
        <v>564068.76560966112</v>
      </c>
      <c r="G11" s="49"/>
      <c r="H11" s="300" t="s">
        <v>329</v>
      </c>
      <c r="I11" s="92"/>
      <c r="J11" s="92"/>
      <c r="K11" s="92"/>
      <c r="L11" s="92"/>
      <c r="M11" s="92"/>
      <c r="N11" s="231"/>
      <c r="P11" s="92"/>
      <c r="Q11" s="92"/>
      <c r="R11" s="92"/>
      <c r="S11" s="92"/>
      <c r="T11" s="92"/>
      <c r="U11" s="92"/>
      <c r="V11" s="92"/>
    </row>
    <row r="12" spans="1:22" x14ac:dyDescent="0.25">
      <c r="B12" s="31">
        <f t="shared" si="3"/>
        <v>2033</v>
      </c>
      <c r="C12" s="208">
        <f t="shared" si="0"/>
        <v>2193804.3520138115</v>
      </c>
      <c r="D12" s="208">
        <f t="shared" si="1"/>
        <v>918930.26088114083</v>
      </c>
      <c r="E12" s="130">
        <f t="shared" si="2"/>
        <v>1274874.0911326706</v>
      </c>
      <c r="F12" s="117">
        <f>E12*(1+0.07)^-(B12-Assumptions!$D$4)</f>
        <v>529027.42335426982</v>
      </c>
      <c r="G12" s="49"/>
      <c r="H12" s="255" t="s">
        <v>100</v>
      </c>
      <c r="I12" s="100" t="s">
        <v>29</v>
      </c>
      <c r="J12" s="240" t="s">
        <v>30</v>
      </c>
      <c r="K12" s="240" t="s">
        <v>31</v>
      </c>
      <c r="L12" s="240" t="s">
        <v>32</v>
      </c>
      <c r="M12" s="240" t="s">
        <v>33</v>
      </c>
      <c r="N12" s="231"/>
      <c r="P12" s="92"/>
      <c r="Q12" s="92"/>
      <c r="R12" s="92"/>
      <c r="S12" s="92"/>
      <c r="T12" s="92"/>
      <c r="U12" s="92"/>
      <c r="V12" s="92"/>
    </row>
    <row r="13" spans="1:22" x14ac:dyDescent="0.25">
      <c r="B13" s="31">
        <f t="shared" si="3"/>
        <v>2034</v>
      </c>
      <c r="C13" s="208">
        <f t="shared" si="0"/>
        <v>2216029.8273332492</v>
      </c>
      <c r="D13" s="208">
        <f t="shared" si="1"/>
        <v>936672.57456951588</v>
      </c>
      <c r="E13" s="130">
        <f t="shared" si="2"/>
        <v>1279357.2527637333</v>
      </c>
      <c r="F13" s="117">
        <f>E13*(1+0.07)^-(B13-Assumptions!$D$4)</f>
        <v>496156.80004233541</v>
      </c>
      <c r="G13" s="49"/>
      <c r="H13" s="242" t="s">
        <v>101</v>
      </c>
      <c r="I13" s="199">
        <v>0</v>
      </c>
      <c r="J13" s="199">
        <v>2</v>
      </c>
      <c r="K13" s="199">
        <v>9</v>
      </c>
      <c r="L13" s="199">
        <v>8</v>
      </c>
      <c r="M13" s="199">
        <v>30</v>
      </c>
      <c r="P13" s="92"/>
      <c r="Q13" s="92"/>
      <c r="R13" s="92"/>
      <c r="S13" s="92"/>
      <c r="T13" s="92"/>
      <c r="U13" s="92"/>
      <c r="V13" s="92"/>
    </row>
    <row r="14" spans="1:22" x14ac:dyDescent="0.25">
      <c r="B14" s="31">
        <f t="shared" si="3"/>
        <v>2035</v>
      </c>
      <c r="C14" s="208">
        <f t="shared" si="0"/>
        <v>2238255.3026526868</v>
      </c>
      <c r="D14" s="208">
        <f t="shared" si="1"/>
        <v>954414.88825789094</v>
      </c>
      <c r="E14" s="130">
        <f t="shared" si="2"/>
        <v>1283840.4143947959</v>
      </c>
      <c r="F14" s="117">
        <f>E14*(1+0.07)^-(B14-Assumptions!$D$4)</f>
        <v>465322.84805339138</v>
      </c>
      <c r="G14" s="49"/>
      <c r="H14" s="242" t="s">
        <v>102</v>
      </c>
      <c r="I14" s="199">
        <v>1</v>
      </c>
      <c r="J14" s="199"/>
      <c r="K14" s="199">
        <v>3</v>
      </c>
      <c r="L14" s="199">
        <v>2</v>
      </c>
      <c r="M14" s="199">
        <v>16</v>
      </c>
      <c r="O14" s="35"/>
      <c r="P14" s="92"/>
      <c r="Q14" s="92"/>
      <c r="R14" s="92"/>
      <c r="S14" s="92"/>
      <c r="T14" s="92"/>
      <c r="U14" s="92"/>
      <c r="V14" s="92"/>
    </row>
    <row r="15" spans="1:22" x14ac:dyDescent="0.25">
      <c r="B15" s="31">
        <f t="shared" si="3"/>
        <v>2036</v>
      </c>
      <c r="C15" s="208">
        <f t="shared" si="0"/>
        <v>2260480.7779721245</v>
      </c>
      <c r="D15" s="208">
        <f t="shared" si="1"/>
        <v>972157.20194625854</v>
      </c>
      <c r="E15" s="130">
        <f t="shared" si="2"/>
        <v>1288323.576025866</v>
      </c>
      <c r="F15" s="117">
        <f>E15*(1+0.07)^-(B15-Assumptions!$D$4)</f>
        <v>436399.76835699641</v>
      </c>
      <c r="G15" s="49"/>
      <c r="O15" s="227"/>
      <c r="P15" s="92"/>
      <c r="Q15" s="92"/>
      <c r="R15" s="92"/>
      <c r="S15" s="92"/>
      <c r="T15" s="92"/>
      <c r="U15" s="92"/>
      <c r="V15" s="92"/>
    </row>
    <row r="16" spans="1:22" ht="17.25" x14ac:dyDescent="0.25">
      <c r="B16" s="31">
        <f t="shared" si="3"/>
        <v>2037</v>
      </c>
      <c r="C16" s="208">
        <f t="shared" si="0"/>
        <v>2282706.2532915622</v>
      </c>
      <c r="D16" s="208">
        <f t="shared" si="1"/>
        <v>989899.5156346336</v>
      </c>
      <c r="E16" s="130">
        <f t="shared" si="2"/>
        <v>1292806.7376569286</v>
      </c>
      <c r="F16" s="117">
        <f>E16*(1+0.07)^-(B16-Assumptions!$D$4)</f>
        <v>409269.50496163697</v>
      </c>
      <c r="G16" s="49"/>
      <c r="H16" s="300" t="s">
        <v>103</v>
      </c>
      <c r="I16" s="92"/>
      <c r="O16" s="227"/>
      <c r="P16" s="92"/>
      <c r="Q16" s="92"/>
      <c r="R16" s="92"/>
      <c r="S16" s="92"/>
      <c r="T16" s="92"/>
      <c r="U16" s="92"/>
      <c r="V16" s="92"/>
    </row>
    <row r="17" spans="1:22" x14ac:dyDescent="0.25">
      <c r="B17" s="31">
        <f t="shared" si="3"/>
        <v>2038</v>
      </c>
      <c r="C17" s="208">
        <f t="shared" si="0"/>
        <v>2304931.7286109999</v>
      </c>
      <c r="D17" s="208">
        <f t="shared" si="1"/>
        <v>1007641.8293230087</v>
      </c>
      <c r="E17" s="130">
        <f t="shared" si="2"/>
        <v>1297289.8992879912</v>
      </c>
      <c r="F17" s="117">
        <f>E17*(1+0.07)^-(B17-Assumptions!$D$4)</f>
        <v>383821.27020779689</v>
      </c>
      <c r="G17" s="49"/>
      <c r="H17" s="255" t="s">
        <v>99</v>
      </c>
      <c r="I17" s="100" t="s">
        <v>105</v>
      </c>
      <c r="J17" s="100" t="s">
        <v>106</v>
      </c>
      <c r="K17" s="100" t="s">
        <v>107</v>
      </c>
      <c r="L17" s="63"/>
      <c r="O17" s="227"/>
      <c r="P17" s="92"/>
      <c r="Q17" s="92"/>
      <c r="R17" s="92"/>
      <c r="S17" s="92"/>
      <c r="T17" s="92"/>
      <c r="U17" s="92"/>
      <c r="V17" s="92"/>
    </row>
    <row r="18" spans="1:22" x14ac:dyDescent="0.25">
      <c r="B18" s="31">
        <f t="shared" si="3"/>
        <v>2039</v>
      </c>
      <c r="C18" s="208">
        <f t="shared" si="0"/>
        <v>2327157.203930445</v>
      </c>
      <c r="D18" s="208">
        <f t="shared" si="1"/>
        <v>1025384.1430113763</v>
      </c>
      <c r="E18" s="130">
        <f t="shared" si="2"/>
        <v>1301773.0609190688</v>
      </c>
      <c r="F18" s="117">
        <f>E18*(1+0.07)^-(B18-Assumptions!$D$4)</f>
        <v>359951.09903314972</v>
      </c>
      <c r="G18" s="49"/>
      <c r="H18" s="249" t="s">
        <v>104</v>
      </c>
      <c r="I18" s="199">
        <v>0.28000000000000003</v>
      </c>
      <c r="J18" s="232" t="s">
        <v>108</v>
      </c>
      <c r="K18" s="232" t="s">
        <v>109</v>
      </c>
      <c r="L18" s="306" t="s">
        <v>176</v>
      </c>
      <c r="M18" s="29"/>
      <c r="O18" s="227"/>
      <c r="P18" s="92"/>
      <c r="Q18" s="92"/>
      <c r="R18" s="92"/>
      <c r="S18" s="92"/>
      <c r="T18" s="92"/>
      <c r="U18" s="92"/>
      <c r="V18" s="92"/>
    </row>
    <row r="19" spans="1:22" x14ac:dyDescent="0.25">
      <c r="B19" s="31">
        <f t="shared" si="3"/>
        <v>2040</v>
      </c>
      <c r="C19" s="208">
        <f t="shared" si="0"/>
        <v>2349382.6792498827</v>
      </c>
      <c r="D19" s="208">
        <f t="shared" si="1"/>
        <v>1043126.4566997513</v>
      </c>
      <c r="E19" s="130">
        <f t="shared" si="2"/>
        <v>1306256.2225501314</v>
      </c>
      <c r="F19" s="117">
        <f>E19*(1+0.07)^-(B19-Assumptions!$D$4)</f>
        <v>337561.43045081588</v>
      </c>
      <c r="G19" s="49"/>
      <c r="H19" s="249" t="s">
        <v>104</v>
      </c>
      <c r="I19" s="199">
        <v>0.56000000000000005</v>
      </c>
      <c r="J19" s="232" t="s">
        <v>110</v>
      </c>
      <c r="K19" s="232" t="s">
        <v>109</v>
      </c>
      <c r="L19" s="307" t="s">
        <v>177</v>
      </c>
      <c r="M19" s="29"/>
      <c r="O19" s="229"/>
      <c r="P19" s="92"/>
      <c r="Q19" s="92"/>
      <c r="R19" s="92"/>
      <c r="S19" s="92"/>
      <c r="T19" s="92"/>
      <c r="U19" s="92"/>
      <c r="V19" s="92"/>
    </row>
    <row r="20" spans="1:22" x14ac:dyDescent="0.25">
      <c r="B20" s="31">
        <f t="shared" si="3"/>
        <v>2041</v>
      </c>
      <c r="C20" s="208">
        <f t="shared" si="0"/>
        <v>2371608.1545693204</v>
      </c>
      <c r="D20" s="208">
        <f t="shared" si="1"/>
        <v>1060868.7703881264</v>
      </c>
      <c r="E20" s="130">
        <f t="shared" si="2"/>
        <v>1310739.384181194</v>
      </c>
      <c r="F20" s="117">
        <f>E20*(1+0.07)^-(B20-Assumptions!$D$4)</f>
        <v>316560.71458782104</v>
      </c>
      <c r="G20" s="49"/>
      <c r="N20" s="218"/>
      <c r="O20" s="39"/>
      <c r="P20" s="92"/>
      <c r="Q20" s="92"/>
      <c r="R20" s="92"/>
      <c r="S20" s="92"/>
      <c r="T20" s="92"/>
      <c r="U20" s="92"/>
      <c r="V20" s="92"/>
    </row>
    <row r="21" spans="1:22" x14ac:dyDescent="0.25">
      <c r="B21" s="31">
        <f t="shared" si="3"/>
        <v>2042</v>
      </c>
      <c r="C21" s="208">
        <f t="shared" si="0"/>
        <v>2393833.6298887581</v>
      </c>
      <c r="D21" s="208">
        <f t="shared" si="1"/>
        <v>1078611.084076494</v>
      </c>
      <c r="E21" s="130">
        <f t="shared" si="2"/>
        <v>1315222.5458122641</v>
      </c>
      <c r="F21" s="117">
        <f>E21*(1+0.07)^-(B21-Assumptions!$D$4)</f>
        <v>296863.04373056424</v>
      </c>
      <c r="G21" s="49"/>
      <c r="H21" s="318" t="s">
        <v>191</v>
      </c>
      <c r="I21" s="545" t="s">
        <v>17</v>
      </c>
      <c r="J21" s="546"/>
      <c r="K21" s="504" t="s">
        <v>18</v>
      </c>
      <c r="L21" s="504"/>
      <c r="N21" s="218"/>
      <c r="P21" s="92"/>
      <c r="Q21" s="92"/>
      <c r="R21" s="92"/>
      <c r="S21" s="92"/>
      <c r="T21" s="92"/>
      <c r="U21" s="92"/>
      <c r="V21" s="92"/>
    </row>
    <row r="22" spans="1:22" x14ac:dyDescent="0.25">
      <c r="B22" s="31">
        <f t="shared" si="3"/>
        <v>2043</v>
      </c>
      <c r="C22" s="208">
        <f t="shared" si="0"/>
        <v>2416059.1052081957</v>
      </c>
      <c r="D22" s="208">
        <f t="shared" si="1"/>
        <v>1096353.397764869</v>
      </c>
      <c r="E22" s="130">
        <f t="shared" si="2"/>
        <v>1319705.7074433267</v>
      </c>
      <c r="F22" s="117">
        <f>E22*(1+0.07)^-(B22-Assumptions!$D$4)</f>
        <v>278387.80591805809</v>
      </c>
      <c r="G22" s="49"/>
      <c r="H22" s="319" t="s">
        <v>100</v>
      </c>
      <c r="I22" s="57">
        <v>2018</v>
      </c>
      <c r="J22" s="57">
        <v>2040</v>
      </c>
      <c r="K22" s="57">
        <v>2018</v>
      </c>
      <c r="L22" s="57">
        <v>2040</v>
      </c>
      <c r="N22" s="226"/>
      <c r="P22" s="92"/>
      <c r="Q22" s="92"/>
      <c r="R22" s="92"/>
      <c r="S22" s="92"/>
      <c r="T22" s="92"/>
      <c r="U22" s="92"/>
      <c r="V22" s="92"/>
    </row>
    <row r="23" spans="1:22" x14ac:dyDescent="0.25">
      <c r="B23" s="31">
        <f t="shared" si="3"/>
        <v>2044</v>
      </c>
      <c r="C23" s="208">
        <f t="shared" si="0"/>
        <v>2438284.5805276334</v>
      </c>
      <c r="D23" s="208">
        <f t="shared" si="1"/>
        <v>1114095.7114532366</v>
      </c>
      <c r="E23" s="130">
        <f t="shared" si="2"/>
        <v>1324188.8690743968</v>
      </c>
      <c r="F23" s="117">
        <f>E23*(1+0.07)^-(B23-Assumptions!$D$4)</f>
        <v>261059.35971183659</v>
      </c>
      <c r="G23" s="49"/>
      <c r="H23" s="320" t="s">
        <v>114</v>
      </c>
      <c r="I23" s="185">
        <f>'Travel Time - Interchange'!J14</f>
        <v>2126</v>
      </c>
      <c r="J23" s="185">
        <f>'Travel Time - Interchange'!K14</f>
        <v>2741</v>
      </c>
      <c r="K23" s="185">
        <f>'Travel Time - Interchange'!L14</f>
        <v>2285.4499999999998</v>
      </c>
      <c r="L23" s="185">
        <f>'Travel Time - Interchange'!M14</f>
        <v>3704</v>
      </c>
      <c r="N23" s="218"/>
      <c r="O23" s="35"/>
      <c r="P23" s="92"/>
      <c r="Q23" s="92"/>
      <c r="R23" s="92"/>
      <c r="S23" s="92"/>
      <c r="T23" s="92"/>
      <c r="U23" s="92"/>
      <c r="V23" s="92"/>
    </row>
    <row r="24" spans="1:22" x14ac:dyDescent="0.25">
      <c r="B24" s="31">
        <f t="shared" si="3"/>
        <v>2045</v>
      </c>
      <c r="C24" s="208">
        <f t="shared" si="0"/>
        <v>2460510.0558470786</v>
      </c>
      <c r="D24" s="208">
        <f t="shared" si="1"/>
        <v>1131838.0251416117</v>
      </c>
      <c r="E24" s="130">
        <f t="shared" si="2"/>
        <v>1328672.0307054669</v>
      </c>
      <c r="F24" s="117">
        <f>E24*(1+0.07)^-(B24-Assumptions!$D$4)</f>
        <v>244806.72885428611</v>
      </c>
      <c r="G24" s="49"/>
      <c r="H24" s="320" t="s">
        <v>115</v>
      </c>
      <c r="I24" s="185">
        <f>'Travel Time - Interchange'!J15</f>
        <v>2534</v>
      </c>
      <c r="J24" s="185">
        <f>'Travel Time - Interchange'!K15</f>
        <v>3184</v>
      </c>
      <c r="K24" s="185">
        <f>'Travel Time - Interchange'!L15</f>
        <v>2724.05</v>
      </c>
      <c r="L24" s="185">
        <f>'Travel Time - Interchange'!M15</f>
        <v>4324</v>
      </c>
      <c r="O24" s="35"/>
      <c r="P24" s="92"/>
      <c r="Q24" s="92"/>
      <c r="R24" s="92"/>
      <c r="S24" s="92"/>
      <c r="T24" s="92"/>
      <c r="U24" s="92"/>
      <c r="V24" s="92"/>
    </row>
    <row r="25" spans="1:22" x14ac:dyDescent="0.25">
      <c r="B25" s="31">
        <f t="shared" si="3"/>
        <v>2046</v>
      </c>
      <c r="C25" s="208">
        <f t="shared" si="0"/>
        <v>2482735.5311665162</v>
      </c>
      <c r="D25" s="208">
        <f t="shared" si="1"/>
        <v>1149580.3388299868</v>
      </c>
      <c r="E25" s="130">
        <f t="shared" si="2"/>
        <v>1333155.1923365295</v>
      </c>
      <c r="F25" s="117">
        <f>E25*(1+0.07)^-(B25-Assumptions!$D$4)</f>
        <v>229563.31560514832</v>
      </c>
      <c r="G25" s="49"/>
      <c r="P25" s="92"/>
      <c r="Q25" s="92"/>
      <c r="R25" s="92"/>
      <c r="S25" s="92"/>
      <c r="T25" s="92"/>
      <c r="U25" s="92"/>
      <c r="V25" s="92"/>
    </row>
    <row r="26" spans="1:22" ht="15.75" thickBot="1" x14ac:dyDescent="0.3">
      <c r="B26" s="32">
        <f t="shared" si="3"/>
        <v>2047</v>
      </c>
      <c r="C26" s="209">
        <f t="shared" si="0"/>
        <v>2504961.0064859539</v>
      </c>
      <c r="D26" s="209">
        <f t="shared" si="1"/>
        <v>1167322.6525183544</v>
      </c>
      <c r="E26" s="131">
        <f t="shared" si="2"/>
        <v>1337638.3539675996</v>
      </c>
      <c r="F26" s="118">
        <f>E26*(1+0.07)^-(B26-Assumptions!$D$4)</f>
        <v>215266.63161912182</v>
      </c>
      <c r="G26" s="49"/>
      <c r="H26" s="300" t="s">
        <v>111</v>
      </c>
      <c r="I26" s="545" t="s">
        <v>17</v>
      </c>
      <c r="J26" s="546"/>
      <c r="K26" s="504" t="s">
        <v>18</v>
      </c>
      <c r="L26" s="504"/>
      <c r="P26" s="92"/>
      <c r="Q26" s="92"/>
      <c r="R26" s="92"/>
      <c r="S26" s="92"/>
      <c r="T26" s="92"/>
      <c r="U26" s="92"/>
      <c r="V26" s="92"/>
    </row>
    <row r="27" spans="1:22" ht="15.75" thickBot="1" x14ac:dyDescent="0.3">
      <c r="B27" s="33"/>
      <c r="C27" s="33"/>
      <c r="D27" s="33"/>
      <c r="E27" s="93" t="s">
        <v>2</v>
      </c>
      <c r="F27" s="88">
        <f>SUM(F7:F26)</f>
        <v>8479389.4651220944</v>
      </c>
      <c r="G27" s="49"/>
      <c r="H27" s="255" t="s">
        <v>100</v>
      </c>
      <c r="I27" s="100">
        <v>2018</v>
      </c>
      <c r="J27" s="100">
        <v>2040</v>
      </c>
      <c r="K27" s="57">
        <v>2018</v>
      </c>
      <c r="L27" s="57">
        <v>2040</v>
      </c>
      <c r="P27" s="92"/>
      <c r="Q27" s="92"/>
      <c r="R27" s="92"/>
      <c r="S27" s="92"/>
      <c r="T27" s="92"/>
      <c r="U27" s="92"/>
      <c r="V27" s="92"/>
    </row>
    <row r="28" spans="1:22" x14ac:dyDescent="0.25">
      <c r="G28" s="49"/>
      <c r="H28" s="242" t="s">
        <v>101</v>
      </c>
      <c r="I28" s="233">
        <f>SUMPRODUCT($H$9:$L$9,$I$13:$M$13)/9</f>
        <v>358344.44444444444</v>
      </c>
      <c r="J28" s="234">
        <f>I28*TREND(I23:J23,I22:J22,J27)/I23</f>
        <v>462004.76115814777</v>
      </c>
      <c r="K28" s="233">
        <f>((I19*SUMPRODUCT($I$9:$K$9,$J$13:$L$13))+(I18*H9*I13)+(L9*M13))/9</f>
        <v>207419.55555555559</v>
      </c>
      <c r="L28" s="234">
        <f>K28*TREND(K23:L23,K22:L22,L27)/K23</f>
        <v>336162.25853892142</v>
      </c>
      <c r="O28" s="75"/>
      <c r="P28" s="92"/>
      <c r="Q28" s="92"/>
      <c r="R28" s="92"/>
      <c r="S28" s="92"/>
      <c r="T28" s="92"/>
      <c r="U28" s="92"/>
      <c r="V28" s="92"/>
    </row>
    <row r="29" spans="1:22" x14ac:dyDescent="0.25">
      <c r="G29" s="49"/>
      <c r="H29" s="242" t="s">
        <v>102</v>
      </c>
      <c r="I29" s="233">
        <f>SUMPRODUCT($H$9:$L$9,$I$14:$M$14)/9</f>
        <v>1502077.7777777778</v>
      </c>
      <c r="J29" s="234">
        <f>I29*TREND(I24:J24,I22:J22,J27)/I24</f>
        <v>1887377.9180917302</v>
      </c>
      <c r="K29" s="233">
        <f>((I19*SUMPRODUCT($I$9:$K$9,$J$14:$L$14))+(I18*H9*I14)+(L9*M14))/9</f>
        <v>445376.00000000006</v>
      </c>
      <c r="L29" s="234">
        <f>K29*TREND(K24:L24,K22:L22,L27)/K24</f>
        <v>706964.19816082669</v>
      </c>
      <c r="O29" s="60"/>
      <c r="P29" s="92"/>
      <c r="Q29" s="92"/>
      <c r="R29" s="92"/>
      <c r="S29" s="92"/>
      <c r="T29" s="92"/>
      <c r="U29" s="92"/>
      <c r="V29" s="92"/>
    </row>
    <row r="30" spans="1:22" ht="15" customHeight="1" x14ac:dyDescent="0.25">
      <c r="G30" s="49"/>
      <c r="H30" s="242" t="s">
        <v>4</v>
      </c>
      <c r="I30" s="233">
        <f>SUM(I28:I29)</f>
        <v>1860422.2222222222</v>
      </c>
      <c r="J30" s="233">
        <f>SUM(J28:J29)</f>
        <v>2349382.679249878</v>
      </c>
      <c r="K30" s="233">
        <f>SUM(K28:K29)</f>
        <v>652795.55555555562</v>
      </c>
      <c r="L30" s="233">
        <f>SUM(L28:L29)</f>
        <v>1043126.4566997481</v>
      </c>
      <c r="O30" s="77"/>
      <c r="P30" s="92"/>
      <c r="Q30" s="92"/>
      <c r="R30" s="92"/>
      <c r="S30" s="92"/>
      <c r="T30" s="92"/>
      <c r="U30" s="92"/>
      <c r="V30" s="92"/>
    </row>
    <row r="31" spans="1:22" ht="15.75" customHeight="1" x14ac:dyDescent="0.25">
      <c r="B31" s="30" t="s">
        <v>3</v>
      </c>
      <c r="C31" s="30"/>
      <c r="D31" s="30"/>
      <c r="G31" s="49"/>
      <c r="O31" s="77"/>
      <c r="P31" s="92"/>
      <c r="Q31" s="92"/>
      <c r="R31" s="92"/>
      <c r="S31" s="92"/>
      <c r="T31" s="92"/>
      <c r="U31" s="92"/>
      <c r="V31" s="92"/>
    </row>
    <row r="32" spans="1:22" ht="15" customHeight="1" x14ac:dyDescent="0.25">
      <c r="A32" s="34" t="s">
        <v>27</v>
      </c>
      <c r="B32" s="490" t="s">
        <v>315</v>
      </c>
      <c r="C32" s="490"/>
      <c r="D32" s="490"/>
      <c r="E32" s="490"/>
      <c r="F32" s="490"/>
      <c r="G32" s="49"/>
      <c r="H32" s="92"/>
      <c r="I32" s="92"/>
      <c r="J32" s="92"/>
      <c r="O32" s="77"/>
      <c r="P32" s="92"/>
      <c r="Q32" s="92"/>
      <c r="R32" s="92"/>
      <c r="S32" s="92"/>
      <c r="T32" s="92"/>
      <c r="U32" s="92"/>
      <c r="V32" s="92"/>
    </row>
    <row r="33" spans="1:21" ht="15" customHeight="1" x14ac:dyDescent="0.25">
      <c r="B33" s="490"/>
      <c r="C33" s="490"/>
      <c r="D33" s="490"/>
      <c r="E33" s="490"/>
      <c r="F33" s="490"/>
      <c r="G33" s="49"/>
      <c r="H33" s="338" t="s">
        <v>228</v>
      </c>
      <c r="I33" s="92"/>
      <c r="J33" s="92"/>
      <c r="O33" s="77"/>
      <c r="Q33" s="92"/>
      <c r="R33" s="92"/>
      <c r="S33" s="92"/>
      <c r="T33" s="92"/>
      <c r="U33" s="92"/>
    </row>
    <row r="34" spans="1:21" ht="15" customHeight="1" x14ac:dyDescent="0.25">
      <c r="A34" s="34"/>
      <c r="B34" s="490"/>
      <c r="C34" s="490"/>
      <c r="D34" s="490"/>
      <c r="E34" s="490"/>
      <c r="F34" s="490"/>
      <c r="G34" s="49"/>
      <c r="H34" s="92"/>
      <c r="I34" s="92"/>
      <c r="J34" s="92"/>
      <c r="N34" s="224"/>
      <c r="Q34" s="92"/>
      <c r="R34" s="92"/>
      <c r="S34" s="92"/>
      <c r="T34" s="92"/>
      <c r="U34" s="92"/>
    </row>
    <row r="35" spans="1:21" ht="15" customHeight="1" x14ac:dyDescent="0.25">
      <c r="B35" s="490"/>
      <c r="C35" s="490"/>
      <c r="D35" s="490"/>
      <c r="E35" s="490"/>
      <c r="F35" s="490"/>
      <c r="G35" s="49"/>
      <c r="H35" s="92"/>
      <c r="I35" s="92"/>
      <c r="J35" s="92"/>
      <c r="N35" s="230"/>
      <c r="Q35" s="92"/>
      <c r="R35" s="92"/>
      <c r="S35" s="92"/>
      <c r="T35" s="92"/>
      <c r="U35" s="92"/>
    </row>
    <row r="36" spans="1:21" ht="15" customHeight="1" x14ac:dyDescent="0.25">
      <c r="B36" s="490"/>
      <c r="C36" s="490"/>
      <c r="D36" s="490"/>
      <c r="E36" s="490"/>
      <c r="F36" s="490"/>
      <c r="G36" s="49"/>
      <c r="H36" s="92"/>
      <c r="I36" s="92"/>
      <c r="J36" s="92"/>
      <c r="N36" s="225"/>
      <c r="Q36" s="92"/>
      <c r="R36" s="92"/>
      <c r="S36" s="92"/>
      <c r="T36" s="92"/>
      <c r="U36" s="92"/>
    </row>
    <row r="37" spans="1:21" ht="15" customHeight="1" x14ac:dyDescent="0.25">
      <c r="A37" s="28">
        <v>2</v>
      </c>
      <c r="B37" s="544" t="s">
        <v>328</v>
      </c>
      <c r="C37" s="544"/>
      <c r="D37" s="544"/>
      <c r="E37" s="544"/>
      <c r="F37" s="544"/>
      <c r="G37" s="49"/>
      <c r="Q37" s="92"/>
      <c r="R37" s="92"/>
      <c r="S37" s="92"/>
      <c r="T37" s="92"/>
      <c r="U37" s="92"/>
    </row>
    <row r="38" spans="1:21" ht="15" customHeight="1" x14ac:dyDescent="0.25">
      <c r="B38" s="544"/>
      <c r="C38" s="544"/>
      <c r="D38" s="544"/>
      <c r="E38" s="544"/>
      <c r="F38" s="544"/>
      <c r="N38" s="228"/>
      <c r="Q38" s="92"/>
      <c r="R38" s="92"/>
      <c r="S38" s="92"/>
      <c r="T38" s="92"/>
      <c r="U38" s="92"/>
    </row>
    <row r="39" spans="1:21" x14ac:dyDescent="0.25">
      <c r="B39" s="544"/>
      <c r="C39" s="544"/>
      <c r="D39" s="544"/>
      <c r="E39" s="544"/>
      <c r="F39" s="544"/>
      <c r="P39" s="210"/>
      <c r="Q39" s="92"/>
      <c r="R39" s="92"/>
      <c r="S39" s="92"/>
      <c r="T39" s="92"/>
      <c r="U39" s="92"/>
    </row>
    <row r="40" spans="1:21" x14ac:dyDescent="0.25">
      <c r="B40" s="544"/>
      <c r="C40" s="544"/>
      <c r="D40" s="544"/>
      <c r="E40" s="544"/>
      <c r="F40" s="544"/>
      <c r="P40" s="211"/>
      <c r="Q40" s="212"/>
      <c r="R40" s="212"/>
      <c r="S40" s="213"/>
    </row>
    <row r="41" spans="1:21" ht="15" customHeight="1" x14ac:dyDescent="0.25">
      <c r="C41" s="92"/>
      <c r="D41" s="92"/>
      <c r="E41" s="92"/>
      <c r="F41" s="92"/>
    </row>
    <row r="42" spans="1:21" ht="15" customHeight="1" x14ac:dyDescent="0.25">
      <c r="A42" s="34" t="s">
        <v>35</v>
      </c>
      <c r="B42" s="544" t="s">
        <v>219</v>
      </c>
      <c r="C42" s="544"/>
      <c r="D42" s="544"/>
      <c r="E42" s="544"/>
      <c r="F42" s="544"/>
      <c r="G42" s="219"/>
    </row>
    <row r="43" spans="1:21" x14ac:dyDescent="0.25">
      <c r="A43" s="34"/>
      <c r="B43" s="544"/>
      <c r="C43" s="544"/>
      <c r="D43" s="544"/>
      <c r="E43" s="544"/>
      <c r="F43" s="544"/>
      <c r="G43" s="219"/>
      <c r="H43" s="299"/>
    </row>
    <row r="44" spans="1:21" x14ac:dyDescent="0.25">
      <c r="C44" s="63"/>
      <c r="D44" s="63"/>
      <c r="E44" s="63"/>
      <c r="F44" s="63"/>
      <c r="G44" s="219"/>
      <c r="H44" s="299"/>
    </row>
    <row r="45" spans="1:21" ht="15" customHeight="1" x14ac:dyDescent="0.25">
      <c r="A45" s="34" t="s">
        <v>36</v>
      </c>
      <c r="B45" s="544" t="s">
        <v>220</v>
      </c>
      <c r="C45" s="544"/>
      <c r="D45" s="544"/>
      <c r="E45" s="544"/>
      <c r="F45" s="544"/>
      <c r="G45" s="219"/>
      <c r="H45" s="299"/>
    </row>
    <row r="46" spans="1:21" ht="15" customHeight="1" x14ac:dyDescent="0.25">
      <c r="B46" s="544"/>
      <c r="C46" s="544"/>
      <c r="D46" s="544"/>
      <c r="E46" s="544"/>
      <c r="F46" s="544"/>
      <c r="G46" s="219"/>
      <c r="H46" s="299"/>
    </row>
    <row r="47" spans="1:21" x14ac:dyDescent="0.25">
      <c r="B47" s="63"/>
      <c r="C47" s="63"/>
      <c r="D47" s="63"/>
      <c r="E47" s="63"/>
      <c r="F47" s="63"/>
      <c r="G47" s="29"/>
      <c r="H47" s="299"/>
    </row>
    <row r="48" spans="1:21" ht="15" customHeight="1" x14ac:dyDescent="0.25">
      <c r="A48" s="34" t="s">
        <v>36</v>
      </c>
      <c r="B48" s="541" t="s">
        <v>327</v>
      </c>
      <c r="C48" s="541"/>
      <c r="D48" s="541"/>
      <c r="E48" s="541"/>
      <c r="F48" s="541"/>
      <c r="G48" s="218"/>
    </row>
    <row r="49" spans="1:7" x14ac:dyDescent="0.25">
      <c r="B49" s="541"/>
      <c r="C49" s="541"/>
      <c r="D49" s="541"/>
      <c r="E49" s="541"/>
      <c r="F49" s="541"/>
      <c r="G49" s="218"/>
    </row>
    <row r="50" spans="1:7" x14ac:dyDescent="0.25">
      <c r="B50" s="541"/>
      <c r="C50" s="541"/>
      <c r="D50" s="541"/>
      <c r="E50" s="541"/>
      <c r="F50" s="541"/>
      <c r="G50" s="218"/>
    </row>
    <row r="51" spans="1:7" x14ac:dyDescent="0.25">
      <c r="B51" s="541"/>
      <c r="C51" s="541"/>
      <c r="D51" s="541"/>
      <c r="E51" s="541"/>
      <c r="F51" s="541"/>
      <c r="G51" s="218"/>
    </row>
    <row r="52" spans="1:7" x14ac:dyDescent="0.25">
      <c r="G52" s="63"/>
    </row>
    <row r="53" spans="1:7" x14ac:dyDescent="0.25">
      <c r="A53" s="34" t="s">
        <v>37</v>
      </c>
      <c r="B53" s="541" t="s">
        <v>331</v>
      </c>
      <c r="C53" s="541"/>
      <c r="D53" s="541"/>
      <c r="E53" s="541"/>
      <c r="F53" s="541"/>
      <c r="G53" s="63"/>
    </row>
    <row r="54" spans="1:7" ht="15" customHeight="1" x14ac:dyDescent="0.25">
      <c r="B54" s="541"/>
      <c r="C54" s="541"/>
      <c r="D54" s="541"/>
      <c r="E54" s="541"/>
      <c r="F54" s="541"/>
      <c r="G54" s="63"/>
    </row>
    <row r="55" spans="1:7" x14ac:dyDescent="0.25">
      <c r="A55" s="34"/>
      <c r="B55" s="541"/>
      <c r="C55" s="541"/>
      <c r="D55" s="541"/>
      <c r="E55" s="541"/>
      <c r="F55" s="541"/>
      <c r="G55" s="63"/>
    </row>
    <row r="56" spans="1:7" x14ac:dyDescent="0.25">
      <c r="B56" s="541"/>
      <c r="C56" s="541"/>
      <c r="D56" s="541"/>
      <c r="E56" s="541"/>
      <c r="F56" s="541"/>
      <c r="G56" s="63"/>
    </row>
    <row r="57" spans="1:7" ht="15" customHeight="1" x14ac:dyDescent="0.25">
      <c r="B57" s="36"/>
      <c r="C57" s="36"/>
      <c r="D57" s="36"/>
      <c r="G57" s="63"/>
    </row>
    <row r="58" spans="1:7" x14ac:dyDescent="0.25">
      <c r="A58" s="34"/>
      <c r="B58" s="36"/>
      <c r="C58" s="36"/>
      <c r="D58" s="36"/>
    </row>
    <row r="59" spans="1:7" x14ac:dyDescent="0.25">
      <c r="B59" s="36"/>
      <c r="C59" s="36"/>
      <c r="D59" s="36"/>
    </row>
    <row r="60" spans="1:7" x14ac:dyDescent="0.25">
      <c r="B60" s="36"/>
      <c r="C60" s="36"/>
      <c r="D60" s="36"/>
    </row>
    <row r="61" spans="1:7" ht="15" customHeight="1" x14ac:dyDescent="0.25">
      <c r="B61" s="36"/>
      <c r="C61" s="36"/>
      <c r="D61" s="36"/>
    </row>
    <row r="62" spans="1:7" ht="15" customHeight="1" x14ac:dyDescent="0.25">
      <c r="B62" s="36"/>
      <c r="C62" s="36"/>
      <c r="D62" s="36"/>
    </row>
    <row r="63" spans="1:7" x14ac:dyDescent="0.25">
      <c r="A63" s="34"/>
      <c r="B63" s="36"/>
      <c r="C63" s="36"/>
      <c r="D63" s="36"/>
    </row>
    <row r="65" spans="1:4" x14ac:dyDescent="0.25">
      <c r="B65" s="36"/>
      <c r="C65" s="36"/>
      <c r="D65" s="36"/>
    </row>
    <row r="66" spans="1:4" ht="15" customHeight="1" x14ac:dyDescent="0.25">
      <c r="A66" s="34"/>
      <c r="B66" s="36"/>
      <c r="C66" s="36"/>
      <c r="D66" s="36"/>
    </row>
    <row r="67" spans="1:4" x14ac:dyDescent="0.25">
      <c r="B67" s="36"/>
      <c r="C67" s="36"/>
      <c r="D67" s="36"/>
    </row>
    <row r="68" spans="1:4" ht="15" customHeight="1" x14ac:dyDescent="0.25"/>
    <row r="71" spans="1:4" x14ac:dyDescent="0.25">
      <c r="A71" s="34"/>
    </row>
    <row r="75" spans="1:4" x14ac:dyDescent="0.25">
      <c r="A75" s="34"/>
    </row>
    <row r="77" spans="1:4" x14ac:dyDescent="0.25">
      <c r="A77" s="34"/>
    </row>
    <row r="81" spans="1:1" x14ac:dyDescent="0.25">
      <c r="A81" s="34"/>
    </row>
  </sheetData>
  <mergeCells count="16">
    <mergeCell ref="B48:F51"/>
    <mergeCell ref="B53:F56"/>
    <mergeCell ref="C4:F4"/>
    <mergeCell ref="B5:B6"/>
    <mergeCell ref="C5:C6"/>
    <mergeCell ref="D5:D6"/>
    <mergeCell ref="E5:E6"/>
    <mergeCell ref="F5:F6"/>
    <mergeCell ref="B37:F40"/>
    <mergeCell ref="B42:F43"/>
    <mergeCell ref="B45:F46"/>
    <mergeCell ref="I21:J21"/>
    <mergeCell ref="K21:L21"/>
    <mergeCell ref="I26:J26"/>
    <mergeCell ref="K26:L26"/>
    <mergeCell ref="B32:F36"/>
  </mergeCells>
  <hyperlinks>
    <hyperlink ref="L18" r:id="rId1" xr:uid="{8ED95D52-5868-44A7-B8FA-C3410D141FA1}"/>
    <hyperlink ref="L19" r:id="rId2" xr:uid="{C83A7858-CE60-4853-99AF-5DC86C9C22BC}"/>
  </hyperlinks>
  <pageMargins left="0.25" right="0.25" top="0.75" bottom="0.75" header="0.3" footer="0.3"/>
  <pageSetup paperSize="3" scale="48" orientation="landscape"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442D0-9A3A-4DD4-814B-F857395D9C21}">
  <sheetPr>
    <pageSetUpPr fitToPage="1"/>
  </sheetPr>
  <dimension ref="A1:Q61"/>
  <sheetViews>
    <sheetView view="pageBreakPreview" topLeftCell="A31" zoomScaleNormal="85" zoomScaleSheetLayoutView="100" workbookViewId="0">
      <selection activeCell="E3" sqref="E3:F11"/>
    </sheetView>
  </sheetViews>
  <sheetFormatPr defaultRowHeight="15" x14ac:dyDescent="0.25"/>
  <cols>
    <col min="1" max="1" width="9.140625" style="92"/>
    <col min="2" max="2" width="15.7109375" style="92" customWidth="1"/>
    <col min="3" max="3" width="17.7109375" style="92" customWidth="1"/>
    <col min="4" max="4" width="15.7109375" style="92" customWidth="1"/>
    <col min="5" max="5" width="15.7109375" style="343" customWidth="1"/>
    <col min="6" max="7" width="15.5703125" style="92" customWidth="1"/>
    <col min="8" max="10" width="25.7109375" style="92" customWidth="1"/>
    <col min="11" max="11" width="10.7109375" style="92" customWidth="1"/>
    <col min="12" max="15" width="25.7109375" style="92" customWidth="1"/>
    <col min="16" max="16" width="33.85546875" style="92" customWidth="1"/>
    <col min="17" max="17" width="25.7109375" style="92" customWidth="1"/>
    <col min="18" max="16384" width="9.140625" style="92"/>
  </cols>
  <sheetData>
    <row r="1" spans="2:17" x14ac:dyDescent="0.25">
      <c r="C1" s="92">
        <v>2</v>
      </c>
    </row>
    <row r="2" spans="2:17" ht="15.75" thickBot="1" x14ac:dyDescent="0.3">
      <c r="B2" s="10" t="s">
        <v>7</v>
      </c>
    </row>
    <row r="3" spans="2:17" ht="22.5" customHeight="1" x14ac:dyDescent="0.25">
      <c r="B3" s="515" t="s">
        <v>0</v>
      </c>
      <c r="C3" s="549" t="s">
        <v>235</v>
      </c>
      <c r="D3" s="525" t="s">
        <v>236</v>
      </c>
      <c r="E3" s="525" t="s">
        <v>241</v>
      </c>
      <c r="F3" s="525" t="s">
        <v>1</v>
      </c>
      <c r="G3" s="162"/>
    </row>
    <row r="4" spans="2:17" ht="22.5" customHeight="1" thickBot="1" x14ac:dyDescent="0.3">
      <c r="B4" s="548"/>
      <c r="C4" s="550"/>
      <c r="D4" s="547"/>
      <c r="E4" s="547"/>
      <c r="F4" s="547"/>
      <c r="G4" s="162"/>
    </row>
    <row r="5" spans="2:17" ht="15.75" customHeight="1" x14ac:dyDescent="0.25">
      <c r="B5" s="191">
        <v>2022</v>
      </c>
      <c r="C5" s="196">
        <f>$J11*$Q$11</f>
        <v>17136.931960086855</v>
      </c>
      <c r="D5" s="13">
        <f>N11*$Q$11</f>
        <v>17136.931960086855</v>
      </c>
      <c r="E5" s="13">
        <f>C5-D5</f>
        <v>0</v>
      </c>
      <c r="F5" s="13">
        <f>E5*(1+0.07)^-($B5-Assumptions!$D$4)</f>
        <v>0</v>
      </c>
    </row>
    <row r="6" spans="2:17" ht="15.75" customHeight="1" x14ac:dyDescent="0.25">
      <c r="B6" s="193">
        <f>B5+1</f>
        <v>2023</v>
      </c>
      <c r="C6" s="195">
        <f t="shared" ref="C6:C34" si="0">$J12*$Q$11</f>
        <v>17822.409238490331</v>
      </c>
      <c r="D6" s="194">
        <f t="shared" ref="D6:D34" si="1">N12*$Q$11</f>
        <v>17822.409238490331</v>
      </c>
      <c r="E6" s="194">
        <f t="shared" ref="E6:E34" si="2">C6-D6</f>
        <v>0</v>
      </c>
      <c r="F6" s="194">
        <f>E6*(1+0.07)^-($B6-Assumptions!$D$4)</f>
        <v>0</v>
      </c>
    </row>
    <row r="7" spans="2:17" ht="15.75" customHeight="1" x14ac:dyDescent="0.25">
      <c r="B7" s="2">
        <f>+B6+1</f>
        <v>2024</v>
      </c>
      <c r="C7" s="189">
        <f t="shared" si="0"/>
        <v>18507.886516893806</v>
      </c>
      <c r="D7" s="7">
        <f t="shared" si="1"/>
        <v>0</v>
      </c>
      <c r="E7" s="7">
        <f t="shared" si="2"/>
        <v>18507.886516893806</v>
      </c>
      <c r="F7" s="7">
        <f>E7*(1+0.07)^-($B7-Assumptions!$D$4)</f>
        <v>14119.578008857234</v>
      </c>
    </row>
    <row r="8" spans="2:17" ht="15.75" customHeight="1" x14ac:dyDescent="0.25">
      <c r="B8" s="2">
        <f t="shared" ref="B8:B34" si="3">+B7+1</f>
        <v>2025</v>
      </c>
      <c r="C8" s="189">
        <f t="shared" si="0"/>
        <v>1920427.1821691999</v>
      </c>
      <c r="D8" s="7">
        <f t="shared" si="1"/>
        <v>0</v>
      </c>
      <c r="E8" s="7">
        <f t="shared" si="2"/>
        <v>1920427.1821691999</v>
      </c>
      <c r="F8" s="7">
        <f>E8*(1+0.07)^-($B8-Assumptions!$D$4)</f>
        <v>1369238.0395914046</v>
      </c>
    </row>
    <row r="9" spans="2:17" ht="15.75" customHeight="1" x14ac:dyDescent="0.25">
      <c r="B9" s="2">
        <f t="shared" si="3"/>
        <v>2026</v>
      </c>
      <c r="C9" s="189">
        <f t="shared" si="0"/>
        <v>0</v>
      </c>
      <c r="D9" s="7">
        <f t="shared" si="1"/>
        <v>0</v>
      </c>
      <c r="E9" s="7">
        <f t="shared" si="2"/>
        <v>0</v>
      </c>
      <c r="F9" s="7">
        <f>E9*(1+0.07)^-($B9-Assumptions!$D$4)</f>
        <v>0</v>
      </c>
      <c r="H9" s="105" t="s">
        <v>232</v>
      </c>
      <c r="L9" s="105" t="s">
        <v>234</v>
      </c>
      <c r="M9" s="343"/>
      <c r="N9" s="343"/>
    </row>
    <row r="10" spans="2:17" ht="15.75" customHeight="1" x14ac:dyDescent="0.25">
      <c r="B10" s="2">
        <f t="shared" si="3"/>
        <v>2027</v>
      </c>
      <c r="C10" s="189">
        <f t="shared" si="0"/>
        <v>20564.318352104227</v>
      </c>
      <c r="D10" s="7">
        <f t="shared" si="1"/>
        <v>0</v>
      </c>
      <c r="E10" s="7">
        <f t="shared" si="2"/>
        <v>20564.318352104227</v>
      </c>
      <c r="F10" s="7">
        <f>E10*(1+0.07)^-($B10-Assumptions!$D$4)</f>
        <v>12806.423945805467</v>
      </c>
      <c r="H10" s="100" t="s">
        <v>59</v>
      </c>
      <c r="I10" s="99" t="s">
        <v>167</v>
      </c>
      <c r="J10" s="99" t="s">
        <v>168</v>
      </c>
      <c r="L10" s="347" t="s">
        <v>59</v>
      </c>
      <c r="M10" s="99" t="s">
        <v>167</v>
      </c>
      <c r="N10" s="99" t="s">
        <v>168</v>
      </c>
      <c r="P10" s="10" t="s">
        <v>288</v>
      </c>
      <c r="Q10" s="343"/>
    </row>
    <row r="11" spans="2:17" ht="15.75" customHeight="1" thickBot="1" x14ac:dyDescent="0.3">
      <c r="B11" s="350">
        <f t="shared" si="3"/>
        <v>2028</v>
      </c>
      <c r="C11" s="351">
        <f t="shared" si="0"/>
        <v>21249.795630507699</v>
      </c>
      <c r="D11" s="352">
        <f t="shared" si="1"/>
        <v>0</v>
      </c>
      <c r="E11" s="352">
        <f t="shared" si="2"/>
        <v>21249.795630507699</v>
      </c>
      <c r="F11" s="352">
        <f>E11*(1+0.07)^-($B11-Assumptions!$D$4)</f>
        <v>12367.574527101851</v>
      </c>
      <c r="H11" s="199">
        <v>2022</v>
      </c>
      <c r="I11" s="190" t="s">
        <v>169</v>
      </c>
      <c r="J11" s="303">
        <v>17847</v>
      </c>
      <c r="L11" s="199">
        <v>2022</v>
      </c>
      <c r="M11" s="190" t="s">
        <v>169</v>
      </c>
      <c r="N11" s="303">
        <v>17847</v>
      </c>
      <c r="P11" s="382" t="s">
        <v>289</v>
      </c>
      <c r="Q11" s="404">
        <f>113.648/118.357</f>
        <v>0.96021359108459992</v>
      </c>
    </row>
    <row r="12" spans="2:17" ht="15.75" customHeight="1" thickTop="1" x14ac:dyDescent="0.25">
      <c r="B12" s="193">
        <f t="shared" si="3"/>
        <v>2029</v>
      </c>
      <c r="C12" s="195">
        <f t="shared" si="0"/>
        <v>22165.724170771478</v>
      </c>
      <c r="D12" s="194">
        <f t="shared" si="1"/>
        <v>0</v>
      </c>
      <c r="E12" s="194">
        <f t="shared" si="2"/>
        <v>22165.724170771478</v>
      </c>
      <c r="F12" s="194">
        <f>E12*(1+0.07)^-($B12-Assumptions!$D$4)</f>
        <v>12056.685305295641</v>
      </c>
      <c r="H12" s="199">
        <v>2023</v>
      </c>
      <c r="I12" s="190" t="s">
        <v>169</v>
      </c>
      <c r="J12" s="303">
        <v>18560.88</v>
      </c>
      <c r="L12" s="199">
        <v>2023</v>
      </c>
      <c r="M12" s="190" t="s">
        <v>169</v>
      </c>
      <c r="N12" s="303">
        <v>18560.88</v>
      </c>
    </row>
    <row r="13" spans="2:17" ht="15.75" customHeight="1" x14ac:dyDescent="0.25">
      <c r="B13" s="2">
        <f t="shared" si="3"/>
        <v>2030</v>
      </c>
      <c r="C13" s="189">
        <f t="shared" si="0"/>
        <v>22851.201449174954</v>
      </c>
      <c r="D13" s="7">
        <f t="shared" si="1"/>
        <v>1501.9660991745313</v>
      </c>
      <c r="E13" s="7">
        <f t="shared" si="2"/>
        <v>21349.235350000425</v>
      </c>
      <c r="F13" s="7">
        <f>E13*(1+0.07)^-($B13-Assumptions!$D$4)</f>
        <v>10852.868677790209</v>
      </c>
      <c r="H13" s="199">
        <v>2024</v>
      </c>
      <c r="I13" s="190" t="s">
        <v>169</v>
      </c>
      <c r="J13" s="303">
        <v>19274.760000000002</v>
      </c>
      <c r="L13" s="199">
        <v>2024</v>
      </c>
      <c r="M13" s="190" t="s">
        <v>230</v>
      </c>
      <c r="N13" s="303">
        <v>0</v>
      </c>
    </row>
    <row r="14" spans="2:17" ht="15.75" customHeight="1" x14ac:dyDescent="0.25">
      <c r="B14" s="2">
        <f t="shared" si="3"/>
        <v>2031</v>
      </c>
      <c r="C14" s="189">
        <f t="shared" si="0"/>
        <v>27569.575810133745</v>
      </c>
      <c r="D14" s="7">
        <f t="shared" si="1"/>
        <v>1547.4802233919413</v>
      </c>
      <c r="E14" s="7">
        <f t="shared" si="2"/>
        <v>26022.095586741805</v>
      </c>
      <c r="F14" s="7">
        <f>E14*(1+0.07)^-($B14-Assumptions!$D$4)</f>
        <v>12362.910160170242</v>
      </c>
      <c r="H14" s="199">
        <v>2025</v>
      </c>
      <c r="I14" s="190" t="s">
        <v>170</v>
      </c>
      <c r="J14" s="303">
        <v>2000000</v>
      </c>
      <c r="L14" s="199">
        <v>2025</v>
      </c>
      <c r="M14" s="190" t="s">
        <v>230</v>
      </c>
      <c r="N14" s="303">
        <v>0</v>
      </c>
    </row>
    <row r="15" spans="2:17" ht="15.75" customHeight="1" x14ac:dyDescent="0.25">
      <c r="B15" s="2">
        <f t="shared" si="3"/>
        <v>2032</v>
      </c>
      <c r="C15" s="189">
        <f t="shared" si="0"/>
        <v>28024.601826676917</v>
      </c>
      <c r="D15" s="7">
        <f t="shared" si="1"/>
        <v>1592.9943476093513</v>
      </c>
      <c r="E15" s="7">
        <f t="shared" si="2"/>
        <v>26431.607479067567</v>
      </c>
      <c r="F15" s="7">
        <f>E15*(1+0.07)^-($B15-Assumptions!$D$4)</f>
        <v>11735.949822662862</v>
      </c>
      <c r="H15" s="199">
        <v>2026</v>
      </c>
      <c r="I15" s="190" t="s">
        <v>6</v>
      </c>
      <c r="J15" s="303">
        <v>0</v>
      </c>
      <c r="L15" s="199">
        <v>2026</v>
      </c>
      <c r="M15" s="190" t="s">
        <v>230</v>
      </c>
      <c r="N15" s="303">
        <v>0</v>
      </c>
    </row>
    <row r="16" spans="2:17" ht="15.75" customHeight="1" x14ac:dyDescent="0.25">
      <c r="B16" s="2">
        <f t="shared" si="3"/>
        <v>2033</v>
      </c>
      <c r="C16" s="189">
        <f t="shared" si="0"/>
        <v>28479.627843220085</v>
      </c>
      <c r="D16" s="7">
        <f t="shared" si="1"/>
        <v>4915.5254154802842</v>
      </c>
      <c r="E16" s="7">
        <f t="shared" si="2"/>
        <v>23564.102427739803</v>
      </c>
      <c r="F16" s="7">
        <f>E16*(1+0.07)^-($B16-Assumptions!$D$4)</f>
        <v>9778.2647539159952</v>
      </c>
      <c r="H16" s="199">
        <v>2027</v>
      </c>
      <c r="I16" s="190" t="s">
        <v>171</v>
      </c>
      <c r="J16" s="303">
        <v>21416.400000000001</v>
      </c>
      <c r="L16" s="199">
        <v>2027</v>
      </c>
      <c r="M16" s="190" t="s">
        <v>231</v>
      </c>
      <c r="N16" s="303">
        <v>0</v>
      </c>
    </row>
    <row r="17" spans="2:14" ht="15.75" customHeight="1" x14ac:dyDescent="0.25">
      <c r="B17" s="2">
        <f t="shared" si="3"/>
        <v>2034</v>
      </c>
      <c r="C17" s="189">
        <f t="shared" si="0"/>
        <v>28934.653859763257</v>
      </c>
      <c r="D17" s="7">
        <f t="shared" si="1"/>
        <v>5052.0677881325146</v>
      </c>
      <c r="E17" s="7">
        <f t="shared" si="2"/>
        <v>23882.586071630743</v>
      </c>
      <c r="F17" s="7">
        <f>E17*(1+0.07)^-($B17-Assumptions!$D$4)</f>
        <v>9262.078638658626</v>
      </c>
      <c r="H17" s="199">
        <v>2028</v>
      </c>
      <c r="I17" s="190" t="s">
        <v>169</v>
      </c>
      <c r="J17" s="303">
        <v>22130.28</v>
      </c>
      <c r="L17" s="199">
        <v>2028</v>
      </c>
      <c r="M17" s="190" t="s">
        <v>6</v>
      </c>
      <c r="N17" s="303">
        <v>0</v>
      </c>
    </row>
    <row r="18" spans="2:14" ht="15.75" customHeight="1" x14ac:dyDescent="0.25">
      <c r="B18" s="2">
        <f t="shared" si="3"/>
        <v>2035</v>
      </c>
      <c r="C18" s="189">
        <f t="shared" si="0"/>
        <v>29389.679876306425</v>
      </c>
      <c r="D18" s="7">
        <f t="shared" si="1"/>
        <v>5188.6101607847431</v>
      </c>
      <c r="E18" s="7">
        <f t="shared" si="2"/>
        <v>24201.069715521684</v>
      </c>
      <c r="F18" s="7">
        <f>E18*(1+0.07)^-($B18-Assumptions!$D$4)</f>
        <v>8771.5813894780877</v>
      </c>
      <c r="H18" s="199">
        <v>2029</v>
      </c>
      <c r="I18" s="190" t="s">
        <v>169</v>
      </c>
      <c r="J18" s="303">
        <v>23084.16</v>
      </c>
      <c r="L18" s="199">
        <v>2029</v>
      </c>
      <c r="M18" s="190" t="s">
        <v>6</v>
      </c>
      <c r="N18" s="303">
        <v>0</v>
      </c>
    </row>
    <row r="19" spans="2:14" ht="15.75" customHeight="1" x14ac:dyDescent="0.25">
      <c r="B19" s="2">
        <f t="shared" si="3"/>
        <v>2036</v>
      </c>
      <c r="C19" s="189">
        <f t="shared" si="0"/>
        <v>3360747.5687960996</v>
      </c>
      <c r="D19" s="7">
        <f t="shared" si="1"/>
        <v>5325.1525334369735</v>
      </c>
      <c r="E19" s="7">
        <f t="shared" si="2"/>
        <v>3355422.4162626625</v>
      </c>
      <c r="F19" s="7">
        <f>E19*(1+0.07)^-($B19-Assumptions!$D$4)</f>
        <v>1136597.6626104217</v>
      </c>
      <c r="H19" s="199">
        <v>2030</v>
      </c>
      <c r="I19" s="190" t="s">
        <v>169</v>
      </c>
      <c r="J19" s="303">
        <v>23798.04</v>
      </c>
      <c r="L19" s="199">
        <v>2030</v>
      </c>
      <c r="M19" s="190" t="s">
        <v>169</v>
      </c>
      <c r="N19" s="303">
        <v>1564.2</v>
      </c>
    </row>
    <row r="20" spans="2:14" ht="15.75" customHeight="1" x14ac:dyDescent="0.25">
      <c r="B20" s="2">
        <f t="shared" si="3"/>
        <v>2037</v>
      </c>
      <c r="C20" s="189">
        <f t="shared" si="0"/>
        <v>0</v>
      </c>
      <c r="D20" s="7">
        <f t="shared" si="1"/>
        <v>7259.2147485995756</v>
      </c>
      <c r="E20" s="7">
        <f t="shared" si="2"/>
        <v>-7259.2147485995756</v>
      </c>
      <c r="F20" s="7">
        <f>E20*(1+0.07)^-($B20-Assumptions!$D$4)</f>
        <v>-2298.0814842859895</v>
      </c>
      <c r="H20" s="199">
        <v>2031</v>
      </c>
      <c r="I20" s="190" t="s">
        <v>171</v>
      </c>
      <c r="J20" s="303">
        <v>28711.919999999998</v>
      </c>
      <c r="L20" s="199">
        <v>2031</v>
      </c>
      <c r="M20" s="190" t="s">
        <v>171</v>
      </c>
      <c r="N20" s="303">
        <v>1611.6000000000001</v>
      </c>
    </row>
    <row r="21" spans="2:14" ht="15.75" customHeight="1" x14ac:dyDescent="0.25">
      <c r="B21" s="2">
        <f t="shared" si="3"/>
        <v>2038</v>
      </c>
      <c r="C21" s="189">
        <f t="shared" si="0"/>
        <v>18656.066678269977</v>
      </c>
      <c r="D21" s="7">
        <f t="shared" si="1"/>
        <v>7440.6951173145644</v>
      </c>
      <c r="E21" s="7">
        <f t="shared" si="2"/>
        <v>11215.371560955413</v>
      </c>
      <c r="F21" s="7">
        <f>E21*(1+0.07)^-($B21-Assumptions!$D$4)</f>
        <v>3318.223753026145</v>
      </c>
      <c r="H21" s="199">
        <v>2032</v>
      </c>
      <c r="I21" s="190" t="s">
        <v>169</v>
      </c>
      <c r="J21" s="303">
        <v>29185.8</v>
      </c>
      <c r="L21" s="199">
        <v>2032</v>
      </c>
      <c r="M21" s="190" t="s">
        <v>169</v>
      </c>
      <c r="N21" s="303">
        <v>1659</v>
      </c>
    </row>
    <row r="22" spans="2:14" ht="15.75" customHeight="1" x14ac:dyDescent="0.25">
      <c r="B22" s="2">
        <f t="shared" si="3"/>
        <v>2039</v>
      </c>
      <c r="C22" s="189">
        <f t="shared" si="0"/>
        <v>19111.092694813149</v>
      </c>
      <c r="D22" s="7">
        <f t="shared" si="1"/>
        <v>8966.4745135479934</v>
      </c>
      <c r="E22" s="7">
        <f t="shared" si="2"/>
        <v>10144.618181265156</v>
      </c>
      <c r="F22" s="7">
        <f>E22*(1+0.07)^-($B22-Assumptions!$D$4)</f>
        <v>2805.0714623330828</v>
      </c>
      <c r="H22" s="199">
        <v>2033</v>
      </c>
      <c r="I22" s="190" t="s">
        <v>169</v>
      </c>
      <c r="J22" s="303">
        <v>29659.68</v>
      </c>
      <c r="L22" s="199">
        <v>2033</v>
      </c>
      <c r="M22" s="190" t="s">
        <v>169</v>
      </c>
      <c r="N22" s="303">
        <v>5119.2000000000007</v>
      </c>
    </row>
    <row r="23" spans="2:14" ht="15.75" customHeight="1" x14ac:dyDescent="0.25">
      <c r="B23" s="2">
        <f t="shared" si="3"/>
        <v>2040</v>
      </c>
      <c r="C23" s="189">
        <f t="shared" si="0"/>
        <v>19566.118711356317</v>
      </c>
      <c r="D23" s="7">
        <f t="shared" si="1"/>
        <v>9147.954882262984</v>
      </c>
      <c r="E23" s="7">
        <f t="shared" si="2"/>
        <v>10418.163829093333</v>
      </c>
      <c r="F23" s="7">
        <f>E23*(1+0.07)^-($B23-Assumptions!$D$4)</f>
        <v>2692.2515078658153</v>
      </c>
      <c r="H23" s="199">
        <v>2034</v>
      </c>
      <c r="I23" s="190" t="s">
        <v>169</v>
      </c>
      <c r="J23" s="303">
        <v>30133.56</v>
      </c>
      <c r="L23" s="199">
        <v>2034</v>
      </c>
      <c r="M23" s="190" t="s">
        <v>169</v>
      </c>
      <c r="N23" s="303">
        <v>5261.4000000000005</v>
      </c>
    </row>
    <row r="24" spans="2:14" ht="15.75" customHeight="1" x14ac:dyDescent="0.25">
      <c r="B24" s="2">
        <f t="shared" si="3"/>
        <v>2041</v>
      </c>
      <c r="C24" s="189">
        <f t="shared" si="0"/>
        <v>32119.835975565449</v>
      </c>
      <c r="D24" s="7">
        <f t="shared" si="1"/>
        <v>9329.4352509779728</v>
      </c>
      <c r="E24" s="7">
        <f t="shared" si="2"/>
        <v>22790.400724587475</v>
      </c>
      <c r="F24" s="7">
        <f>E24*(1+0.07)^-($B24-Assumptions!$D$4)</f>
        <v>5504.1800270807162</v>
      </c>
      <c r="H24" s="199">
        <v>2035</v>
      </c>
      <c r="I24" s="190" t="s">
        <v>169</v>
      </c>
      <c r="J24" s="303">
        <v>30607.439999999999</v>
      </c>
      <c r="L24" s="199">
        <v>2035</v>
      </c>
      <c r="M24" s="190" t="s">
        <v>169</v>
      </c>
      <c r="N24" s="303">
        <v>5403.5999999999995</v>
      </c>
    </row>
    <row r="25" spans="2:14" ht="15.75" customHeight="1" x14ac:dyDescent="0.25">
      <c r="B25" s="2">
        <f t="shared" si="3"/>
        <v>2042</v>
      </c>
      <c r="C25" s="189">
        <f t="shared" si="0"/>
        <v>32574.861992108625</v>
      </c>
      <c r="D25" s="7">
        <f t="shared" si="1"/>
        <v>11584.976976435699</v>
      </c>
      <c r="E25" s="7">
        <f t="shared" si="2"/>
        <v>20989.885015672924</v>
      </c>
      <c r="F25" s="7">
        <f>E25*(1+0.07)^-($B25-Assumptions!$D$4)</f>
        <v>4737.6933836387125</v>
      </c>
      <c r="H25" s="199">
        <v>2036</v>
      </c>
      <c r="I25" s="190" t="s">
        <v>170</v>
      </c>
      <c r="J25" s="303">
        <v>3500000</v>
      </c>
      <c r="L25" s="199">
        <v>2036</v>
      </c>
      <c r="M25" s="190" t="s">
        <v>171</v>
      </c>
      <c r="N25" s="303">
        <v>5545.7999999999993</v>
      </c>
    </row>
    <row r="26" spans="2:14" ht="15.75" customHeight="1" x14ac:dyDescent="0.25">
      <c r="B26" s="2">
        <f t="shared" si="3"/>
        <v>2043</v>
      </c>
      <c r="C26" s="189">
        <f t="shared" si="0"/>
        <v>40710.060395581851</v>
      </c>
      <c r="D26" s="7">
        <f t="shared" si="1"/>
        <v>11853.377043310953</v>
      </c>
      <c r="E26" s="7">
        <f t="shared" si="2"/>
        <v>28856.683352270898</v>
      </c>
      <c r="F26" s="7">
        <f>E26*(1+0.07)^-($B26-Assumptions!$D$4)</f>
        <v>6087.2274168412132</v>
      </c>
      <c r="H26" s="199">
        <v>2037</v>
      </c>
      <c r="I26" s="190" t="s">
        <v>171</v>
      </c>
      <c r="J26" s="303">
        <v>0</v>
      </c>
      <c r="L26" s="199">
        <v>2037</v>
      </c>
      <c r="M26" s="190" t="s">
        <v>169</v>
      </c>
      <c r="N26" s="303">
        <v>7560</v>
      </c>
    </row>
    <row r="27" spans="2:14" ht="15.75" customHeight="1" x14ac:dyDescent="0.25">
      <c r="B27" s="2">
        <f t="shared" si="3"/>
        <v>2044</v>
      </c>
      <c r="C27" s="189">
        <f t="shared" si="0"/>
        <v>46530.650220409814</v>
      </c>
      <c r="D27" s="7">
        <f t="shared" si="1"/>
        <v>12685.299383846279</v>
      </c>
      <c r="E27" s="7">
        <f t="shared" si="2"/>
        <v>33845.350836563535</v>
      </c>
      <c r="F27" s="7">
        <f>E27*(1+0.07)^-($B27-Assumptions!$D$4)</f>
        <v>6672.4965184096682</v>
      </c>
      <c r="H27" s="199">
        <v>2038</v>
      </c>
      <c r="I27" s="190" t="s">
        <v>172</v>
      </c>
      <c r="J27" s="303">
        <v>19429.079999999998</v>
      </c>
      <c r="L27" s="199">
        <v>2038</v>
      </c>
      <c r="M27" s="190" t="s">
        <v>169</v>
      </c>
      <c r="N27" s="303">
        <v>7749</v>
      </c>
    </row>
    <row r="28" spans="2:14" ht="15.75" customHeight="1" x14ac:dyDescent="0.25">
      <c r="B28" s="2">
        <f t="shared" si="3"/>
        <v>2045</v>
      </c>
      <c r="C28" s="189">
        <f t="shared" si="0"/>
        <v>52351.240045237777</v>
      </c>
      <c r="D28" s="7">
        <f t="shared" si="1"/>
        <v>13517.221724381605</v>
      </c>
      <c r="E28" s="7">
        <f t="shared" si="2"/>
        <v>38834.018320856172</v>
      </c>
      <c r="F28" s="7">
        <f>E28*(1+0.07)^-($B28-Assumptions!$D$4)</f>
        <v>7155.1359355013328</v>
      </c>
      <c r="H28" s="199">
        <v>2039</v>
      </c>
      <c r="I28" s="190" t="s">
        <v>172</v>
      </c>
      <c r="J28" s="303">
        <v>19902.96</v>
      </c>
      <c r="L28" s="199">
        <v>2039</v>
      </c>
      <c r="M28" s="190" t="s">
        <v>169</v>
      </c>
      <c r="N28" s="303">
        <v>9338</v>
      </c>
    </row>
    <row r="29" spans="2:14" ht="15.75" customHeight="1" x14ac:dyDescent="0.25">
      <c r="B29" s="2">
        <f t="shared" si="3"/>
        <v>2046</v>
      </c>
      <c r="C29" s="189">
        <f t="shared" si="0"/>
        <v>58171.829870065747</v>
      </c>
      <c r="D29" s="7">
        <f t="shared" si="1"/>
        <v>14349.144064916931</v>
      </c>
      <c r="E29" s="7">
        <f t="shared" si="2"/>
        <v>43822.685805148816</v>
      </c>
      <c r="F29" s="7">
        <f>E29*(1+0.07)^-($B29-Assumptions!$D$4)</f>
        <v>7546.0689873029851</v>
      </c>
      <c r="H29" s="199">
        <v>2040</v>
      </c>
      <c r="I29" s="190" t="s">
        <v>172</v>
      </c>
      <c r="J29" s="303">
        <v>20376.84</v>
      </c>
      <c r="L29" s="199">
        <v>2040</v>
      </c>
      <c r="M29" s="190" t="s">
        <v>169</v>
      </c>
      <c r="N29" s="303">
        <v>9527</v>
      </c>
    </row>
    <row r="30" spans="2:14" ht="15.75" customHeight="1" x14ac:dyDescent="0.25">
      <c r="B30" s="2">
        <f t="shared" si="3"/>
        <v>2047</v>
      </c>
      <c r="C30" s="189">
        <f t="shared" si="0"/>
        <v>63992.41969489371</v>
      </c>
      <c r="D30" s="7">
        <f t="shared" si="1"/>
        <v>15181.066405452257</v>
      </c>
      <c r="E30" s="7">
        <f t="shared" si="2"/>
        <v>48811.353289441453</v>
      </c>
      <c r="F30" s="7">
        <f>E30*(1+0.07)^-($B30-Assumptions!$D$4)</f>
        <v>7855.2290132998951</v>
      </c>
      <c r="H30" s="199">
        <v>2041</v>
      </c>
      <c r="I30" s="190" t="s">
        <v>172</v>
      </c>
      <c r="J30" s="303">
        <v>33450.720000000001</v>
      </c>
      <c r="L30" s="199">
        <v>2041</v>
      </c>
      <c r="M30" s="190" t="s">
        <v>171</v>
      </c>
      <c r="N30" s="303">
        <v>9716</v>
      </c>
    </row>
    <row r="31" spans="2:14" ht="15.75" customHeight="1" x14ac:dyDescent="0.25">
      <c r="B31" s="2">
        <f t="shared" si="3"/>
        <v>2048</v>
      </c>
      <c r="C31" s="189">
        <f t="shared" si="0"/>
        <v>0</v>
      </c>
      <c r="D31" s="7">
        <f t="shared" si="1"/>
        <v>0</v>
      </c>
      <c r="E31" s="7">
        <f t="shared" si="2"/>
        <v>0</v>
      </c>
      <c r="F31" s="7">
        <f>E31*(1+0.07)^-($B31-Assumptions!$D$4)</f>
        <v>0</v>
      </c>
      <c r="H31" s="199">
        <v>2042</v>
      </c>
      <c r="I31" s="190" t="s">
        <v>172</v>
      </c>
      <c r="J31" s="303">
        <v>33924.600000000006</v>
      </c>
      <c r="L31" s="199">
        <v>2042</v>
      </c>
      <c r="M31" s="190" t="s">
        <v>169</v>
      </c>
      <c r="N31" s="303">
        <v>12065</v>
      </c>
    </row>
    <row r="32" spans="2:14" ht="15.75" customHeight="1" x14ac:dyDescent="0.25">
      <c r="B32" s="2">
        <f t="shared" si="3"/>
        <v>2049</v>
      </c>
      <c r="C32" s="189">
        <f t="shared" si="0"/>
        <v>0</v>
      </c>
      <c r="D32" s="7">
        <f t="shared" si="1"/>
        <v>0</v>
      </c>
      <c r="E32" s="7">
        <f t="shared" si="2"/>
        <v>0</v>
      </c>
      <c r="F32" s="7">
        <f>E32*(1+0.07)^-($B32-Assumptions!$D$4)</f>
        <v>0</v>
      </c>
      <c r="H32" s="353">
        <v>2043</v>
      </c>
      <c r="I32" s="354" t="s">
        <v>233</v>
      </c>
      <c r="J32" s="355">
        <f>TREND($J$26:$J$31,$H$26:$H$31,H32)</f>
        <v>42396.879999998957</v>
      </c>
      <c r="K32" s="343"/>
      <c r="L32" s="353">
        <v>2043</v>
      </c>
      <c r="M32" s="354" t="s">
        <v>233</v>
      </c>
      <c r="N32" s="355">
        <f>TREND($N$20:$N$31,$L$20:$L$31,L32)</f>
        <v>12344.521212121239</v>
      </c>
    </row>
    <row r="33" spans="1:14" ht="15.75" customHeight="1" x14ac:dyDescent="0.25">
      <c r="B33" s="2">
        <f t="shared" si="3"/>
        <v>2050</v>
      </c>
      <c r="C33" s="189">
        <f t="shared" si="0"/>
        <v>0</v>
      </c>
      <c r="D33" s="7">
        <f t="shared" si="1"/>
        <v>0</v>
      </c>
      <c r="E33" s="7">
        <f t="shared" si="2"/>
        <v>0</v>
      </c>
      <c r="F33" s="7">
        <f>E33*(1+0.07)^-($B33-Assumptions!$D$4)</f>
        <v>0</v>
      </c>
      <c r="H33" s="353">
        <v>2044</v>
      </c>
      <c r="I33" s="354" t="s">
        <v>233</v>
      </c>
      <c r="J33" s="355">
        <f t="shared" ref="J33:J36" si="4">TREND($J$26:$J$31,$H$26:$H$31,H33)</f>
        <v>48458.645714284852</v>
      </c>
      <c r="K33" s="343"/>
      <c r="L33" s="353">
        <v>2044</v>
      </c>
      <c r="M33" s="354" t="s">
        <v>233</v>
      </c>
      <c r="N33" s="355">
        <f t="shared" ref="N33:N36" si="5">TREND($N$20:$N$31,$L$20:$L$31,L33)</f>
        <v>13210.914219114231</v>
      </c>
    </row>
    <row r="34" spans="1:14" ht="15.75" customHeight="1" thickBot="1" x14ac:dyDescent="0.3">
      <c r="B34" s="3">
        <f t="shared" si="3"/>
        <v>2051</v>
      </c>
      <c r="C34" s="17">
        <f t="shared" si="0"/>
        <v>0</v>
      </c>
      <c r="D34" s="8">
        <f t="shared" si="1"/>
        <v>0</v>
      </c>
      <c r="E34" s="8">
        <f t="shared" si="2"/>
        <v>0</v>
      </c>
      <c r="F34" s="8">
        <f>E34*(1+0.07)^-($B34-Assumptions!$D$4)</f>
        <v>0</v>
      </c>
      <c r="H34" s="353">
        <v>2045</v>
      </c>
      <c r="I34" s="354" t="s">
        <v>233</v>
      </c>
      <c r="J34" s="355">
        <f t="shared" si="4"/>
        <v>54520.411428570747</v>
      </c>
      <c r="L34" s="353">
        <v>2045</v>
      </c>
      <c r="M34" s="354" t="s">
        <v>233</v>
      </c>
      <c r="N34" s="355">
        <f t="shared" si="5"/>
        <v>14077.307226107223</v>
      </c>
    </row>
    <row r="35" spans="1:14" ht="15.75" customHeight="1" x14ac:dyDescent="0.25">
      <c r="B35" s="4"/>
      <c r="C35" s="6">
        <f>SUM(C5:C34)</f>
        <v>5947655.3337777313</v>
      </c>
      <c r="D35" s="9">
        <f>SUM(D5:D34)</f>
        <v>181397.99787763436</v>
      </c>
      <c r="E35" s="15"/>
      <c r="F35" s="6">
        <f>SUM(F5:F34)</f>
        <v>2672025.1139525766</v>
      </c>
      <c r="H35" s="353">
        <v>2046</v>
      </c>
      <c r="I35" s="354" t="s">
        <v>233</v>
      </c>
      <c r="J35" s="355">
        <f t="shared" si="4"/>
        <v>60582.177142856643</v>
      </c>
      <c r="L35" s="353">
        <v>2046</v>
      </c>
      <c r="M35" s="354" t="s">
        <v>233</v>
      </c>
      <c r="N35" s="355">
        <f t="shared" si="5"/>
        <v>14943.700233100215</v>
      </c>
    </row>
    <row r="36" spans="1:14" ht="15.75" customHeight="1" x14ac:dyDescent="0.25">
      <c r="B36" s="4"/>
      <c r="C36" s="4"/>
      <c r="D36" s="6"/>
      <c r="E36" s="6"/>
      <c r="F36" s="101"/>
      <c r="H36" s="353">
        <v>2047</v>
      </c>
      <c r="I36" s="354" t="s">
        <v>233</v>
      </c>
      <c r="J36" s="355">
        <f t="shared" si="4"/>
        <v>66643.942857142538</v>
      </c>
      <c r="L36" s="353">
        <v>2047</v>
      </c>
      <c r="M36" s="354" t="s">
        <v>233</v>
      </c>
      <c r="N36" s="355">
        <f t="shared" si="5"/>
        <v>15810.093240093207</v>
      </c>
    </row>
    <row r="37" spans="1:14" ht="15.75" customHeight="1" x14ac:dyDescent="0.25">
      <c r="H37" s="403"/>
      <c r="I37" s="403"/>
      <c r="J37" s="403"/>
      <c r="K37" s="403"/>
      <c r="L37" s="403"/>
      <c r="M37" s="403"/>
      <c r="N37" s="403"/>
    </row>
    <row r="38" spans="1:14" ht="15.75" customHeight="1" x14ac:dyDescent="0.25">
      <c r="B38" s="10" t="s">
        <v>3</v>
      </c>
      <c r="H38" s="403"/>
      <c r="I38" s="403"/>
      <c r="J38" s="403"/>
      <c r="K38" s="403"/>
      <c r="L38" s="403"/>
      <c r="M38" s="403"/>
      <c r="N38" s="403"/>
    </row>
    <row r="39" spans="1:14" ht="15.75" customHeight="1" x14ac:dyDescent="0.25">
      <c r="A39" s="11" t="s">
        <v>27</v>
      </c>
      <c r="B39" s="490" t="s">
        <v>313</v>
      </c>
      <c r="C39" s="490"/>
      <c r="D39" s="490"/>
      <c r="E39" s="490"/>
      <c r="F39" s="490"/>
      <c r="H39" s="403"/>
      <c r="I39" s="403"/>
      <c r="J39" s="403"/>
      <c r="K39" s="403"/>
      <c r="L39" s="403"/>
      <c r="M39" s="403"/>
      <c r="N39" s="403"/>
    </row>
    <row r="40" spans="1:14" ht="15.75" customHeight="1" x14ac:dyDescent="0.25">
      <c r="B40" s="490"/>
      <c r="C40" s="490"/>
      <c r="D40" s="490"/>
      <c r="E40" s="490"/>
      <c r="F40" s="490"/>
    </row>
    <row r="41" spans="1:14" ht="15.75" customHeight="1" x14ac:dyDescent="0.25">
      <c r="B41" s="490"/>
      <c r="C41" s="490"/>
      <c r="D41" s="490"/>
      <c r="E41" s="490"/>
      <c r="F41" s="490"/>
    </row>
    <row r="42" spans="1:14" ht="15.75" customHeight="1" x14ac:dyDescent="0.25">
      <c r="B42" s="490"/>
      <c r="C42" s="490"/>
      <c r="D42" s="490"/>
      <c r="E42" s="490"/>
      <c r="F42" s="490"/>
    </row>
    <row r="43" spans="1:14" ht="15.75" customHeight="1" x14ac:dyDescent="0.25">
      <c r="A43" s="34"/>
      <c r="B43" s="490"/>
      <c r="C43" s="490"/>
      <c r="D43" s="490"/>
      <c r="E43" s="490"/>
      <c r="F43" s="490"/>
    </row>
    <row r="44" spans="1:14" ht="15.75" customHeight="1" x14ac:dyDescent="0.25">
      <c r="A44" s="28"/>
      <c r="B44" s="490"/>
      <c r="C44" s="490"/>
      <c r="D44" s="490"/>
      <c r="E44" s="490"/>
      <c r="F44" s="490"/>
    </row>
    <row r="45" spans="1:14" ht="15.75" customHeight="1" x14ac:dyDescent="0.25">
      <c r="A45" s="34"/>
      <c r="B45" s="340"/>
      <c r="C45" s="340"/>
      <c r="D45" s="340"/>
      <c r="E45" s="340"/>
      <c r="F45" s="340"/>
    </row>
    <row r="46" spans="1:14" x14ac:dyDescent="0.25">
      <c r="A46" s="28"/>
      <c r="B46" s="340"/>
      <c r="C46" s="340"/>
      <c r="D46" s="340"/>
      <c r="E46" s="340"/>
      <c r="F46" s="340"/>
    </row>
    <row r="47" spans="1:14" x14ac:dyDescent="0.25">
      <c r="A47" s="28"/>
      <c r="B47" s="340"/>
      <c r="C47" s="340"/>
      <c r="D47" s="340"/>
      <c r="E47" s="340"/>
      <c r="F47" s="340"/>
    </row>
    <row r="48" spans="1:14" x14ac:dyDescent="0.25">
      <c r="A48" s="28"/>
      <c r="B48" s="340"/>
      <c r="C48" s="340"/>
      <c r="D48" s="340"/>
      <c r="E48" s="340"/>
      <c r="F48" s="340"/>
    </row>
    <row r="49" spans="1:6" x14ac:dyDescent="0.25">
      <c r="A49" s="28"/>
      <c r="B49" s="340"/>
      <c r="C49" s="340"/>
      <c r="D49" s="340"/>
      <c r="E49" s="340"/>
      <c r="F49" s="340"/>
    </row>
    <row r="50" spans="1:6" x14ac:dyDescent="0.25">
      <c r="A50" s="28"/>
      <c r="B50" s="36"/>
      <c r="C50" s="36"/>
      <c r="D50" s="36"/>
      <c r="E50" s="36"/>
    </row>
    <row r="51" spans="1:6" ht="15" customHeight="1" x14ac:dyDescent="0.25">
      <c r="A51" s="28"/>
      <c r="B51" s="36"/>
      <c r="C51" s="36"/>
      <c r="D51" s="36"/>
      <c r="E51" s="36"/>
    </row>
    <row r="55" spans="1:6" x14ac:dyDescent="0.25">
      <c r="A55" s="11"/>
    </row>
    <row r="57" spans="1:6" ht="15" customHeight="1" x14ac:dyDescent="0.25"/>
    <row r="61" spans="1:6" x14ac:dyDescent="0.25">
      <c r="A61" s="11"/>
    </row>
  </sheetData>
  <mergeCells count="6">
    <mergeCell ref="B39:F44"/>
    <mergeCell ref="E3:E4"/>
    <mergeCell ref="F3:F4"/>
    <mergeCell ref="B3:B4"/>
    <mergeCell ref="C3:C4"/>
    <mergeCell ref="D3:D4"/>
  </mergeCells>
  <pageMargins left="0.25" right="0.25" top="0.75" bottom="0.75" header="0.3" footer="0.3"/>
  <pageSetup paperSize="3"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1447E-4568-464D-AE1B-323783893167}">
  <sheetPr>
    <pageSetUpPr fitToPage="1"/>
  </sheetPr>
  <dimension ref="A1:M71"/>
  <sheetViews>
    <sheetView view="pageBreakPreview" topLeftCell="A19" zoomScale="85" zoomScaleNormal="85" zoomScaleSheetLayoutView="85" workbookViewId="0">
      <selection activeCell="B44" sqref="B44:H48"/>
    </sheetView>
  </sheetViews>
  <sheetFormatPr defaultRowHeight="15" x14ac:dyDescent="0.25"/>
  <cols>
    <col min="1" max="1" width="9.140625" style="92"/>
    <col min="2" max="8" width="15.7109375" style="92" customWidth="1"/>
    <col min="9" max="9" width="15.5703125" style="92" customWidth="1"/>
    <col min="10" max="10" width="40.5703125" style="92" customWidth="1"/>
    <col min="11" max="11" width="20.28515625" style="92" bestFit="1" customWidth="1"/>
    <col min="12" max="12" width="22.5703125" style="92" bestFit="1" customWidth="1"/>
    <col min="13" max="16" width="22.7109375" style="92" customWidth="1"/>
    <col min="17" max="16384" width="9.140625" style="92"/>
  </cols>
  <sheetData>
    <row r="1" spans="2:13" x14ac:dyDescent="0.25">
      <c r="C1" s="92">
        <v>2</v>
      </c>
    </row>
    <row r="2" spans="2:13" ht="15.75" thickBot="1" x14ac:dyDescent="0.3">
      <c r="B2" s="10" t="s">
        <v>7</v>
      </c>
    </row>
    <row r="3" spans="2:13" ht="22.5" customHeight="1" x14ac:dyDescent="0.25">
      <c r="B3" s="515" t="s">
        <v>0</v>
      </c>
      <c r="C3" s="497" t="s">
        <v>15</v>
      </c>
      <c r="D3" s="551" t="s">
        <v>1</v>
      </c>
      <c r="E3" s="553" t="s">
        <v>156</v>
      </c>
      <c r="F3" s="555" t="s">
        <v>157</v>
      </c>
      <c r="G3" s="555" t="s">
        <v>165</v>
      </c>
      <c r="H3" s="551" t="s">
        <v>1</v>
      </c>
      <c r="I3" s="162"/>
    </row>
    <row r="4" spans="2:13" ht="22.5" customHeight="1" thickBot="1" x14ac:dyDescent="0.3">
      <c r="B4" s="548"/>
      <c r="C4" s="498"/>
      <c r="D4" s="552"/>
      <c r="E4" s="554"/>
      <c r="F4" s="556"/>
      <c r="G4" s="556"/>
      <c r="H4" s="552"/>
      <c r="I4" s="162"/>
    </row>
    <row r="5" spans="2:13" ht="15.75" customHeight="1" x14ac:dyDescent="0.25">
      <c r="B5" s="243">
        <v>2024</v>
      </c>
      <c r="C5" s="276">
        <f>K11*$M$15</f>
        <v>1784527.7925429002</v>
      </c>
      <c r="D5" s="269">
        <f>C5*(1+0.07)^-($B5-Assumptions!$D$4)</f>
        <v>1361407.7086967179</v>
      </c>
      <c r="E5" s="287">
        <f t="shared" ref="E5:E37" si="0">IF(B5=$K$27,$M$27,0)</f>
        <v>0</v>
      </c>
      <c r="F5" s="287">
        <f t="shared" ref="F5:F37" si="1">IF(B5=$K$28,$M$28,0)</f>
        <v>0</v>
      </c>
      <c r="G5" s="280">
        <f>SUM(E5:F5)</f>
        <v>0</v>
      </c>
      <c r="H5" s="288">
        <f>G5*(1+0.07)^-($B5-Assumptions!$D$4)</f>
        <v>0</v>
      </c>
    </row>
    <row r="6" spans="2:13" ht="15.75" customHeight="1" x14ac:dyDescent="0.25">
      <c r="B6" s="197">
        <f>B5+1</f>
        <v>2025</v>
      </c>
      <c r="C6" s="272">
        <f>$K$11*$M$16</f>
        <v>21414333.5105148</v>
      </c>
      <c r="D6" s="204">
        <f>C6*(1+0.07)^-($B6-Assumptions!$D$4)</f>
        <v>15268123.83585104</v>
      </c>
      <c r="E6" s="274">
        <f t="shared" si="0"/>
        <v>0</v>
      </c>
      <c r="F6" s="274">
        <f t="shared" si="1"/>
        <v>0</v>
      </c>
      <c r="G6" s="281">
        <f t="shared" ref="G6:G37" si="2">SUM(E6:F6)</f>
        <v>0</v>
      </c>
      <c r="H6" s="7">
        <f>G6*(1+0.07)^-($B6-Assumptions!$D$4)</f>
        <v>0</v>
      </c>
      <c r="J6" s="10" t="s">
        <v>291</v>
      </c>
      <c r="K6" s="343"/>
    </row>
    <row r="7" spans="2:13" ht="15.75" customHeight="1" x14ac:dyDescent="0.25">
      <c r="B7" s="197">
        <f>B6+1</f>
        <v>2026</v>
      </c>
      <c r="C7" s="272">
        <f>$K$11*$M$17</f>
        <v>21414333.5105148</v>
      </c>
      <c r="D7" s="204">
        <f>C7*(1+0.07)^-($B7-Assumptions!$D$4)</f>
        <v>14269274.612944897</v>
      </c>
      <c r="E7" s="274">
        <f t="shared" si="0"/>
        <v>0</v>
      </c>
      <c r="F7" s="274">
        <f t="shared" si="1"/>
        <v>0</v>
      </c>
      <c r="G7" s="281">
        <f t="shared" si="2"/>
        <v>0</v>
      </c>
      <c r="H7" s="7">
        <f>G7*(1+0.07)^-($B7-Assumptions!$D$4)</f>
        <v>0</v>
      </c>
      <c r="J7" s="382" t="s">
        <v>289</v>
      </c>
      <c r="K7" s="384">
        <f>113.648/118.357</f>
        <v>0.96021359108459992</v>
      </c>
    </row>
    <row r="8" spans="2:13" ht="15.75" customHeight="1" thickBot="1" x14ac:dyDescent="0.3">
      <c r="B8" s="198">
        <f>+B7+1</f>
        <v>2027</v>
      </c>
      <c r="C8" s="273">
        <f>K11*$M$18</f>
        <v>2855244.4680686402</v>
      </c>
      <c r="D8" s="270">
        <f>C8*(1+0.07)^-($B8-Assumptions!$D$4)</f>
        <v>1778102.7555071523</v>
      </c>
      <c r="E8" s="289">
        <f t="shared" si="0"/>
        <v>0</v>
      </c>
      <c r="F8" s="289">
        <f t="shared" si="1"/>
        <v>0</v>
      </c>
      <c r="G8" s="282">
        <f t="shared" si="2"/>
        <v>0</v>
      </c>
      <c r="H8" s="8">
        <f>G8*(1+0.07)^-($B8-Assumptions!$D$4)</f>
        <v>0</v>
      </c>
    </row>
    <row r="9" spans="2:13" ht="15.75" customHeight="1" x14ac:dyDescent="0.25">
      <c r="B9" s="268">
        <f t="shared" ref="B9:B28" si="3">+B8+1</f>
        <v>2028</v>
      </c>
      <c r="C9" s="276">
        <v>0</v>
      </c>
      <c r="D9" s="269">
        <f>C9*(1+0.07)^-($B9-Assumptions!$D$4)</f>
        <v>0</v>
      </c>
      <c r="E9" s="286">
        <f t="shared" si="0"/>
        <v>0</v>
      </c>
      <c r="F9" s="286">
        <f t="shared" si="1"/>
        <v>0</v>
      </c>
      <c r="G9" s="283">
        <f t="shared" si="2"/>
        <v>0</v>
      </c>
      <c r="H9" s="194">
        <f>G9*(1+0.07)^-($B9-Assumptions!$D$4)</f>
        <v>0</v>
      </c>
      <c r="J9" s="10" t="s">
        <v>292</v>
      </c>
    </row>
    <row r="10" spans="2:13" ht="15.75" customHeight="1" x14ac:dyDescent="0.25">
      <c r="B10" s="2">
        <f t="shared" si="3"/>
        <v>2029</v>
      </c>
      <c r="C10" s="277">
        <v>0</v>
      </c>
      <c r="D10" s="7">
        <f>C10*(1+0.07)^-($B10-Assumptions!$D$4)</f>
        <v>0</v>
      </c>
      <c r="E10" s="275">
        <f t="shared" si="0"/>
        <v>0</v>
      </c>
      <c r="F10" s="275">
        <f t="shared" si="1"/>
        <v>0</v>
      </c>
      <c r="G10" s="284">
        <f t="shared" si="2"/>
        <v>0</v>
      </c>
      <c r="H10" s="7">
        <f>G10*(1+0.07)^-($B10-Assumptions!$D$4)</f>
        <v>0</v>
      </c>
      <c r="J10" s="199" t="s">
        <v>294</v>
      </c>
      <c r="K10" s="271">
        <v>49559190</v>
      </c>
    </row>
    <row r="11" spans="2:13" ht="15.75" customHeight="1" x14ac:dyDescent="0.25">
      <c r="B11" s="2">
        <f t="shared" si="3"/>
        <v>2030</v>
      </c>
      <c r="C11" s="277">
        <v>0</v>
      </c>
      <c r="D11" s="7">
        <f>C11*(1+0.07)^-($B11-Assumptions!$D$4)</f>
        <v>0</v>
      </c>
      <c r="E11" s="275">
        <f t="shared" si="0"/>
        <v>0</v>
      </c>
      <c r="F11" s="275">
        <f t="shared" si="1"/>
        <v>0</v>
      </c>
      <c r="G11" s="284">
        <f t="shared" si="2"/>
        <v>0</v>
      </c>
      <c r="H11" s="7">
        <f>G11*(1+0.07)^-($B11-Assumptions!$D$4)</f>
        <v>0</v>
      </c>
      <c r="J11" s="199" t="s">
        <v>290</v>
      </c>
      <c r="K11" s="271">
        <f>K10*K7</f>
        <v>47587407.801143996</v>
      </c>
    </row>
    <row r="12" spans="2:13" ht="15.75" customHeight="1" x14ac:dyDescent="0.25">
      <c r="B12" s="2">
        <f t="shared" si="3"/>
        <v>2031</v>
      </c>
      <c r="C12" s="277">
        <v>0</v>
      </c>
      <c r="D12" s="7">
        <f>C12*(1+0.07)^-($B12-Assumptions!$D$4)</f>
        <v>0</v>
      </c>
      <c r="E12" s="275">
        <f t="shared" si="0"/>
        <v>0</v>
      </c>
      <c r="F12" s="275">
        <f t="shared" si="1"/>
        <v>0</v>
      </c>
      <c r="G12" s="284">
        <f t="shared" si="2"/>
        <v>0</v>
      </c>
      <c r="H12" s="7">
        <f>G12*(1+0.07)^-($B12-Assumptions!$D$4)</f>
        <v>0</v>
      </c>
    </row>
    <row r="13" spans="2:13" ht="15.75" customHeight="1" x14ac:dyDescent="0.25">
      <c r="B13" s="2">
        <f t="shared" si="3"/>
        <v>2032</v>
      </c>
      <c r="C13" s="277">
        <v>0</v>
      </c>
      <c r="D13" s="7">
        <f>C13*(1+0.07)^-($B13-Assumptions!$D$4)</f>
        <v>0</v>
      </c>
      <c r="E13" s="275">
        <f t="shared" si="0"/>
        <v>0</v>
      </c>
      <c r="F13" s="275">
        <f t="shared" si="1"/>
        <v>0</v>
      </c>
      <c r="G13" s="284">
        <f t="shared" si="2"/>
        <v>0</v>
      </c>
      <c r="H13" s="7">
        <f>G13*(1+0.07)^-($B13-Assumptions!$D$4)</f>
        <v>0</v>
      </c>
      <c r="J13" s="10" t="s">
        <v>293</v>
      </c>
    </row>
    <row r="14" spans="2:13" ht="15.75" customHeight="1" x14ac:dyDescent="0.25">
      <c r="B14" s="2">
        <f t="shared" si="3"/>
        <v>2033</v>
      </c>
      <c r="C14" s="277">
        <v>0</v>
      </c>
      <c r="D14" s="7">
        <f>C14*(1+0.07)^-($B14-Assumptions!$D$4)</f>
        <v>0</v>
      </c>
      <c r="E14" s="275">
        <f t="shared" si="0"/>
        <v>0</v>
      </c>
      <c r="F14" s="275">
        <f t="shared" si="1"/>
        <v>0</v>
      </c>
      <c r="G14" s="284">
        <f t="shared" si="2"/>
        <v>0</v>
      </c>
      <c r="H14" s="7">
        <f>G14*(1+0.07)^-($B14-Assumptions!$D$4)</f>
        <v>0</v>
      </c>
      <c r="J14" s="199" t="s">
        <v>152</v>
      </c>
      <c r="K14" s="199" t="s">
        <v>153</v>
      </c>
      <c r="L14" s="199" t="s">
        <v>154</v>
      </c>
      <c r="M14" s="199" t="s">
        <v>155</v>
      </c>
    </row>
    <row r="15" spans="2:13" ht="15.75" customHeight="1" x14ac:dyDescent="0.25">
      <c r="B15" s="2">
        <f t="shared" si="3"/>
        <v>2034</v>
      </c>
      <c r="C15" s="277">
        <v>0</v>
      </c>
      <c r="D15" s="7">
        <f>C15*(1+0.07)^-($B15-Assumptions!$D$4)</f>
        <v>0</v>
      </c>
      <c r="E15" s="275">
        <f t="shared" si="0"/>
        <v>0</v>
      </c>
      <c r="F15" s="275">
        <f t="shared" si="1"/>
        <v>0</v>
      </c>
      <c r="G15" s="284">
        <f t="shared" si="2"/>
        <v>0</v>
      </c>
      <c r="H15" s="7">
        <f>G15*(1+0.07)^-($B15-Assumptions!$D$4)</f>
        <v>0</v>
      </c>
      <c r="J15" s="199">
        <v>2024</v>
      </c>
      <c r="K15" s="245">
        <v>2.5000000000000001E-2</v>
      </c>
      <c r="L15" s="245">
        <v>0.05</v>
      </c>
      <c r="M15" s="245">
        <f>AVERAGE(K15:L15)</f>
        <v>3.7500000000000006E-2</v>
      </c>
    </row>
    <row r="16" spans="2:13" ht="15.75" customHeight="1" x14ac:dyDescent="0.25">
      <c r="B16" s="2">
        <f t="shared" si="3"/>
        <v>2035</v>
      </c>
      <c r="C16" s="277">
        <v>0</v>
      </c>
      <c r="D16" s="7">
        <f>C16*(1+0.07)^-($B16-Assumptions!$D$4)</f>
        <v>0</v>
      </c>
      <c r="E16" s="275">
        <f t="shared" si="0"/>
        <v>0</v>
      </c>
      <c r="F16" s="275">
        <f t="shared" si="1"/>
        <v>0</v>
      </c>
      <c r="G16" s="284">
        <f t="shared" si="2"/>
        <v>0</v>
      </c>
      <c r="H16" s="7">
        <f>G16*(1+0.07)^-($B16-Assumptions!$D$4)</f>
        <v>0</v>
      </c>
      <c r="J16" s="199">
        <v>2025</v>
      </c>
      <c r="K16" s="245">
        <v>0.4375</v>
      </c>
      <c r="L16" s="245">
        <v>0.46250000000000002</v>
      </c>
      <c r="M16" s="245">
        <f>AVERAGE(K16:L16)</f>
        <v>0.45</v>
      </c>
    </row>
    <row r="17" spans="2:13" ht="15.75" customHeight="1" x14ac:dyDescent="0.25">
      <c r="B17" s="2">
        <f t="shared" si="3"/>
        <v>2036</v>
      </c>
      <c r="C17" s="277">
        <v>0</v>
      </c>
      <c r="D17" s="7">
        <f>C17*(1+0.07)^-($B17-Assumptions!$D$4)</f>
        <v>0</v>
      </c>
      <c r="E17" s="275">
        <f t="shared" si="0"/>
        <v>0</v>
      </c>
      <c r="F17" s="275">
        <f t="shared" si="1"/>
        <v>0</v>
      </c>
      <c r="G17" s="284">
        <f t="shared" si="2"/>
        <v>0</v>
      </c>
      <c r="H17" s="7">
        <f>G17*(1+0.07)^-($B17-Assumptions!$D$4)</f>
        <v>0</v>
      </c>
      <c r="J17" s="199">
        <v>2026</v>
      </c>
      <c r="K17" s="245">
        <v>0.4375</v>
      </c>
      <c r="L17" s="245">
        <v>0.46250000000000002</v>
      </c>
      <c r="M17" s="245">
        <f>AVERAGE(K17:L17)</f>
        <v>0.45</v>
      </c>
    </row>
    <row r="18" spans="2:13" ht="15.75" customHeight="1" x14ac:dyDescent="0.25">
      <c r="B18" s="2">
        <f t="shared" si="3"/>
        <v>2037</v>
      </c>
      <c r="C18" s="277">
        <v>0</v>
      </c>
      <c r="D18" s="7">
        <f>C18*(1+0.07)^-($B18-Assumptions!$D$4)</f>
        <v>0</v>
      </c>
      <c r="E18" s="275">
        <f t="shared" si="0"/>
        <v>0</v>
      </c>
      <c r="F18" s="275">
        <f t="shared" si="1"/>
        <v>0</v>
      </c>
      <c r="G18" s="284">
        <f t="shared" si="2"/>
        <v>0</v>
      </c>
      <c r="H18" s="7">
        <f>G18*(1+0.07)^-($B18-Assumptions!$D$4)</f>
        <v>0</v>
      </c>
      <c r="J18" s="199">
        <v>2027</v>
      </c>
      <c r="K18" s="245">
        <v>0.05</v>
      </c>
      <c r="L18" s="245">
        <v>7.0000000000000007E-2</v>
      </c>
      <c r="M18" s="245">
        <f>AVERAGE(K18:L18)</f>
        <v>6.0000000000000005E-2</v>
      </c>
    </row>
    <row r="19" spans="2:13" ht="15.75" customHeight="1" x14ac:dyDescent="0.25">
      <c r="B19" s="2">
        <f t="shared" si="3"/>
        <v>2038</v>
      </c>
      <c r="C19" s="277">
        <v>0</v>
      </c>
      <c r="D19" s="7">
        <f>C19*(1+0.07)^-($B19-Assumptions!$D$4)</f>
        <v>0</v>
      </c>
      <c r="E19" s="275">
        <f t="shared" si="0"/>
        <v>0</v>
      </c>
      <c r="F19" s="275">
        <f t="shared" si="1"/>
        <v>0</v>
      </c>
      <c r="G19" s="284">
        <f t="shared" si="2"/>
        <v>0</v>
      </c>
      <c r="H19" s="7">
        <f>G19*(1+0.07)^-($B19-Assumptions!$D$4)</f>
        <v>0</v>
      </c>
    </row>
    <row r="20" spans="2:13" ht="15.75" customHeight="1" x14ac:dyDescent="0.25">
      <c r="B20" s="2">
        <f t="shared" si="3"/>
        <v>2039</v>
      </c>
      <c r="C20" s="277">
        <v>0</v>
      </c>
      <c r="D20" s="7">
        <f>C20*(1+0.07)^-($B20-Assumptions!$D$4)</f>
        <v>0</v>
      </c>
      <c r="E20" s="275">
        <f t="shared" si="0"/>
        <v>0</v>
      </c>
      <c r="F20" s="275">
        <f t="shared" si="1"/>
        <v>0</v>
      </c>
      <c r="G20" s="284">
        <f t="shared" si="2"/>
        <v>0</v>
      </c>
      <c r="H20" s="7">
        <f>G20*(1+0.07)^-($B20-Assumptions!$D$4)</f>
        <v>0</v>
      </c>
      <c r="J20" s="10" t="s">
        <v>310</v>
      </c>
    </row>
    <row r="21" spans="2:13" ht="15.75" customHeight="1" x14ac:dyDescent="0.25">
      <c r="B21" s="2">
        <f t="shared" si="3"/>
        <v>2040</v>
      </c>
      <c r="C21" s="277">
        <v>0</v>
      </c>
      <c r="D21" s="7">
        <f>C21*(1+0.07)^-($B21-Assumptions!$D$4)</f>
        <v>0</v>
      </c>
      <c r="E21" s="275">
        <f t="shared" si="0"/>
        <v>0</v>
      </c>
      <c r="F21" s="275">
        <f t="shared" si="1"/>
        <v>0</v>
      </c>
      <c r="G21" s="284">
        <f t="shared" si="2"/>
        <v>0</v>
      </c>
      <c r="H21" s="7">
        <f>G21*(1+0.07)^-($B21-Assumptions!$D$4)</f>
        <v>0</v>
      </c>
      <c r="J21" s="290" t="s">
        <v>158</v>
      </c>
      <c r="K21" s="290" t="s">
        <v>159</v>
      </c>
      <c r="L21" s="290" t="s">
        <v>160</v>
      </c>
    </row>
    <row r="22" spans="2:13" ht="15.75" customHeight="1" x14ac:dyDescent="0.25">
      <c r="B22" s="2">
        <f t="shared" si="3"/>
        <v>2041</v>
      </c>
      <c r="C22" s="277">
        <v>0</v>
      </c>
      <c r="D22" s="7">
        <f>C22*(1+0.07)^-($B22-Assumptions!$D$4)</f>
        <v>0</v>
      </c>
      <c r="E22" s="275">
        <f t="shared" si="0"/>
        <v>0</v>
      </c>
      <c r="F22" s="275">
        <f t="shared" si="1"/>
        <v>0</v>
      </c>
      <c r="G22" s="284">
        <f t="shared" si="2"/>
        <v>0</v>
      </c>
      <c r="H22" s="7">
        <f>G22*(1+0.07)^-($B22-Assumptions!$D$4)</f>
        <v>0</v>
      </c>
      <c r="J22" s="291" t="s">
        <v>162</v>
      </c>
      <c r="K22" s="291">
        <v>2028</v>
      </c>
      <c r="L22" s="292">
        <f>K11/2</f>
        <v>23793703.900571998</v>
      </c>
    </row>
    <row r="23" spans="2:13" ht="15.75" customHeight="1" x14ac:dyDescent="0.25">
      <c r="B23" s="2">
        <f t="shared" si="3"/>
        <v>2042</v>
      </c>
      <c r="C23" s="277">
        <v>0</v>
      </c>
      <c r="D23" s="7">
        <f>C23*(1+0.07)^-($B23-Assumptions!$D$4)</f>
        <v>0</v>
      </c>
      <c r="E23" s="275">
        <f t="shared" si="0"/>
        <v>0</v>
      </c>
      <c r="F23" s="275">
        <f t="shared" si="1"/>
        <v>0</v>
      </c>
      <c r="G23" s="284">
        <f t="shared" si="2"/>
        <v>0</v>
      </c>
      <c r="H23" s="7">
        <f>G23*(1+0.07)^-($B23-Assumptions!$D$4)</f>
        <v>0</v>
      </c>
      <c r="J23" s="291" t="s">
        <v>226</v>
      </c>
      <c r="K23" s="291">
        <v>2028</v>
      </c>
      <c r="L23" s="292">
        <f>K11/2</f>
        <v>23793703.900571998</v>
      </c>
    </row>
    <row r="24" spans="2:13" ht="15.75" customHeight="1" x14ac:dyDescent="0.25">
      <c r="B24" s="2">
        <f t="shared" si="3"/>
        <v>2043</v>
      </c>
      <c r="C24" s="277">
        <v>0</v>
      </c>
      <c r="D24" s="7">
        <f>C24*(1+0.07)^-($B24-Assumptions!$D$4)</f>
        <v>0</v>
      </c>
      <c r="E24" s="275">
        <f t="shared" si="0"/>
        <v>0</v>
      </c>
      <c r="F24" s="275">
        <f t="shared" si="1"/>
        <v>0</v>
      </c>
      <c r="G24" s="284">
        <f t="shared" si="2"/>
        <v>0</v>
      </c>
      <c r="H24" s="7">
        <f>G24*(1+0.07)^-($B24-Assumptions!$D$4)</f>
        <v>0</v>
      </c>
      <c r="J24" s="11"/>
    </row>
    <row r="25" spans="2:13" ht="15.75" customHeight="1" x14ac:dyDescent="0.25">
      <c r="B25" s="2">
        <f t="shared" si="3"/>
        <v>2044</v>
      </c>
      <c r="C25" s="277">
        <v>0</v>
      </c>
      <c r="D25" s="7">
        <f>C25*(1+0.07)^-($B25-Assumptions!$D$4)</f>
        <v>0</v>
      </c>
      <c r="E25" s="275">
        <f t="shared" si="0"/>
        <v>0</v>
      </c>
      <c r="F25" s="275">
        <f t="shared" si="1"/>
        <v>0</v>
      </c>
      <c r="G25" s="284">
        <f t="shared" si="2"/>
        <v>0</v>
      </c>
      <c r="H25" s="7">
        <f>G25*(1+0.07)^-($B25-Assumptions!$D$4)</f>
        <v>0</v>
      </c>
      <c r="J25" s="10" t="s">
        <v>311</v>
      </c>
    </row>
    <row r="26" spans="2:13" ht="15.75" customHeight="1" x14ac:dyDescent="0.25">
      <c r="B26" s="2">
        <f t="shared" si="3"/>
        <v>2045</v>
      </c>
      <c r="C26" s="277">
        <v>0</v>
      </c>
      <c r="D26" s="7">
        <f>C26*(1+0.07)^-($B26-Assumptions!$D$4)</f>
        <v>0</v>
      </c>
      <c r="E26" s="275">
        <f t="shared" si="0"/>
        <v>0</v>
      </c>
      <c r="F26" s="275">
        <f t="shared" si="1"/>
        <v>0</v>
      </c>
      <c r="G26" s="284">
        <f t="shared" si="2"/>
        <v>0</v>
      </c>
      <c r="H26" s="7">
        <f>G26*(1+0.07)^-($B26-Assumptions!$D$4)</f>
        <v>0</v>
      </c>
      <c r="J26" s="290" t="s">
        <v>19</v>
      </c>
      <c r="K26" s="290" t="s">
        <v>163</v>
      </c>
      <c r="L26" s="293" t="s">
        <v>161</v>
      </c>
      <c r="M26" s="290" t="s">
        <v>5</v>
      </c>
    </row>
    <row r="27" spans="2:13" ht="15.75" customHeight="1" x14ac:dyDescent="0.25">
      <c r="B27" s="2">
        <f t="shared" si="3"/>
        <v>2046</v>
      </c>
      <c r="C27" s="277">
        <v>0</v>
      </c>
      <c r="D27" s="7">
        <f>C27*(1+0.07)^-($B27-Assumptions!$D$4)</f>
        <v>0</v>
      </c>
      <c r="E27" s="275">
        <f t="shared" si="0"/>
        <v>0</v>
      </c>
      <c r="F27" s="275">
        <f t="shared" si="1"/>
        <v>0</v>
      </c>
      <c r="G27" s="284">
        <f t="shared" si="2"/>
        <v>0</v>
      </c>
      <c r="H27" s="7">
        <f>G27*(1+0.07)^-($B27-Assumptions!$D$4)</f>
        <v>0</v>
      </c>
      <c r="J27" s="291">
        <v>30</v>
      </c>
      <c r="K27" s="291">
        <f>K22+20-1</f>
        <v>2047</v>
      </c>
      <c r="L27" s="294">
        <f>(K22+J27-K27)/J27</f>
        <v>0.36666666666666664</v>
      </c>
      <c r="M27" s="292">
        <f>L22*L27</f>
        <v>8724358.0968763996</v>
      </c>
    </row>
    <row r="28" spans="2:13" ht="15.75" customHeight="1" x14ac:dyDescent="0.25">
      <c r="B28" s="2">
        <f t="shared" si="3"/>
        <v>2047</v>
      </c>
      <c r="C28" s="277">
        <v>0</v>
      </c>
      <c r="D28" s="7">
        <f>C28*(1+0.07)^-($B28-Assumptions!$D$4)</f>
        <v>0</v>
      </c>
      <c r="E28" s="275">
        <f t="shared" si="0"/>
        <v>8724358.0968763996</v>
      </c>
      <c r="F28" s="275">
        <f t="shared" si="1"/>
        <v>8724358.0968763996</v>
      </c>
      <c r="G28" s="284">
        <f t="shared" si="2"/>
        <v>17448716.193752799</v>
      </c>
      <c r="H28" s="7">
        <f>G28*(1+0.07)^-($B28-Assumptions!$D$4)</f>
        <v>2808028.3059812523</v>
      </c>
      <c r="J28" s="291">
        <v>30</v>
      </c>
      <c r="K28" s="291">
        <f>K23+20-1</f>
        <v>2047</v>
      </c>
      <c r="L28" s="294">
        <f>(K23+J28-K28)/J28</f>
        <v>0.36666666666666664</v>
      </c>
      <c r="M28" s="292">
        <f>L23*L28</f>
        <v>8724358.0968763996</v>
      </c>
    </row>
    <row r="29" spans="2:13" ht="15.75" customHeight="1" x14ac:dyDescent="0.25">
      <c r="B29" s="2">
        <f t="shared" ref="B29:B37" si="4">+B28+1</f>
        <v>2048</v>
      </c>
      <c r="C29" s="277">
        <v>0</v>
      </c>
      <c r="D29" s="7">
        <f>C29*(1+0.07)^-($B29-Assumptions!$D$4)</f>
        <v>0</v>
      </c>
      <c r="E29" s="275">
        <f t="shared" si="0"/>
        <v>0</v>
      </c>
      <c r="F29" s="275">
        <f t="shared" si="1"/>
        <v>0</v>
      </c>
      <c r="G29" s="284">
        <f t="shared" si="2"/>
        <v>0</v>
      </c>
      <c r="H29" s="7">
        <f>G29*(1+0.07)^-($B29-Assumptions!$D$4)</f>
        <v>0</v>
      </c>
    </row>
    <row r="30" spans="2:13" ht="15.75" customHeight="1" x14ac:dyDescent="0.25">
      <c r="B30" s="2">
        <f t="shared" si="4"/>
        <v>2049</v>
      </c>
      <c r="C30" s="277">
        <v>0</v>
      </c>
      <c r="D30" s="7">
        <f>C30*(1+0.07)^-($B30-Assumptions!$D$4)</f>
        <v>0</v>
      </c>
      <c r="E30" s="275">
        <f t="shared" si="0"/>
        <v>0</v>
      </c>
      <c r="F30" s="275">
        <f t="shared" si="1"/>
        <v>0</v>
      </c>
      <c r="G30" s="284">
        <f t="shared" si="2"/>
        <v>0</v>
      </c>
      <c r="H30" s="7">
        <f>G30*(1+0.07)^-($B30-Assumptions!$D$4)</f>
        <v>0</v>
      </c>
    </row>
    <row r="31" spans="2:13" ht="15.75" customHeight="1" x14ac:dyDescent="0.25">
      <c r="B31" s="2">
        <f t="shared" si="4"/>
        <v>2050</v>
      </c>
      <c r="C31" s="277">
        <v>0</v>
      </c>
      <c r="D31" s="7">
        <f>C31*(1+0.07)^-($B31-Assumptions!$D$4)</f>
        <v>0</v>
      </c>
      <c r="E31" s="275">
        <f t="shared" si="0"/>
        <v>0</v>
      </c>
      <c r="F31" s="275">
        <f t="shared" si="1"/>
        <v>0</v>
      </c>
      <c r="G31" s="284">
        <f t="shared" si="2"/>
        <v>0</v>
      </c>
      <c r="H31" s="7">
        <f>G31*(1+0.07)^-($B31-Assumptions!$D$4)</f>
        <v>0</v>
      </c>
    </row>
    <row r="32" spans="2:13" ht="15.75" customHeight="1" x14ac:dyDescent="0.25">
      <c r="B32" s="2">
        <f t="shared" si="4"/>
        <v>2051</v>
      </c>
      <c r="C32" s="277">
        <v>0</v>
      </c>
      <c r="D32" s="7">
        <f>C32*(1+0.07)^-($B32-Assumptions!$D$4)</f>
        <v>0</v>
      </c>
      <c r="E32" s="275">
        <f t="shared" si="0"/>
        <v>0</v>
      </c>
      <c r="F32" s="275">
        <f t="shared" si="1"/>
        <v>0</v>
      </c>
      <c r="G32" s="284">
        <f t="shared" si="2"/>
        <v>0</v>
      </c>
      <c r="H32" s="7">
        <f>G32*(1+0.07)^-($B32-Assumptions!$D$4)</f>
        <v>0</v>
      </c>
    </row>
    <row r="33" spans="1:8" ht="15.75" customHeight="1" x14ac:dyDescent="0.25">
      <c r="B33" s="2">
        <f t="shared" si="4"/>
        <v>2052</v>
      </c>
      <c r="C33" s="277">
        <v>0</v>
      </c>
      <c r="D33" s="7">
        <f>C33*(1+0.07)^-($B33-Assumptions!$D$4)</f>
        <v>0</v>
      </c>
      <c r="E33" s="275">
        <f t="shared" si="0"/>
        <v>0</v>
      </c>
      <c r="F33" s="275">
        <f t="shared" si="1"/>
        <v>0</v>
      </c>
      <c r="G33" s="284">
        <f t="shared" si="2"/>
        <v>0</v>
      </c>
      <c r="H33" s="7">
        <f>G33*(1+0.07)^-($B33-Assumptions!$D$4)</f>
        <v>0</v>
      </c>
    </row>
    <row r="34" spans="1:8" ht="15.75" customHeight="1" x14ac:dyDescent="0.25">
      <c r="B34" s="2">
        <f t="shared" si="4"/>
        <v>2053</v>
      </c>
      <c r="C34" s="277">
        <v>0</v>
      </c>
      <c r="D34" s="7">
        <f>C34*(1+0.07)^-($B34-Assumptions!$D$4)</f>
        <v>0</v>
      </c>
      <c r="E34" s="275">
        <f t="shared" si="0"/>
        <v>0</v>
      </c>
      <c r="F34" s="275">
        <f t="shared" si="1"/>
        <v>0</v>
      </c>
      <c r="G34" s="284">
        <f t="shared" si="2"/>
        <v>0</v>
      </c>
      <c r="H34" s="7">
        <f>G34*(1+0.07)^-($B34-Assumptions!$D$4)</f>
        <v>0</v>
      </c>
    </row>
    <row r="35" spans="1:8" ht="15.75" customHeight="1" x14ac:dyDescent="0.25">
      <c r="B35" s="2">
        <f t="shared" si="4"/>
        <v>2054</v>
      </c>
      <c r="C35" s="277">
        <v>0</v>
      </c>
      <c r="D35" s="7">
        <f>C35*(1+0.07)^-($B35-Assumptions!$D$4)</f>
        <v>0</v>
      </c>
      <c r="E35" s="275">
        <f t="shared" si="0"/>
        <v>0</v>
      </c>
      <c r="F35" s="275">
        <f t="shared" si="1"/>
        <v>0</v>
      </c>
      <c r="G35" s="284">
        <f t="shared" si="2"/>
        <v>0</v>
      </c>
      <c r="H35" s="7">
        <f>G35*(1+0.07)^-($B35-Assumptions!$D$4)</f>
        <v>0</v>
      </c>
    </row>
    <row r="36" spans="1:8" ht="15.75" customHeight="1" x14ac:dyDescent="0.25">
      <c r="B36" s="2">
        <f t="shared" si="4"/>
        <v>2055</v>
      </c>
      <c r="C36" s="277">
        <v>0</v>
      </c>
      <c r="D36" s="7">
        <f>C36*(1+0.07)^-($B36-Assumptions!$D$4)</f>
        <v>0</v>
      </c>
      <c r="E36" s="275">
        <f t="shared" si="0"/>
        <v>0</v>
      </c>
      <c r="F36" s="275">
        <f t="shared" si="1"/>
        <v>0</v>
      </c>
      <c r="G36" s="284">
        <f t="shared" si="2"/>
        <v>0</v>
      </c>
      <c r="H36" s="7">
        <f>G36*(1+0.07)^-($B36-Assumptions!$D$4)</f>
        <v>0</v>
      </c>
    </row>
    <row r="37" spans="1:8" ht="15.75" customHeight="1" thickBot="1" x14ac:dyDescent="0.3">
      <c r="B37" s="3">
        <f t="shared" si="4"/>
        <v>2056</v>
      </c>
      <c r="C37" s="278">
        <v>0</v>
      </c>
      <c r="D37" s="8">
        <f>C37*(1+0.07)^-($B37-Assumptions!$D$4)</f>
        <v>0</v>
      </c>
      <c r="E37" s="279">
        <f t="shared" si="0"/>
        <v>0</v>
      </c>
      <c r="F37" s="279">
        <f t="shared" si="1"/>
        <v>0</v>
      </c>
      <c r="G37" s="285">
        <f t="shared" si="2"/>
        <v>0</v>
      </c>
      <c r="H37" s="8">
        <f>G37*(1+0.07)^-($B37-Assumptions!$D$4)</f>
        <v>0</v>
      </c>
    </row>
    <row r="38" spans="1:8" ht="15.75" customHeight="1" x14ac:dyDescent="0.25">
      <c r="B38" s="4"/>
      <c r="C38" s="6">
        <f>SUM(C5:C37)</f>
        <v>47468439.281641133</v>
      </c>
      <c r="D38" s="9">
        <f>SUM(D5:D37)</f>
        <v>32676908.912999805</v>
      </c>
      <c r="E38" s="15"/>
      <c r="F38" s="15"/>
      <c r="G38" s="15"/>
      <c r="H38" s="6">
        <f>SUM(H5:H37)</f>
        <v>2808028.3059812523</v>
      </c>
    </row>
    <row r="39" spans="1:8" ht="15.75" customHeight="1" x14ac:dyDescent="0.25">
      <c r="B39" s="4"/>
      <c r="C39" s="4"/>
      <c r="D39" s="6"/>
      <c r="E39" s="6"/>
      <c r="F39" s="6"/>
      <c r="G39" s="6"/>
      <c r="H39" s="16"/>
    </row>
    <row r="40" spans="1:8" ht="15.75" customHeight="1" x14ac:dyDescent="0.25">
      <c r="B40" s="163"/>
      <c r="C40" s="164"/>
      <c r="D40" s="164"/>
      <c r="E40" s="164"/>
      <c r="F40" s="164"/>
      <c r="G40" s="164"/>
      <c r="H40" s="16"/>
    </row>
    <row r="41" spans="1:8" ht="15.75" customHeight="1" x14ac:dyDescent="0.25">
      <c r="B41" s="163"/>
      <c r="C41" s="407"/>
      <c r="D41" s="165"/>
      <c r="E41" s="165"/>
      <c r="F41" s="165"/>
      <c r="G41" s="165"/>
    </row>
    <row r="42" spans="1:8" ht="15.75" customHeight="1" x14ac:dyDescent="0.25"/>
    <row r="43" spans="1:8" ht="15.75" customHeight="1" x14ac:dyDescent="0.25">
      <c r="B43" s="10" t="s">
        <v>3</v>
      </c>
    </row>
    <row r="44" spans="1:8" ht="15.75" customHeight="1" x14ac:dyDescent="0.25">
      <c r="A44" s="11" t="s">
        <v>27</v>
      </c>
      <c r="B44" s="505" t="s">
        <v>317</v>
      </c>
      <c r="C44" s="505"/>
      <c r="D44" s="505"/>
      <c r="E44" s="505"/>
      <c r="F44" s="505"/>
      <c r="G44" s="505"/>
      <c r="H44" s="505"/>
    </row>
    <row r="45" spans="1:8" ht="15.75" customHeight="1" x14ac:dyDescent="0.25">
      <c r="B45" s="505"/>
      <c r="C45" s="505"/>
      <c r="D45" s="505"/>
      <c r="E45" s="505"/>
      <c r="F45" s="505"/>
      <c r="G45" s="505"/>
      <c r="H45" s="505"/>
    </row>
    <row r="46" spans="1:8" ht="15.75" customHeight="1" x14ac:dyDescent="0.25">
      <c r="B46" s="505"/>
      <c r="C46" s="505"/>
      <c r="D46" s="505"/>
      <c r="E46" s="505"/>
      <c r="F46" s="505"/>
      <c r="G46" s="505"/>
      <c r="H46" s="505"/>
    </row>
    <row r="47" spans="1:8" x14ac:dyDescent="0.25">
      <c r="B47" s="505"/>
      <c r="C47" s="505"/>
      <c r="D47" s="505"/>
      <c r="E47" s="505"/>
      <c r="F47" s="505"/>
      <c r="G47" s="505"/>
      <c r="H47" s="505"/>
    </row>
    <row r="48" spans="1:8" ht="15" customHeight="1" x14ac:dyDescent="0.25">
      <c r="B48" s="505"/>
      <c r="C48" s="505"/>
      <c r="D48" s="505"/>
      <c r="E48" s="505"/>
      <c r="F48" s="505"/>
      <c r="G48" s="505"/>
      <c r="H48" s="505"/>
    </row>
    <row r="49" spans="1:8" x14ac:dyDescent="0.25">
      <c r="A49" s="11"/>
      <c r="B49" s="79"/>
      <c r="C49" s="79"/>
      <c r="D49" s="79"/>
      <c r="E49" s="79"/>
      <c r="F49" s="79"/>
      <c r="G49" s="79"/>
      <c r="H49" s="79"/>
    </row>
    <row r="50" spans="1:8" x14ac:dyDescent="0.25">
      <c r="B50" s="79"/>
      <c r="C50" s="79"/>
      <c r="D50" s="79"/>
      <c r="E50" s="79"/>
      <c r="F50" s="79"/>
      <c r="G50" s="79"/>
      <c r="H50" s="79"/>
    </row>
    <row r="51" spans="1:8" x14ac:dyDescent="0.25">
      <c r="A51" s="11"/>
      <c r="B51" s="79"/>
      <c r="C51" s="79"/>
      <c r="D51" s="79"/>
      <c r="E51" s="79"/>
      <c r="F51" s="79"/>
      <c r="G51" s="79"/>
      <c r="H51" s="79"/>
    </row>
    <row r="52" spans="1:8" x14ac:dyDescent="0.25">
      <c r="B52" s="79"/>
      <c r="C52" s="79"/>
      <c r="D52" s="79"/>
      <c r="E52" s="79"/>
      <c r="F52" s="79"/>
      <c r="G52" s="79"/>
      <c r="H52" s="79"/>
    </row>
    <row r="53" spans="1:8" x14ac:dyDescent="0.25">
      <c r="B53" s="79"/>
      <c r="C53" s="79"/>
      <c r="D53" s="79"/>
      <c r="E53" s="79"/>
      <c r="F53" s="79"/>
      <c r="G53" s="79"/>
      <c r="H53" s="79"/>
    </row>
    <row r="54" spans="1:8" x14ac:dyDescent="0.25">
      <c r="B54" s="79"/>
      <c r="C54" s="79"/>
      <c r="D54" s="79"/>
      <c r="E54" s="79"/>
      <c r="F54" s="79"/>
      <c r="G54" s="79"/>
      <c r="H54" s="79"/>
    </row>
    <row r="55" spans="1:8" x14ac:dyDescent="0.25">
      <c r="B55" s="79"/>
      <c r="C55" s="79"/>
      <c r="D55" s="79"/>
      <c r="E55" s="79"/>
      <c r="F55" s="79"/>
      <c r="G55" s="79"/>
      <c r="H55" s="79"/>
    </row>
    <row r="56" spans="1:8" ht="15" customHeight="1" x14ac:dyDescent="0.25">
      <c r="B56" s="79"/>
      <c r="C56" s="79"/>
      <c r="D56" s="79"/>
      <c r="E56" s="79"/>
      <c r="F56" s="79"/>
      <c r="G56" s="79"/>
      <c r="H56" s="79"/>
    </row>
    <row r="57" spans="1:8" x14ac:dyDescent="0.25">
      <c r="B57" s="79"/>
      <c r="C57" s="79"/>
      <c r="D57" s="79"/>
      <c r="E57" s="79"/>
      <c r="F57" s="79"/>
      <c r="G57" s="79"/>
      <c r="H57" s="79"/>
    </row>
    <row r="58" spans="1:8" x14ac:dyDescent="0.25">
      <c r="B58" s="79"/>
      <c r="C58" s="79"/>
      <c r="D58" s="79"/>
      <c r="E58" s="79"/>
      <c r="F58" s="79"/>
      <c r="G58" s="79"/>
      <c r="H58" s="79"/>
    </row>
    <row r="59" spans="1:8" x14ac:dyDescent="0.25">
      <c r="B59" s="79"/>
      <c r="C59" s="79"/>
      <c r="D59" s="79"/>
      <c r="E59" s="79"/>
      <c r="F59" s="79"/>
      <c r="G59" s="79"/>
      <c r="H59" s="79"/>
    </row>
    <row r="60" spans="1:8" x14ac:dyDescent="0.25">
      <c r="B60" s="79"/>
      <c r="C60" s="79"/>
      <c r="D60" s="79"/>
      <c r="E60" s="79"/>
      <c r="F60" s="79"/>
      <c r="G60" s="79"/>
      <c r="H60" s="79"/>
    </row>
    <row r="61" spans="1:8" x14ac:dyDescent="0.25">
      <c r="B61" s="79"/>
      <c r="C61" s="79"/>
      <c r="D61" s="79"/>
      <c r="E61" s="79"/>
      <c r="F61" s="79"/>
      <c r="G61" s="79"/>
      <c r="H61" s="79"/>
    </row>
    <row r="62" spans="1:8" ht="15" customHeight="1" x14ac:dyDescent="0.25"/>
    <row r="65" spans="1:1" x14ac:dyDescent="0.25">
      <c r="A65" s="11"/>
    </row>
    <row r="71" spans="1:1" x14ac:dyDescent="0.25">
      <c r="A71" s="11"/>
    </row>
  </sheetData>
  <mergeCells count="8">
    <mergeCell ref="B44:H48"/>
    <mergeCell ref="B3:B4"/>
    <mergeCell ref="C3:C4"/>
    <mergeCell ref="D3:D4"/>
    <mergeCell ref="H3:H4"/>
    <mergeCell ref="E3:E4"/>
    <mergeCell ref="F3:F4"/>
    <mergeCell ref="G3:G4"/>
  </mergeCells>
  <pageMargins left="0.25" right="0.25" top="0.75" bottom="0.75" header="0.3" footer="0.3"/>
  <pageSetup paperSize="3" scale="5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DCDDB-1F69-4157-B0F6-5D620128A347}">
  <dimension ref="A1:C27"/>
  <sheetViews>
    <sheetView workbookViewId="0">
      <selection activeCell="C7" sqref="C7:C10"/>
    </sheetView>
  </sheetViews>
  <sheetFormatPr defaultRowHeight="15" x14ac:dyDescent="0.25"/>
  <cols>
    <col min="1" max="1" width="9.140625" style="343"/>
    <col min="2" max="2" width="21.140625" style="343" bestFit="1" customWidth="1"/>
    <col min="3" max="3" width="12.7109375" style="343" bestFit="1" customWidth="1"/>
    <col min="4" max="16384" width="9.140625" style="343"/>
  </cols>
  <sheetData>
    <row r="1" spans="1:3" x14ac:dyDescent="0.25">
      <c r="A1" s="343" t="s">
        <v>166</v>
      </c>
    </row>
    <row r="2" spans="1:3" x14ac:dyDescent="0.25">
      <c r="A2" s="343" t="s">
        <v>249</v>
      </c>
    </row>
    <row r="4" spans="1:3" x14ac:dyDescent="0.25">
      <c r="A4" s="347" t="s">
        <v>59</v>
      </c>
      <c r="B4" s="99" t="s">
        <v>167</v>
      </c>
      <c r="C4" s="99" t="s">
        <v>168</v>
      </c>
    </row>
    <row r="5" spans="1:3" x14ac:dyDescent="0.25">
      <c r="A5" s="199">
        <v>2022</v>
      </c>
      <c r="B5" s="190" t="s">
        <v>169</v>
      </c>
      <c r="C5" s="303">
        <f>(15796*0.75)+3*4*500</f>
        <v>17847</v>
      </c>
    </row>
    <row r="6" spans="1:3" x14ac:dyDescent="0.25">
      <c r="A6" s="199">
        <v>2023</v>
      </c>
      <c r="B6" s="190" t="s">
        <v>169</v>
      </c>
      <c r="C6" s="303">
        <f>(15796*0.78)+3*4*520</f>
        <v>18560.88</v>
      </c>
    </row>
    <row r="7" spans="1:3" x14ac:dyDescent="0.25">
      <c r="A7" s="199">
        <v>2024</v>
      </c>
      <c r="B7" s="190" t="s">
        <v>230</v>
      </c>
      <c r="C7" s="303">
        <v>0</v>
      </c>
    </row>
    <row r="8" spans="1:3" x14ac:dyDescent="0.25">
      <c r="A8" s="199">
        <v>2025</v>
      </c>
      <c r="B8" s="190" t="s">
        <v>230</v>
      </c>
      <c r="C8" s="303">
        <v>0</v>
      </c>
    </row>
    <row r="9" spans="1:3" x14ac:dyDescent="0.25">
      <c r="A9" s="199">
        <v>2026</v>
      </c>
      <c r="B9" s="190" t="s">
        <v>230</v>
      </c>
      <c r="C9" s="303">
        <v>0</v>
      </c>
    </row>
    <row r="10" spans="1:3" x14ac:dyDescent="0.25">
      <c r="A10" s="199">
        <v>2027</v>
      </c>
      <c r="B10" s="190" t="s">
        <v>231</v>
      </c>
      <c r="C10" s="303">
        <v>0</v>
      </c>
    </row>
    <row r="11" spans="1:3" x14ac:dyDescent="0.25">
      <c r="A11" s="199">
        <v>2028</v>
      </c>
      <c r="B11" s="190" t="s">
        <v>6</v>
      </c>
      <c r="C11" s="303">
        <v>0</v>
      </c>
    </row>
    <row r="12" spans="1:3" x14ac:dyDescent="0.25">
      <c r="A12" s="199">
        <v>2029</v>
      </c>
      <c r="B12" s="190" t="s">
        <v>6</v>
      </c>
      <c r="C12" s="303">
        <v>0</v>
      </c>
    </row>
    <row r="13" spans="1:3" x14ac:dyDescent="0.25">
      <c r="A13" s="199">
        <v>2030</v>
      </c>
      <c r="B13" s="190" t="s">
        <v>169</v>
      </c>
      <c r="C13" s="303">
        <f>(1580*0.99)</f>
        <v>1564.2</v>
      </c>
    </row>
    <row r="14" spans="1:3" x14ac:dyDescent="0.25">
      <c r="A14" s="199">
        <v>2031</v>
      </c>
      <c r="B14" s="190" t="s">
        <v>171</v>
      </c>
      <c r="C14" s="303">
        <f>(1580*1.02)</f>
        <v>1611.6000000000001</v>
      </c>
    </row>
    <row r="15" spans="1:3" x14ac:dyDescent="0.25">
      <c r="A15" s="199">
        <v>2032</v>
      </c>
      <c r="B15" s="190" t="s">
        <v>169</v>
      </c>
      <c r="C15" s="303">
        <f>(1580*1.05)</f>
        <v>1659</v>
      </c>
    </row>
    <row r="16" spans="1:3" x14ac:dyDescent="0.25">
      <c r="A16" s="199">
        <v>2033</v>
      </c>
      <c r="B16" s="190" t="s">
        <v>169</v>
      </c>
      <c r="C16" s="303">
        <f>(4740*1.08)</f>
        <v>5119.2000000000007</v>
      </c>
    </row>
    <row r="17" spans="1:3" x14ac:dyDescent="0.25">
      <c r="A17" s="199">
        <v>2034</v>
      </c>
      <c r="B17" s="190" t="s">
        <v>169</v>
      </c>
      <c r="C17" s="303">
        <f>(4740*1.11)</f>
        <v>5261.4000000000005</v>
      </c>
    </row>
    <row r="18" spans="1:3" x14ac:dyDescent="0.25">
      <c r="A18" s="199">
        <v>2035</v>
      </c>
      <c r="B18" s="190" t="s">
        <v>169</v>
      </c>
      <c r="C18" s="303">
        <f>(4740*1.14)</f>
        <v>5403.5999999999995</v>
      </c>
    </row>
    <row r="19" spans="1:3" x14ac:dyDescent="0.25">
      <c r="A19" s="199">
        <v>2036</v>
      </c>
      <c r="B19" s="190" t="s">
        <v>171</v>
      </c>
      <c r="C19" s="303">
        <f>(4740*1.17)</f>
        <v>5545.7999999999993</v>
      </c>
    </row>
    <row r="20" spans="1:3" x14ac:dyDescent="0.25">
      <c r="A20" s="199">
        <v>2037</v>
      </c>
      <c r="B20" s="190" t="s">
        <v>169</v>
      </c>
      <c r="C20" s="303">
        <f>(6300*1.2)</f>
        <v>7560</v>
      </c>
    </row>
    <row r="21" spans="1:3" x14ac:dyDescent="0.25">
      <c r="A21" s="199">
        <v>2038</v>
      </c>
      <c r="B21" s="190" t="s">
        <v>169</v>
      </c>
      <c r="C21" s="303">
        <f>(6300*1.23)</f>
        <v>7749</v>
      </c>
    </row>
    <row r="22" spans="1:3" x14ac:dyDescent="0.25">
      <c r="A22" s="199">
        <v>2039</v>
      </c>
      <c r="B22" s="190" t="s">
        <v>169</v>
      </c>
      <c r="C22" s="303">
        <f>(6300*1.26)+1*2*700</f>
        <v>9338</v>
      </c>
    </row>
    <row r="23" spans="1:3" x14ac:dyDescent="0.25">
      <c r="A23" s="199">
        <v>2040</v>
      </c>
      <c r="B23" s="190" t="s">
        <v>169</v>
      </c>
      <c r="C23" s="303">
        <f>(6300*1.29)+1*2*700</f>
        <v>9527</v>
      </c>
    </row>
    <row r="24" spans="1:3" x14ac:dyDescent="0.25">
      <c r="A24" s="199">
        <v>2041</v>
      </c>
      <c r="B24" s="190" t="s">
        <v>171</v>
      </c>
      <c r="C24" s="303">
        <f>(6300*1.32)+1*2*700</f>
        <v>9716</v>
      </c>
    </row>
    <row r="25" spans="1:3" x14ac:dyDescent="0.25">
      <c r="A25" s="199">
        <v>2042</v>
      </c>
      <c r="B25" s="190" t="s">
        <v>169</v>
      </c>
      <c r="C25" s="303">
        <f>(7900*1.35)+1*2*700</f>
        <v>12065</v>
      </c>
    </row>
    <row r="27" spans="1:3" x14ac:dyDescent="0.25">
      <c r="A27" s="343" t="s">
        <v>4</v>
      </c>
      <c r="C27" s="304">
        <f>SUM(C5:C25)</f>
        <v>118527.68000000001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33</vt:i4>
      </vt:variant>
    </vt:vector>
  </HeadingPairs>
  <TitlesOfParts>
    <vt:vector size="43" baseType="lpstr">
      <vt:lpstr>Assumptions</vt:lpstr>
      <vt:lpstr>BCA Summary </vt:lpstr>
      <vt:lpstr>Travel Time - Interchange</vt:lpstr>
      <vt:lpstr>Air Quality</vt:lpstr>
      <vt:lpstr>Safety Benefits - Mainline</vt:lpstr>
      <vt:lpstr>Safety Benefits - Interchange</vt:lpstr>
      <vt:lpstr>Operating and Maintenance Costs</vt:lpstr>
      <vt:lpstr>Capital Cost and RCV Calc</vt:lpstr>
      <vt:lpstr>Build</vt:lpstr>
      <vt:lpstr>No Build</vt:lpstr>
      <vt:lpstr>'Safety Benefits - Interchange'!_ftnref1</vt:lpstr>
      <vt:lpstr>AnalysisPeriod</vt:lpstr>
      <vt:lpstr>AutoCost</vt:lpstr>
      <vt:lpstr>CompositeCost</vt:lpstr>
      <vt:lpstr>Daysinyr</vt:lpstr>
      <vt:lpstr>DiscountRate</vt:lpstr>
      <vt:lpstr>EndYear</vt:lpstr>
      <vt:lpstr>PeakLngthE</vt:lpstr>
      <vt:lpstr>PercentAutoW</vt:lpstr>
      <vt:lpstr>PercentAutoWO</vt:lpstr>
      <vt:lpstr>PercentTrucksW</vt:lpstr>
      <vt:lpstr>PercentTrucksWO</vt:lpstr>
      <vt:lpstr>PercTruckW</vt:lpstr>
      <vt:lpstr>PerTruckE</vt:lpstr>
      <vt:lpstr>PerTruckN</vt:lpstr>
      <vt:lpstr>'Air Quality'!Print_Area</vt:lpstr>
      <vt:lpstr>Assumptions!Print_Area</vt:lpstr>
      <vt:lpstr>'BCA Summary '!Print_Area</vt:lpstr>
      <vt:lpstr>'Capital Cost and RCV Calc'!Print_Area</vt:lpstr>
      <vt:lpstr>'Operating and Maintenance Costs'!Print_Area</vt:lpstr>
      <vt:lpstr>'Safety Benefits - Interchange'!Print_Area</vt:lpstr>
      <vt:lpstr>'Safety Benefits - Mainline'!Print_Area</vt:lpstr>
      <vt:lpstr>'Travel Time - Interchange'!Print_Area</vt:lpstr>
      <vt:lpstr>ProjLoc</vt:lpstr>
      <vt:lpstr>Projlocation</vt:lpstr>
      <vt:lpstr>ProjName</vt:lpstr>
      <vt:lpstr>SRFProjectNum</vt:lpstr>
      <vt:lpstr>TAccReductPer</vt:lpstr>
      <vt:lpstr>TAptFW</vt:lpstr>
      <vt:lpstr>TPerHwy</vt:lpstr>
      <vt:lpstr>TruckSpeed</vt:lpstr>
      <vt:lpstr>TVehMiBW</vt:lpstr>
      <vt:lpstr>TVehMiFW</vt:lpstr>
    </vt:vector>
  </TitlesOfParts>
  <Company>SRF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Loos</dc:creator>
  <cp:lastModifiedBy>Matt Flanagan</cp:lastModifiedBy>
  <cp:lastPrinted>2015-06-02T17:19:45Z</cp:lastPrinted>
  <dcterms:created xsi:type="dcterms:W3CDTF">2013-05-17T20:57:43Z</dcterms:created>
  <dcterms:modified xsi:type="dcterms:W3CDTF">2022-04-13T00:15:54Z</dcterms:modified>
</cp:coreProperties>
</file>