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K:\Trans\Grant Applications\2023 Grants\RAISE\Chisago County US 8\BCA\"/>
    </mc:Choice>
  </mc:AlternateContent>
  <xr:revisionPtr revIDLastSave="0" documentId="13_ncr:1_{BE579A10-7B97-4056-B321-EA41B61509A6}" xr6:coauthVersionLast="47" xr6:coauthVersionMax="47" xr10:uidLastSave="{00000000-0000-0000-0000-000000000000}"/>
  <bookViews>
    <workbookView xWindow="-120" yWindow="-120" windowWidth="29040" windowHeight="15990" tabRatio="870" activeTab="1" xr2:uid="{00000000-000D-0000-FFFF-FFFF00000000}"/>
  </bookViews>
  <sheets>
    <sheet name="Assumptions" sheetId="51" r:id="rId1"/>
    <sheet name="BCA Summary" sheetId="12" r:id="rId2"/>
    <sheet name="Annualized Operations" sheetId="47" r:id="rId3"/>
    <sheet name="Travel Time Cost Savings" sheetId="46" r:id="rId4"/>
    <sheet name="Operating Cost Savings" sheetId="55" r:id="rId5"/>
    <sheet name="Safety Benefits" sheetId="52" r:id="rId6"/>
    <sheet name="Air Quality" sheetId="60" r:id="rId7"/>
    <sheet name="Quality of Life Benefits " sheetId="58" r:id="rId8"/>
    <sheet name="Operation and Maintenance" sheetId="56" r:id="rId9"/>
    <sheet name="Capital Costs" sheetId="8" r:id="rId10"/>
    <sheet name="Crash Data" sheetId="59" r:id="rId11"/>
  </sheets>
  <externalReferences>
    <externalReference r:id="rId12"/>
    <externalReference r:id="rId13"/>
    <externalReference r:id="rId14"/>
    <externalReference r:id="rId15"/>
  </externalReferences>
  <definedNames>
    <definedName name="_Fill" hidden="1">#REF!</definedName>
    <definedName name="_xlnm._FilterDatabase" localSheetId="10" hidden="1">'Crash Data'!$B$1:$B$234</definedName>
    <definedName name="_Key1" hidden="1">'[1]Journal Entry'!#REF!</definedName>
    <definedName name="_Key2" hidden="1">'[1]Journal Entry'!#REF!</definedName>
    <definedName name="_Order1" hidden="1">255</definedName>
    <definedName name="_Order2" hidden="1">255</definedName>
    <definedName name="BCAnalysisPeriod" localSheetId="4">[2]Assumptions!#REF!</definedName>
    <definedName name="BCAnalysisPeriod" localSheetId="7">[3]Assumptions!#REF!</definedName>
    <definedName name="BCAnalysisPeriod">[2]Assumptions!#REF!</definedName>
    <definedName name="BEx3O85IKWARA6NCJOLRBRJFMEWW" hidden="1">'[4]Q2 09 Rail BS Leads'!#REF!</definedName>
    <definedName name="BEx5MLQZM68YQSKARVWTTPINFQ2C" hidden="1">'[4]Q2 09 Rail BS Leads'!#REF!</definedName>
    <definedName name="BExERWCEBKQRYWRQLYJ4UCMMKTHG" hidden="1">'[4]Q2 09 Rail BS Leads'!#REF!</definedName>
    <definedName name="BExMBYPQDG9AYDQ5E8IECVFREPO6" hidden="1">'[4]Q2 09 Rail BS Leads'!#REF!</definedName>
    <definedName name="BExQ9ZLYHWABXAA9NJDW8ZS0UQ9P" hidden="1">'[4]Q2 09 Rail BS Leads'!#REF!</definedName>
    <definedName name="BExTUY9WNSJ91GV8CP0SKJTEIV82" hidden="1">'[4]Q2 09 Rail BS Leads'!#REF!</definedName>
    <definedName name="_xlnm.Print_Area" localSheetId="6">'Air Quality'!$A$1:$AD$52</definedName>
    <definedName name="_xlnm.Print_Area" localSheetId="2">'Annualized Operations'!$A$8:$M$33</definedName>
    <definedName name="_xlnm.Print_Area" localSheetId="0">Assumptions!$A$1:$F$31</definedName>
    <definedName name="_xlnm.Print_Area" localSheetId="1">'BCA Summary'!$A$1:$M$69</definedName>
    <definedName name="_xlnm.Print_Area" localSheetId="9">'Capital Costs'!$A$2:$T$52</definedName>
    <definedName name="_xlnm.Print_Area" localSheetId="4">'Operating Cost Savings'!$A$2:$R$44</definedName>
    <definedName name="_xlnm.Print_Area" localSheetId="7">'Quality of Life Benefits '!$A$2:$AK$68</definedName>
    <definedName name="_xlnm.Print_Area" localSheetId="3">'Travel Time Cost Savings'!$A$2:$K$41</definedName>
    <definedName name="SAPBEXhrIndnt" hidden="1">"Wide"</definedName>
    <definedName name="SAPsysID" hidden="1">"708C5W7SBKP804JT78WJ0JNKI"</definedName>
    <definedName name="SAPwbID" hidden="1">"ARS"</definedName>
    <definedName name="TruckCost" localSheetId="4">[2]Assumptions!#REF!</definedName>
    <definedName name="TruckCost" localSheetId="7">[3]Assumptions!#REF!</definedName>
    <definedName name="TruckCost">[2]Assumptions!#REF!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89" i="12" l="1"/>
  <c r="O88" i="12"/>
  <c r="O87" i="12"/>
  <c r="O78" i="12"/>
  <c r="O77" i="12"/>
  <c r="J7" i="55"/>
  <c r="V45" i="60"/>
  <c r="V46" i="60" s="1"/>
  <c r="V47" i="60" s="1"/>
  <c r="V48" i="60" s="1"/>
  <c r="V49" i="60" s="1"/>
  <c r="V50" i="60" s="1"/>
  <c r="V51" i="60" s="1"/>
  <c r="U45" i="60"/>
  <c r="U46" i="60" s="1"/>
  <c r="U47" i="60" s="1"/>
  <c r="U48" i="60" s="1"/>
  <c r="U49" i="60" s="1"/>
  <c r="U50" i="60" s="1"/>
  <c r="U51" i="60" s="1"/>
  <c r="T45" i="60"/>
  <c r="T46" i="60" s="1"/>
  <c r="T47" i="60" s="1"/>
  <c r="T48" i="60" s="1"/>
  <c r="T49" i="60" s="1"/>
  <c r="T50" i="60" s="1"/>
  <c r="T51" i="60" s="1"/>
  <c r="S45" i="60"/>
  <c r="S46" i="60" s="1"/>
  <c r="S47" i="60" s="1"/>
  <c r="S48" i="60" s="1"/>
  <c r="S49" i="60" s="1"/>
  <c r="S50" i="60" s="1"/>
  <c r="S51" i="60" s="1"/>
  <c r="M30" i="52" l="1"/>
  <c r="N30" i="52"/>
  <c r="O30" i="52"/>
  <c r="P30" i="52"/>
  <c r="Q30" i="52"/>
  <c r="M31" i="52"/>
  <c r="N31" i="52"/>
  <c r="O31" i="52"/>
  <c r="P31" i="52"/>
  <c r="Q31" i="52"/>
  <c r="N29" i="52"/>
  <c r="O29" i="52"/>
  <c r="P29" i="52"/>
  <c r="Q29" i="52"/>
  <c r="M29" i="52"/>
  <c r="M22" i="52"/>
  <c r="N22" i="52"/>
  <c r="O22" i="52"/>
  <c r="P22" i="52"/>
  <c r="Q22" i="52"/>
  <c r="M23" i="52"/>
  <c r="N23" i="52"/>
  <c r="O23" i="52"/>
  <c r="P23" i="52"/>
  <c r="Q23" i="52"/>
  <c r="M24" i="52"/>
  <c r="N24" i="52"/>
  <c r="O24" i="52"/>
  <c r="P24" i="52"/>
  <c r="Q24" i="52"/>
  <c r="M25" i="52"/>
  <c r="N25" i="52"/>
  <c r="O25" i="52"/>
  <c r="P25" i="52"/>
  <c r="Q25" i="52"/>
  <c r="M26" i="52"/>
  <c r="N26" i="52"/>
  <c r="O26" i="52"/>
  <c r="P26" i="52"/>
  <c r="Q26" i="52"/>
  <c r="M27" i="52"/>
  <c r="N27" i="52"/>
  <c r="O27" i="52"/>
  <c r="P27" i="52"/>
  <c r="Q27" i="52"/>
  <c r="M28" i="52"/>
  <c r="N28" i="52"/>
  <c r="O28" i="52"/>
  <c r="P28" i="52"/>
  <c r="Q28" i="52"/>
  <c r="N21" i="52"/>
  <c r="O21" i="52"/>
  <c r="P21" i="52"/>
  <c r="Q21" i="52"/>
  <c r="M21" i="52"/>
  <c r="J8" i="55"/>
  <c r="J18" i="55"/>
  <c r="K8" i="8"/>
  <c r="Q32" i="52" l="1"/>
  <c r="M18" i="8"/>
  <c r="M17" i="8"/>
  <c r="M16" i="8"/>
  <c r="M15" i="8"/>
  <c r="M14" i="8"/>
  <c r="M19" i="8"/>
  <c r="P4" i="58" l="1"/>
  <c r="E29" i="56"/>
  <c r="E28" i="56"/>
  <c r="E27" i="56"/>
  <c r="E26" i="56"/>
  <c r="E25" i="56"/>
  <c r="E24" i="56"/>
  <c r="E23" i="56"/>
  <c r="E22" i="56"/>
  <c r="E21" i="56"/>
  <c r="E20" i="56"/>
  <c r="E19" i="56"/>
  <c r="E18" i="56"/>
  <c r="E17" i="56"/>
  <c r="E16" i="56"/>
  <c r="E15" i="56"/>
  <c r="E14" i="56"/>
  <c r="E13" i="56"/>
  <c r="E12" i="56"/>
  <c r="E11" i="56"/>
  <c r="E10" i="56"/>
  <c r="E9" i="56"/>
  <c r="E8" i="56"/>
  <c r="E7" i="56"/>
  <c r="E6" i="56"/>
  <c r="E5" i="56"/>
  <c r="B5" i="60"/>
  <c r="AD26" i="60"/>
  <c r="AC26" i="60"/>
  <c r="AB26" i="60"/>
  <c r="AA26" i="60"/>
  <c r="AD25" i="60"/>
  <c r="AC25" i="60"/>
  <c r="AB25" i="60"/>
  <c r="AA25" i="60"/>
  <c r="V8" i="60"/>
  <c r="U8" i="60"/>
  <c r="T8" i="60"/>
  <c r="S8" i="60"/>
  <c r="V7" i="60"/>
  <c r="U7" i="60"/>
  <c r="T7" i="60"/>
  <c r="S7" i="60"/>
  <c r="B6" i="60" l="1"/>
  <c r="B7" i="60" l="1"/>
  <c r="B8" i="60" l="1"/>
  <c r="B9" i="60" l="1"/>
  <c r="B10" i="60" l="1"/>
  <c r="B11" i="60" l="1"/>
  <c r="B12" i="60" l="1"/>
  <c r="B13" i="60" l="1"/>
  <c r="B14" i="60" l="1"/>
  <c r="B15" i="60" l="1"/>
  <c r="B16" i="60" l="1"/>
  <c r="B17" i="60" l="1"/>
  <c r="B18" i="60" l="1"/>
  <c r="B19" i="60" l="1"/>
  <c r="B20" i="60" l="1"/>
  <c r="B21" i="60" l="1"/>
  <c r="B22" i="60" l="1"/>
  <c r="B23" i="60" l="1"/>
  <c r="B24" i="60" l="1"/>
  <c r="B7" i="12" l="1"/>
  <c r="B5" i="56"/>
  <c r="F5" i="56" s="1"/>
  <c r="I7" i="12" l="1"/>
  <c r="G7" i="12"/>
  <c r="F7" i="12"/>
  <c r="M55" i="52" a="1"/>
  <c r="M55" i="52" s="1"/>
  <c r="M52" i="52" a="1"/>
  <c r="M52" i="52" s="1"/>
  <c r="M51" i="52" a="1"/>
  <c r="M51" i="52" s="1"/>
  <c r="M49" i="52" a="1"/>
  <c r="M49" i="52" s="1"/>
  <c r="M48" i="52" a="1"/>
  <c r="M48" i="52" s="1"/>
  <c r="M47" i="52" a="1"/>
  <c r="M47" i="52" s="1"/>
  <c r="N47" i="52" s="1"/>
  <c r="I8" i="56"/>
  <c r="I7" i="56" l="1"/>
  <c r="M54" i="52" a="1"/>
  <c r="M54" i="52" s="1"/>
  <c r="M53" i="52" a="1"/>
  <c r="M53" i="52" s="1"/>
  <c r="M50" i="52" a="1"/>
  <c r="M50" i="52" s="1"/>
  <c r="C9" i="56" l="1"/>
  <c r="C10" i="56"/>
  <c r="C9" i="8" l="1"/>
  <c r="C8" i="8"/>
  <c r="J12" i="55"/>
  <c r="J11" i="55"/>
  <c r="J15" i="55" l="1"/>
  <c r="G8" i="8"/>
  <c r="G9" i="8"/>
  <c r="Q55" i="58"/>
  <c r="R51" i="58"/>
  <c r="R42" i="58"/>
  <c r="R41" i="58"/>
  <c r="R46" i="58" l="1"/>
  <c r="R33" i="58" l="1"/>
  <c r="R50" i="58" l="1"/>
  <c r="B7" i="58"/>
  <c r="B8" i="58" s="1"/>
  <c r="B6" i="52"/>
  <c r="R15" i="58"/>
  <c r="B9" i="58" l="1"/>
  <c r="B10" i="58" s="1"/>
  <c r="B11" i="58" s="1"/>
  <c r="B12" i="58" s="1"/>
  <c r="B13" i="58" s="1"/>
  <c r="B14" i="58" s="1"/>
  <c r="B15" i="58" s="1"/>
  <c r="B16" i="58" s="1"/>
  <c r="B17" i="58" s="1"/>
  <c r="B18" i="58" s="1"/>
  <c r="B19" i="58" s="1"/>
  <c r="B20" i="58" s="1"/>
  <c r="B21" i="58" s="1"/>
  <c r="B22" i="58" s="1"/>
  <c r="B23" i="58" s="1"/>
  <c r="B24" i="58" s="1"/>
  <c r="B25" i="58" s="1"/>
  <c r="B26" i="58" s="1"/>
  <c r="H7" i="12"/>
  <c r="Q23" i="58"/>
  <c r="Q29" i="58" s="1"/>
  <c r="E7" i="58" s="1"/>
  <c r="K7" i="58" s="1"/>
  <c r="V22" i="58"/>
  <c r="U23" i="58"/>
  <c r="Q22" i="58"/>
  <c r="C7" i="58" s="1"/>
  <c r="V23" i="58"/>
  <c r="W22" i="58"/>
  <c r="U22" i="58"/>
  <c r="W23" i="58"/>
  <c r="Q28" i="58" l="1"/>
  <c r="C8" i="58"/>
  <c r="C12" i="58"/>
  <c r="C16" i="58"/>
  <c r="C20" i="58"/>
  <c r="C24" i="58"/>
  <c r="C9" i="58"/>
  <c r="C13" i="58"/>
  <c r="C17" i="58"/>
  <c r="G17" i="58" s="1"/>
  <c r="C21" i="58"/>
  <c r="C25" i="58"/>
  <c r="C10" i="58"/>
  <c r="C14" i="58"/>
  <c r="C18" i="58"/>
  <c r="C22" i="58"/>
  <c r="C11" i="58"/>
  <c r="C15" i="58"/>
  <c r="C19" i="58"/>
  <c r="C26" i="58"/>
  <c r="C23" i="58"/>
  <c r="E9" i="58" l="1"/>
  <c r="K9" i="58" s="1"/>
  <c r="E11" i="58"/>
  <c r="E13" i="58"/>
  <c r="K13" i="58" s="1"/>
  <c r="E15" i="58"/>
  <c r="K15" i="58" s="1"/>
  <c r="E17" i="58"/>
  <c r="K17" i="58" s="1"/>
  <c r="E19" i="58"/>
  <c r="K19" i="58" s="1"/>
  <c r="E21" i="58"/>
  <c r="K21" i="58" s="1"/>
  <c r="E23" i="58"/>
  <c r="K23" i="58" s="1"/>
  <c r="E25" i="58"/>
  <c r="K25" i="58" s="1"/>
  <c r="E8" i="58"/>
  <c r="K8" i="58" s="1"/>
  <c r="E10" i="58"/>
  <c r="K10" i="58" s="1"/>
  <c r="E12" i="58"/>
  <c r="K12" i="58" s="1"/>
  <c r="E14" i="58"/>
  <c r="K14" i="58" s="1"/>
  <c r="E16" i="58"/>
  <c r="E18" i="58"/>
  <c r="K18" i="58" s="1"/>
  <c r="E20" i="58"/>
  <c r="K20" i="58" s="1"/>
  <c r="E22" i="58"/>
  <c r="K22" i="58" s="1"/>
  <c r="E24" i="58"/>
  <c r="K24" i="58" s="1"/>
  <c r="E26" i="58"/>
  <c r="K26" i="58" s="1"/>
  <c r="K16" i="58" l="1"/>
  <c r="K11" i="58"/>
  <c r="S22" i="58"/>
  <c r="R22" i="58" l="1"/>
  <c r="D7" i="58" s="1"/>
  <c r="D8" i="58" l="1"/>
  <c r="D10" i="58"/>
  <c r="D12" i="58"/>
  <c r="D14" i="58"/>
  <c r="D16" i="58"/>
  <c r="D18" i="58"/>
  <c r="D20" i="58"/>
  <c r="D22" i="58"/>
  <c r="D24" i="58"/>
  <c r="D26" i="58"/>
  <c r="D9" i="58"/>
  <c r="D11" i="58"/>
  <c r="D13" i="58"/>
  <c r="D15" i="58"/>
  <c r="D17" i="58"/>
  <c r="D19" i="58"/>
  <c r="D21" i="58"/>
  <c r="D23" i="58"/>
  <c r="D25" i="58"/>
  <c r="Q30" i="58"/>
  <c r="M56" i="52" l="1" a="1"/>
  <c r="M56" i="52" s="1"/>
  <c r="M57" i="52" a="1"/>
  <c r="M57" i="52" s="1"/>
  <c r="M61" i="52" l="1"/>
  <c r="N48" i="52"/>
  <c r="O48" i="52"/>
  <c r="N14" i="46" l="1"/>
  <c r="O14" i="46"/>
  <c r="J12" i="46" l="1"/>
  <c r="R36" i="58"/>
  <c r="G22" i="58" l="1"/>
  <c r="G21" i="58"/>
  <c r="G25" i="58"/>
  <c r="G20" i="58"/>
  <c r="G11" i="58"/>
  <c r="G26" i="58"/>
  <c r="G16" i="58"/>
  <c r="G12" i="58"/>
  <c r="G24" i="58"/>
  <c r="G15" i="58"/>
  <c r="G7" i="58"/>
  <c r="G10" i="58"/>
  <c r="G19" i="58"/>
  <c r="G8" i="58"/>
  <c r="G14" i="58"/>
  <c r="G9" i="58"/>
  <c r="G13" i="58"/>
  <c r="G18" i="58"/>
  <c r="G23" i="58"/>
  <c r="S23" i="58"/>
  <c r="R23" i="58" l="1"/>
  <c r="S29" i="58"/>
  <c r="R29" i="58" s="1"/>
  <c r="F7" i="58" s="1"/>
  <c r="S28" i="58"/>
  <c r="R28" i="58" s="1"/>
  <c r="Q24" i="58"/>
  <c r="S24" i="58"/>
  <c r="F11" i="58" l="1"/>
  <c r="F19" i="58"/>
  <c r="I19" i="58" s="1"/>
  <c r="F8" i="58"/>
  <c r="I8" i="58" s="1"/>
  <c r="F16" i="58"/>
  <c r="F24" i="58"/>
  <c r="I24" i="58" s="1"/>
  <c r="F21" i="58"/>
  <c r="I21" i="58" s="1"/>
  <c r="F10" i="58"/>
  <c r="I10" i="58" s="1"/>
  <c r="F18" i="58"/>
  <c r="I18" i="58" s="1"/>
  <c r="F12" i="58"/>
  <c r="I12" i="58" s="1"/>
  <c r="F17" i="58"/>
  <c r="I17" i="58" s="1"/>
  <c r="F14" i="58"/>
  <c r="I14" i="58" s="1"/>
  <c r="F13" i="58"/>
  <c r="I13" i="58" s="1"/>
  <c r="F26" i="58"/>
  <c r="I26" i="58" s="1"/>
  <c r="F15" i="58"/>
  <c r="I15" i="58" s="1"/>
  <c r="F23" i="58"/>
  <c r="I23" i="58" s="1"/>
  <c r="F20" i="58"/>
  <c r="I20" i="58" s="1"/>
  <c r="F9" i="58"/>
  <c r="I9" i="58" s="1"/>
  <c r="F25" i="58"/>
  <c r="I25" i="58" s="1"/>
  <c r="F22" i="58"/>
  <c r="I22" i="58" s="1"/>
  <c r="R24" i="58"/>
  <c r="S30" i="58"/>
  <c r="I16" i="58" l="1"/>
  <c r="H16" i="58"/>
  <c r="J16" i="58"/>
  <c r="I11" i="58"/>
  <c r="J11" i="58"/>
  <c r="I7" i="58"/>
  <c r="H7" i="58"/>
  <c r="J7" i="58"/>
  <c r="H9" i="58"/>
  <c r="J9" i="58"/>
  <c r="H26" i="58"/>
  <c r="J26" i="58"/>
  <c r="H21" i="58"/>
  <c r="J21" i="58"/>
  <c r="H14" i="58"/>
  <c r="J14" i="58"/>
  <c r="H18" i="58"/>
  <c r="J18" i="58"/>
  <c r="H19" i="58"/>
  <c r="J19" i="58"/>
  <c r="H22" i="58"/>
  <c r="J22" i="58"/>
  <c r="H23" i="58"/>
  <c r="J23" i="58"/>
  <c r="H25" i="58"/>
  <c r="J25" i="58"/>
  <c r="H15" i="58"/>
  <c r="J15" i="58"/>
  <c r="H17" i="58"/>
  <c r="J17" i="58"/>
  <c r="H10" i="58"/>
  <c r="J10" i="58"/>
  <c r="H8" i="58"/>
  <c r="J8" i="58"/>
  <c r="H20" i="58"/>
  <c r="J20" i="58"/>
  <c r="H13" i="58"/>
  <c r="J13" i="58"/>
  <c r="H12" i="58"/>
  <c r="J12" i="58"/>
  <c r="H24" i="58"/>
  <c r="J24" i="58"/>
  <c r="H11" i="58"/>
  <c r="R30" i="58"/>
  <c r="J29" i="58" l="1"/>
  <c r="L8" i="58"/>
  <c r="L7" i="58"/>
  <c r="L9" i="58"/>
  <c r="L10" i="58"/>
  <c r="M7" i="58" l="1"/>
  <c r="M8" i="58"/>
  <c r="M9" i="58"/>
  <c r="M10" i="58"/>
  <c r="L11" i="58"/>
  <c r="M11" i="58" l="1"/>
  <c r="L12" i="58"/>
  <c r="M12" i="58" l="1"/>
  <c r="L13" i="58"/>
  <c r="M13" i="58" l="1"/>
  <c r="L14" i="58"/>
  <c r="M14" i="58" l="1"/>
  <c r="L15" i="58"/>
  <c r="M15" i="58" l="1"/>
  <c r="L16" i="58"/>
  <c r="M16" i="58" l="1"/>
  <c r="L17" i="58"/>
  <c r="M17" i="58" l="1"/>
  <c r="L18" i="58"/>
  <c r="M18" i="58" l="1"/>
  <c r="L19" i="58"/>
  <c r="M19" i="58" l="1"/>
  <c r="L20" i="58"/>
  <c r="L21" i="58"/>
  <c r="M21" i="58" l="1"/>
  <c r="M20" i="58"/>
  <c r="L22" i="58" l="1"/>
  <c r="M22" i="58" l="1"/>
  <c r="L23" i="58"/>
  <c r="M23" i="58" l="1"/>
  <c r="L24" i="58"/>
  <c r="M24" i="58" l="1"/>
  <c r="L25" i="58"/>
  <c r="M25" i="58" l="1"/>
  <c r="L26" i="58"/>
  <c r="I29" i="58"/>
  <c r="M26" i="58" l="1"/>
  <c r="G29" i="58"/>
  <c r="K29" i="58"/>
  <c r="H29" i="58"/>
  <c r="M29" i="58" l="1"/>
  <c r="O76" i="12" s="1"/>
  <c r="L29" i="58" l="1"/>
  <c r="N52" i="52" l="1"/>
  <c r="M62" i="52"/>
  <c r="N49" i="52"/>
  <c r="O51" i="52"/>
  <c r="O49" i="52"/>
  <c r="O52" i="52"/>
  <c r="N55" i="52" l="1"/>
  <c r="M63" i="52"/>
  <c r="O47" i="52"/>
  <c r="O54" i="52"/>
  <c r="N54" i="52"/>
  <c r="O53" i="52"/>
  <c r="O56" i="52"/>
  <c r="O50" i="52"/>
  <c r="O57" i="52"/>
  <c r="O55" i="52"/>
  <c r="N51" i="52"/>
  <c r="N50" i="52" l="1"/>
  <c r="N57" i="52"/>
  <c r="N56" i="52"/>
  <c r="N53" i="52" l="1"/>
  <c r="N63" i="52" l="1"/>
  <c r="C9" i="51" l="1"/>
  <c r="L20" i="8" l="1"/>
  <c r="C10" i="8" l="1"/>
  <c r="C12" i="8"/>
  <c r="C11" i="8"/>
  <c r="B8" i="8"/>
  <c r="H8" i="8" l="1"/>
  <c r="F8" i="8"/>
  <c r="D8" i="8"/>
  <c r="G11" i="8"/>
  <c r="G12" i="8"/>
  <c r="G10" i="8"/>
  <c r="M20" i="8"/>
  <c r="E31" i="8" s="1"/>
  <c r="B37" i="12"/>
  <c r="L5" i="47" l="1"/>
  <c r="G5" i="47"/>
  <c r="C11" i="56" l="1"/>
  <c r="C15" i="56"/>
  <c r="C19" i="56"/>
  <c r="C23" i="56"/>
  <c r="C27" i="56"/>
  <c r="C24" i="56"/>
  <c r="C17" i="56"/>
  <c r="C25" i="56"/>
  <c r="C14" i="56"/>
  <c r="C26" i="56"/>
  <c r="C12" i="56"/>
  <c r="C16" i="56"/>
  <c r="C20" i="56"/>
  <c r="C28" i="56"/>
  <c r="C21" i="56"/>
  <c r="C18" i="56"/>
  <c r="C22" i="56"/>
  <c r="C13" i="56"/>
  <c r="N62" i="52" l="1"/>
  <c r="N61" i="52" l="1"/>
  <c r="M17" i="52" l="1"/>
  <c r="N16" i="52"/>
  <c r="M16" i="52" l="1"/>
  <c r="N17" i="52"/>
  <c r="J7" i="12" l="1"/>
  <c r="J11" i="46"/>
  <c r="J19" i="46" s="1"/>
  <c r="B6" i="56" l="1"/>
  <c r="F6" i="56" s="1"/>
  <c r="C1" i="8"/>
  <c r="D1" i="8" l="1"/>
  <c r="E1" i="8" s="1"/>
  <c r="F1" i="8" s="1"/>
  <c r="G1" i="8" s="1"/>
  <c r="C37" i="12"/>
  <c r="B7" i="56"/>
  <c r="F7" i="56" s="1"/>
  <c r="H1" i="8"/>
  <c r="B8" i="56" l="1"/>
  <c r="F8" i="56" s="1"/>
  <c r="O72" i="52"/>
  <c r="O71" i="52"/>
  <c r="O70" i="52"/>
  <c r="O69" i="52"/>
  <c r="O68" i="52"/>
  <c r="B9" i="56" l="1"/>
  <c r="F9" i="56" s="1"/>
  <c r="M84" i="52"/>
  <c r="M83" i="52"/>
  <c r="N84" i="52"/>
  <c r="N83" i="52"/>
  <c r="B10" i="56" l="1"/>
  <c r="F10" i="56" s="1"/>
  <c r="O84" i="52"/>
  <c r="O83" i="52"/>
  <c r="B11" i="56" l="1"/>
  <c r="F11" i="56" s="1"/>
  <c r="C1" i="55"/>
  <c r="D1" i="55" s="1"/>
  <c r="E1" i="55" s="1"/>
  <c r="F1" i="55" s="1"/>
  <c r="G1" i="55" s="1"/>
  <c r="C1" i="46"/>
  <c r="D1" i="46" s="1"/>
  <c r="E1" i="46" s="1"/>
  <c r="F1" i="46" s="1"/>
  <c r="G1" i="46" s="1"/>
  <c r="B12" i="56" l="1"/>
  <c r="F12" i="56" s="1"/>
  <c r="J7" i="47"/>
  <c r="E7" i="47"/>
  <c r="F7" i="47"/>
  <c r="D7" i="47"/>
  <c r="K7" i="47"/>
  <c r="I7" i="47"/>
  <c r="G6" i="47"/>
  <c r="C7" i="47"/>
  <c r="H7" i="47"/>
  <c r="L6" i="47"/>
  <c r="B13" i="56" l="1"/>
  <c r="F13" i="56" s="1"/>
  <c r="G7" i="47"/>
  <c r="L7" i="47"/>
  <c r="B14" i="56" l="1"/>
  <c r="F14" i="56" s="1"/>
  <c r="B7" i="55"/>
  <c r="C1" i="52"/>
  <c r="D1" i="52" s="1"/>
  <c r="E1" i="52" s="1"/>
  <c r="F1" i="52" s="1"/>
  <c r="G1" i="52" s="1"/>
  <c r="B15" i="56" l="1"/>
  <c r="F15" i="56" s="1"/>
  <c r="H1" i="52"/>
  <c r="B8" i="55"/>
  <c r="B16" i="56" l="1"/>
  <c r="F16" i="56" s="1"/>
  <c r="B9" i="55"/>
  <c r="B17" i="56" l="1"/>
  <c r="F17" i="56" s="1"/>
  <c r="B10" i="55"/>
  <c r="B18" i="56" l="1"/>
  <c r="F18" i="56" s="1"/>
  <c r="B11" i="55"/>
  <c r="B19" i="56" l="1"/>
  <c r="F19" i="56" s="1"/>
  <c r="B12" i="55"/>
  <c r="B20" i="56" l="1"/>
  <c r="F20" i="56" s="1"/>
  <c r="B13" i="55"/>
  <c r="B21" i="56" l="1"/>
  <c r="F21" i="56" s="1"/>
  <c r="B14" i="55"/>
  <c r="B9" i="8"/>
  <c r="F9" i="8" l="1"/>
  <c r="D9" i="8"/>
  <c r="B22" i="56"/>
  <c r="F22" i="56" s="1"/>
  <c r="H9" i="8"/>
  <c r="B15" i="55"/>
  <c r="B10" i="8"/>
  <c r="F10" i="8" l="1"/>
  <c r="D10" i="8"/>
  <c r="B23" i="56"/>
  <c r="F23" i="56" s="1"/>
  <c r="B16" i="55"/>
  <c r="B11" i="8"/>
  <c r="F11" i="8" l="1"/>
  <c r="D11" i="8"/>
  <c r="B24" i="56"/>
  <c r="F24" i="56" s="1"/>
  <c r="B12" i="8"/>
  <c r="B17" i="55"/>
  <c r="F12" i="8" l="1"/>
  <c r="D12" i="8"/>
  <c r="B25" i="56"/>
  <c r="F25" i="56" s="1"/>
  <c r="B13" i="8"/>
  <c r="F13" i="8" s="1"/>
  <c r="B18" i="55"/>
  <c r="B26" i="56" l="1"/>
  <c r="F26" i="56" s="1"/>
  <c r="B14" i="8"/>
  <c r="F14" i="8" s="1"/>
  <c r="B19" i="55"/>
  <c r="B27" i="56" l="1"/>
  <c r="F27" i="56" s="1"/>
  <c r="B15" i="8"/>
  <c r="F15" i="8" s="1"/>
  <c r="B20" i="55"/>
  <c r="B28" i="56" l="1"/>
  <c r="F28" i="56" s="1"/>
  <c r="B16" i="8"/>
  <c r="F16" i="8" s="1"/>
  <c r="B21" i="55"/>
  <c r="F29" i="56" l="1"/>
  <c r="B17" i="8"/>
  <c r="F17" i="8" s="1"/>
  <c r="B22" i="55"/>
  <c r="B18" i="8" l="1"/>
  <c r="F18" i="8" s="1"/>
  <c r="B23" i="55"/>
  <c r="B19" i="8"/>
  <c r="F19" i="8" s="1"/>
  <c r="B24" i="55" l="1"/>
  <c r="B20" i="8"/>
  <c r="F20" i="8" s="1"/>
  <c r="B25" i="55" l="1"/>
  <c r="B21" i="8"/>
  <c r="F21" i="8" s="1"/>
  <c r="B22" i="8" l="1"/>
  <c r="F22" i="8" s="1"/>
  <c r="B26" i="55"/>
  <c r="B23" i="8" l="1"/>
  <c r="F23" i="8" s="1"/>
  <c r="B24" i="8" l="1"/>
  <c r="F24" i="8" s="1"/>
  <c r="B25" i="8" l="1"/>
  <c r="F25" i="8" s="1"/>
  <c r="B26" i="8" l="1"/>
  <c r="F26" i="8" s="1"/>
  <c r="B27" i="8" l="1"/>
  <c r="F27" i="8" s="1"/>
  <c r="B28" i="8" l="1"/>
  <c r="F28" i="8" s="1"/>
  <c r="B29" i="8" l="1"/>
  <c r="F29" i="8" s="1"/>
  <c r="B30" i="8" l="1"/>
  <c r="F30" i="8" s="1"/>
  <c r="B31" i="8" l="1"/>
  <c r="E6" i="52" l="1"/>
  <c r="D6" i="52"/>
  <c r="C6" i="52"/>
  <c r="F6" i="52"/>
  <c r="B7" i="52"/>
  <c r="B8" i="52" l="1"/>
  <c r="F7" i="52"/>
  <c r="B9" i="52" l="1"/>
  <c r="F8" i="52"/>
  <c r="B10" i="52" l="1"/>
  <c r="F9" i="52"/>
  <c r="B11" i="52" l="1"/>
  <c r="F10" i="52"/>
  <c r="B12" i="52" l="1"/>
  <c r="F11" i="52"/>
  <c r="B13" i="52" l="1"/>
  <c r="F12" i="52"/>
  <c r="B14" i="52" l="1"/>
  <c r="F13" i="52"/>
  <c r="B15" i="52" l="1"/>
  <c r="F14" i="52"/>
  <c r="B16" i="52" l="1"/>
  <c r="F15" i="52"/>
  <c r="B17" i="52" l="1"/>
  <c r="F16" i="52"/>
  <c r="B18" i="52" l="1"/>
  <c r="F17" i="52"/>
  <c r="B19" i="52" l="1"/>
  <c r="F18" i="52"/>
  <c r="B20" i="52" l="1"/>
  <c r="F19" i="52"/>
  <c r="F25" i="52" l="1"/>
  <c r="F21" i="52"/>
  <c r="F22" i="52"/>
  <c r="F23" i="52"/>
  <c r="F24" i="52"/>
  <c r="F20" i="52"/>
  <c r="B21" i="52"/>
  <c r="B22" i="52" l="1"/>
  <c r="B23" i="52" l="1"/>
  <c r="B24" i="52" l="1"/>
  <c r="B25" i="52" l="1"/>
  <c r="E16" i="52" l="1"/>
  <c r="E24" i="52"/>
  <c r="D25" i="52"/>
  <c r="E25" i="52" l="1"/>
  <c r="E23" i="52"/>
  <c r="E13" i="52"/>
  <c r="E19" i="52"/>
  <c r="E11" i="52"/>
  <c r="E18" i="52"/>
  <c r="E10" i="52"/>
  <c r="E15" i="52"/>
  <c r="E14" i="52"/>
  <c r="E21" i="52"/>
  <c r="E20" i="52"/>
  <c r="E12" i="52"/>
  <c r="E17" i="52"/>
  <c r="E9" i="52"/>
  <c r="E8" i="52"/>
  <c r="E7" i="52"/>
  <c r="E22" i="52"/>
  <c r="D11" i="52"/>
  <c r="D7" i="52"/>
  <c r="D15" i="52"/>
  <c r="D12" i="52"/>
  <c r="D10" i="52"/>
  <c r="D14" i="52"/>
  <c r="D19" i="52"/>
  <c r="D13" i="52"/>
  <c r="D8" i="52"/>
  <c r="D16" i="52"/>
  <c r="D18" i="52"/>
  <c r="D9" i="52"/>
  <c r="D17" i="52"/>
  <c r="D20" i="52"/>
  <c r="D21" i="52"/>
  <c r="D22" i="52"/>
  <c r="D23" i="52"/>
  <c r="D24" i="52"/>
  <c r="C9" i="52"/>
  <c r="C17" i="52"/>
  <c r="C7" i="52"/>
  <c r="G7" i="52" l="1"/>
  <c r="G17" i="52"/>
  <c r="G6" i="52"/>
  <c r="E7" i="12" s="1"/>
  <c r="G9" i="52"/>
  <c r="C14" i="52"/>
  <c r="C11" i="52"/>
  <c r="C24" i="52"/>
  <c r="G24" i="52" s="1"/>
  <c r="C19" i="52"/>
  <c r="G19" i="52" s="1"/>
  <c r="C16" i="52"/>
  <c r="G16" i="52" s="1"/>
  <c r="C10" i="52"/>
  <c r="G10" i="52" s="1"/>
  <c r="C8" i="52"/>
  <c r="G8" i="52" s="1"/>
  <c r="C25" i="52"/>
  <c r="G25" i="52" s="1"/>
  <c r="C22" i="52"/>
  <c r="G22" i="52" s="1"/>
  <c r="C21" i="52"/>
  <c r="G21" i="52" s="1"/>
  <c r="C13" i="52"/>
  <c r="G13" i="52" s="1"/>
  <c r="C12" i="52"/>
  <c r="G12" i="52" s="1"/>
  <c r="C20" i="52"/>
  <c r="G20" i="52" s="1"/>
  <c r="C23" i="52"/>
  <c r="G23" i="52" s="1"/>
  <c r="C15" i="52"/>
  <c r="G15" i="52" s="1"/>
  <c r="C18" i="52"/>
  <c r="G18" i="52" s="1"/>
  <c r="G14" i="52" l="1"/>
  <c r="H14" i="52" s="1"/>
  <c r="G11" i="52"/>
  <c r="H11" i="52" s="1"/>
  <c r="H9" i="52"/>
  <c r="H7" i="52"/>
  <c r="H17" i="52"/>
  <c r="H6" i="52"/>
  <c r="H22" i="52" l="1"/>
  <c r="H19" i="52"/>
  <c r="H10" i="52"/>
  <c r="H23" i="52"/>
  <c r="H15" i="52"/>
  <c r="H21" i="52"/>
  <c r="H12" i="52"/>
  <c r="H25" i="52"/>
  <c r="H24" i="52"/>
  <c r="H16" i="52"/>
  <c r="H18" i="52"/>
  <c r="H13" i="52"/>
  <c r="H20" i="52"/>
  <c r="H8" i="52"/>
  <c r="H26" i="52" l="1"/>
  <c r="O74" i="12" s="1"/>
  <c r="O85" i="12" s="1"/>
  <c r="F31" i="8" l="1"/>
  <c r="F32" i="8" s="1"/>
  <c r="E32" i="8"/>
  <c r="B7" i="46"/>
  <c r="B13" i="47"/>
  <c r="I13" i="47" l="1"/>
  <c r="J13" i="47"/>
  <c r="K13" i="47"/>
  <c r="E13" i="47"/>
  <c r="F13" i="47"/>
  <c r="D13" i="47"/>
  <c r="C13" i="47"/>
  <c r="H13" i="47"/>
  <c r="B8" i="46"/>
  <c r="B38" i="12"/>
  <c r="C38" i="12" s="1"/>
  <c r="L13" i="47" l="1"/>
  <c r="B9" i="46"/>
  <c r="B39" i="12"/>
  <c r="C39" i="12" s="1"/>
  <c r="B40" i="12" l="1"/>
  <c r="C40" i="12" s="1"/>
  <c r="B10" i="46"/>
  <c r="B41" i="12" l="1"/>
  <c r="C41" i="12" s="1"/>
  <c r="B11" i="46"/>
  <c r="B42" i="12" l="1"/>
  <c r="G13" i="47"/>
  <c r="F5" i="60" s="1"/>
  <c r="B12" i="46"/>
  <c r="C5" i="60" l="1"/>
  <c r="D5" i="60" s="1"/>
  <c r="E5" i="60" s="1"/>
  <c r="I5" i="60"/>
  <c r="L5" i="60" s="1"/>
  <c r="H5" i="60"/>
  <c r="K5" i="60" s="1"/>
  <c r="G5" i="60"/>
  <c r="J5" i="60" s="1"/>
  <c r="M5" i="60" s="1"/>
  <c r="B43" i="12"/>
  <c r="B13" i="46"/>
  <c r="N5" i="60" l="1"/>
  <c r="O5" i="60"/>
  <c r="B44" i="12"/>
  <c r="B14" i="46"/>
  <c r="P5" i="60" l="1"/>
  <c r="B45" i="12"/>
  <c r="B15" i="46"/>
  <c r="B46" i="12" l="1"/>
  <c r="B16" i="46"/>
  <c r="C1" i="47"/>
  <c r="D1" i="47" l="1"/>
  <c r="E1" i="47" s="1"/>
  <c r="F1" i="47" s="1"/>
  <c r="C7" i="55"/>
  <c r="B47" i="12"/>
  <c r="B17" i="46"/>
  <c r="G1" i="47" l="1"/>
  <c r="H1" i="47" s="1"/>
  <c r="D7" i="55"/>
  <c r="E7" i="55" s="1"/>
  <c r="B48" i="12"/>
  <c r="B18" i="46"/>
  <c r="B49" i="12" l="1"/>
  <c r="F7" i="55"/>
  <c r="I1" i="47"/>
  <c r="J1" i="47" s="1"/>
  <c r="K1" i="47" s="1"/>
  <c r="C7" i="46"/>
  <c r="B19" i="46"/>
  <c r="B50" i="12" l="1"/>
  <c r="D7" i="12"/>
  <c r="G7" i="55"/>
  <c r="L1" i="47"/>
  <c r="D7" i="46"/>
  <c r="E7" i="46" s="1"/>
  <c r="B20" i="46"/>
  <c r="B51" i="12" l="1"/>
  <c r="B21" i="46"/>
  <c r="B52" i="12" l="1"/>
  <c r="B22" i="46"/>
  <c r="B53" i="12" l="1"/>
  <c r="B23" i="46"/>
  <c r="B54" i="12" l="1"/>
  <c r="B24" i="46"/>
  <c r="B8" i="12"/>
  <c r="I8" i="12" l="1"/>
  <c r="G8" i="12"/>
  <c r="F8" i="12"/>
  <c r="J8" i="12"/>
  <c r="H8" i="12"/>
  <c r="B9" i="12"/>
  <c r="B55" i="12"/>
  <c r="E8" i="12"/>
  <c r="B25" i="46"/>
  <c r="F7" i="46"/>
  <c r="C7" i="12" s="1"/>
  <c r="K7" i="12" s="1"/>
  <c r="L7" i="12" s="1"/>
  <c r="I9" i="12" l="1"/>
  <c r="G9" i="12"/>
  <c r="F9" i="12"/>
  <c r="B56" i="12"/>
  <c r="H9" i="12"/>
  <c r="C9" i="12"/>
  <c r="D9" i="12"/>
  <c r="E9" i="12"/>
  <c r="J9" i="12"/>
  <c r="K9" i="12" s="1"/>
  <c r="B10" i="12"/>
  <c r="G7" i="46"/>
  <c r="B26" i="46"/>
  <c r="I10" i="12" l="1"/>
  <c r="G10" i="12"/>
  <c r="F10" i="12"/>
  <c r="L9" i="12"/>
  <c r="H10" i="12"/>
  <c r="C10" i="12"/>
  <c r="D10" i="12"/>
  <c r="E10" i="12"/>
  <c r="J10" i="12"/>
  <c r="K10" i="12" s="1"/>
  <c r="B11" i="12"/>
  <c r="L10" i="12"/>
  <c r="B57" i="12"/>
  <c r="I11" i="12" l="1"/>
  <c r="G11" i="12"/>
  <c r="F11" i="12"/>
  <c r="B58" i="12"/>
  <c r="H11" i="12"/>
  <c r="C11" i="12"/>
  <c r="D11" i="12"/>
  <c r="E11" i="12"/>
  <c r="J11" i="12"/>
  <c r="K11" i="12" s="1"/>
  <c r="B12" i="12"/>
  <c r="I12" i="12" s="1"/>
  <c r="L11" i="12"/>
  <c r="H12" i="12" l="1"/>
  <c r="E12" i="12"/>
  <c r="J12" i="12"/>
  <c r="B13" i="12"/>
  <c r="I13" i="12" s="1"/>
  <c r="B59" i="12"/>
  <c r="H13" i="12" l="1"/>
  <c r="E13" i="12"/>
  <c r="J13" i="12"/>
  <c r="B14" i="12"/>
  <c r="I14" i="12" s="1"/>
  <c r="H14" i="12" l="1"/>
  <c r="E14" i="12"/>
  <c r="J14" i="12"/>
  <c r="B15" i="12"/>
  <c r="I15" i="12" s="1"/>
  <c r="B14" i="47"/>
  <c r="H15" i="12" l="1"/>
  <c r="E15" i="12"/>
  <c r="J15" i="12"/>
  <c r="B16" i="12"/>
  <c r="I16" i="12" s="1"/>
  <c r="F14" i="47"/>
  <c r="D8" i="55" s="1"/>
  <c r="J14" i="47"/>
  <c r="I14" i="47"/>
  <c r="H14" i="47"/>
  <c r="C8" i="46" s="1"/>
  <c r="C14" i="47"/>
  <c r="E14" i="47"/>
  <c r="D14" i="47"/>
  <c r="K14" i="47"/>
  <c r="D8" i="46" s="1"/>
  <c r="B60" i="12"/>
  <c r="B15" i="47"/>
  <c r="H16" i="12" l="1"/>
  <c r="E16" i="12"/>
  <c r="J16" i="12"/>
  <c r="B17" i="12"/>
  <c r="I17" i="12" s="1"/>
  <c r="G14" i="47"/>
  <c r="F6" i="60" s="1"/>
  <c r="L14" i="47"/>
  <c r="E8" i="46"/>
  <c r="F8" i="46" s="1"/>
  <c r="D15" i="47"/>
  <c r="H15" i="47"/>
  <c r="C9" i="46" s="1"/>
  <c r="I15" i="47"/>
  <c r="E15" i="47"/>
  <c r="K15" i="47"/>
  <c r="C15" i="47"/>
  <c r="C9" i="55" s="1"/>
  <c r="F15" i="47"/>
  <c r="J15" i="47"/>
  <c r="C8" i="55"/>
  <c r="B16" i="47"/>
  <c r="C16" i="47" s="1"/>
  <c r="C6" i="60" l="1"/>
  <c r="D6" i="60" s="1"/>
  <c r="E6" i="60" s="1"/>
  <c r="G12" i="12" s="1"/>
  <c r="I6" i="60"/>
  <c r="L6" i="60" s="1"/>
  <c r="H6" i="60"/>
  <c r="K6" i="60" s="1"/>
  <c r="G6" i="60"/>
  <c r="J6" i="60" s="1"/>
  <c r="M6" i="60" s="1"/>
  <c r="C8" i="12"/>
  <c r="C12" i="12"/>
  <c r="H17" i="12"/>
  <c r="E17" i="12"/>
  <c r="J17" i="12"/>
  <c r="B18" i="12"/>
  <c r="I18" i="12" s="1"/>
  <c r="G15" i="47"/>
  <c r="F7" i="60" s="1"/>
  <c r="L15" i="47"/>
  <c r="D9" i="46"/>
  <c r="E9" i="46" s="1"/>
  <c r="F9" i="46" s="1"/>
  <c r="C13" i="12" s="1"/>
  <c r="H16" i="47"/>
  <c r="C10" i="46" s="1"/>
  <c r="K16" i="47"/>
  <c r="D10" i="46" s="1"/>
  <c r="C10" i="55"/>
  <c r="F16" i="47"/>
  <c r="I16" i="47"/>
  <c r="E16" i="47"/>
  <c r="J16" i="47"/>
  <c r="D16" i="47"/>
  <c r="G8" i="46"/>
  <c r="D9" i="55"/>
  <c r="E9" i="55" s="1"/>
  <c r="F9" i="55" s="1"/>
  <c r="D13" i="12" s="1"/>
  <c r="E8" i="55"/>
  <c r="F8" i="55" s="1"/>
  <c r="D12" i="12" s="1"/>
  <c r="B17" i="47"/>
  <c r="C7" i="60" l="1"/>
  <c r="D7" i="60" s="1"/>
  <c r="E7" i="60" s="1"/>
  <c r="G13" i="12" s="1"/>
  <c r="I7" i="60"/>
  <c r="L7" i="60" s="1"/>
  <c r="H7" i="60"/>
  <c r="K7" i="60" s="1"/>
  <c r="G7" i="60"/>
  <c r="J7" i="60" s="1"/>
  <c r="M7" i="60" s="1"/>
  <c r="N6" i="60"/>
  <c r="F12" i="12"/>
  <c r="K12" i="12" s="1"/>
  <c r="O6" i="60"/>
  <c r="L12" i="12"/>
  <c r="H18" i="12"/>
  <c r="E18" i="12"/>
  <c r="J18" i="12"/>
  <c r="B19" i="12"/>
  <c r="I19" i="12" s="1"/>
  <c r="L16" i="47"/>
  <c r="G16" i="47"/>
  <c r="F8" i="60" s="1"/>
  <c r="D10" i="55"/>
  <c r="E10" i="55" s="1"/>
  <c r="F10" i="55" s="1"/>
  <c r="D14" i="12" s="1"/>
  <c r="G9" i="46"/>
  <c r="E10" i="46"/>
  <c r="F10" i="46" s="1"/>
  <c r="C14" i="12" s="1"/>
  <c r="C17" i="47"/>
  <c r="C11" i="55" s="1"/>
  <c r="J17" i="47"/>
  <c r="K17" i="47"/>
  <c r="I17" i="47"/>
  <c r="F17" i="47"/>
  <c r="D11" i="55" s="1"/>
  <c r="D17" i="47"/>
  <c r="E17" i="47"/>
  <c r="H17" i="47"/>
  <c r="C11" i="46" s="1"/>
  <c r="G9" i="55"/>
  <c r="G8" i="55"/>
  <c r="D8" i="12"/>
  <c r="B18" i="47"/>
  <c r="K8" i="12" l="1"/>
  <c r="L8" i="12" s="1"/>
  <c r="C8" i="60"/>
  <c r="D8" i="60" s="1"/>
  <c r="E8" i="60" s="1"/>
  <c r="G14" i="12" s="1"/>
  <c r="I8" i="60"/>
  <c r="L8" i="60" s="1"/>
  <c r="H8" i="60"/>
  <c r="K8" i="60" s="1"/>
  <c r="G8" i="60"/>
  <c r="J8" i="60" s="1"/>
  <c r="M8" i="60" s="1"/>
  <c r="P6" i="60"/>
  <c r="N7" i="60"/>
  <c r="F13" i="12"/>
  <c r="K13" i="12" s="1"/>
  <c r="L13" i="12" s="1"/>
  <c r="O7" i="60"/>
  <c r="J19" i="12"/>
  <c r="H19" i="12"/>
  <c r="E19" i="12"/>
  <c r="B20" i="12"/>
  <c r="I20" i="12" s="1"/>
  <c r="L17" i="47"/>
  <c r="G10" i="46"/>
  <c r="G17" i="47"/>
  <c r="F9" i="60" s="1"/>
  <c r="F18" i="47"/>
  <c r="J18" i="47"/>
  <c r="D18" i="47"/>
  <c r="C18" i="47"/>
  <c r="C12" i="55" s="1"/>
  <c r="H18" i="47"/>
  <c r="C12" i="46" s="1"/>
  <c r="K18" i="47"/>
  <c r="D12" i="46" s="1"/>
  <c r="I18" i="47"/>
  <c r="E18" i="47"/>
  <c r="G10" i="55"/>
  <c r="E11" i="55"/>
  <c r="F11" i="55" s="1"/>
  <c r="D15" i="12" s="1"/>
  <c r="B19" i="47"/>
  <c r="C9" i="60" l="1"/>
  <c r="D9" i="60" s="1"/>
  <c r="E9" i="60" s="1"/>
  <c r="G15" i="12" s="1"/>
  <c r="I9" i="60"/>
  <c r="L9" i="60" s="1"/>
  <c r="H9" i="60"/>
  <c r="K9" i="60" s="1"/>
  <c r="G9" i="60"/>
  <c r="J9" i="60" s="1"/>
  <c r="M9" i="60" s="1"/>
  <c r="P7" i="60"/>
  <c r="N8" i="60"/>
  <c r="F14" i="12"/>
  <c r="K14" i="12" s="1"/>
  <c r="L14" i="12" s="1"/>
  <c r="O8" i="60"/>
  <c r="J20" i="12"/>
  <c r="H20" i="12"/>
  <c r="E20" i="12"/>
  <c r="B21" i="12"/>
  <c r="I21" i="12" s="1"/>
  <c r="G18" i="47"/>
  <c r="F10" i="60" s="1"/>
  <c r="F19" i="47"/>
  <c r="E19" i="47"/>
  <c r="D19" i="47"/>
  <c r="J19" i="47"/>
  <c r="H19" i="47"/>
  <c r="C13" i="46" s="1"/>
  <c r="K19" i="47"/>
  <c r="C19" i="47"/>
  <c r="C13" i="55" s="1"/>
  <c r="I19" i="47"/>
  <c r="L18" i="47"/>
  <c r="G11" i="55"/>
  <c r="B20" i="47"/>
  <c r="C10" i="60" l="1"/>
  <c r="I10" i="60"/>
  <c r="H10" i="60"/>
  <c r="G10" i="60"/>
  <c r="P8" i="60"/>
  <c r="N9" i="60"/>
  <c r="F15" i="12"/>
  <c r="O9" i="60"/>
  <c r="J21" i="12"/>
  <c r="H21" i="12"/>
  <c r="E21" i="12"/>
  <c r="B22" i="12"/>
  <c r="I22" i="12" s="1"/>
  <c r="L19" i="47"/>
  <c r="D20" i="47"/>
  <c r="E20" i="47"/>
  <c r="J20" i="47"/>
  <c r="I20" i="47"/>
  <c r="F20" i="47"/>
  <c r="K20" i="47"/>
  <c r="C20" i="47"/>
  <c r="C14" i="55" s="1"/>
  <c r="H20" i="47"/>
  <c r="C14" i="46" s="1"/>
  <c r="G19" i="47"/>
  <c r="F11" i="60" s="1"/>
  <c r="B21" i="47"/>
  <c r="C11" i="60" l="1"/>
  <c r="D11" i="60" s="1"/>
  <c r="E11" i="60" s="1"/>
  <c r="G17" i="12" s="1"/>
  <c r="I11" i="60"/>
  <c r="L11" i="60" s="1"/>
  <c r="H11" i="60"/>
  <c r="K11" i="60" s="1"/>
  <c r="G11" i="60"/>
  <c r="J11" i="60" s="1"/>
  <c r="M11" i="60" s="1"/>
  <c r="P9" i="60"/>
  <c r="J10" i="60"/>
  <c r="K10" i="60"/>
  <c r="L10" i="60"/>
  <c r="D10" i="60"/>
  <c r="E10" i="60" s="1"/>
  <c r="J22" i="12"/>
  <c r="H22" i="12"/>
  <c r="E22" i="12"/>
  <c r="B23" i="12"/>
  <c r="I23" i="12" s="1"/>
  <c r="L20" i="47"/>
  <c r="H21" i="47"/>
  <c r="C15" i="46" s="1"/>
  <c r="F21" i="47"/>
  <c r="C21" i="47"/>
  <c r="C15" i="55" s="1"/>
  <c r="I21" i="47"/>
  <c r="E21" i="47"/>
  <c r="J21" i="47"/>
  <c r="K21" i="47"/>
  <c r="D21" i="47"/>
  <c r="G20" i="47"/>
  <c r="F12" i="60" s="1"/>
  <c r="B22" i="47"/>
  <c r="C12" i="60" l="1"/>
  <c r="I12" i="60"/>
  <c r="H12" i="60"/>
  <c r="G12" i="60"/>
  <c r="G16" i="12"/>
  <c r="M10" i="60"/>
  <c r="N11" i="60"/>
  <c r="P11" i="60" s="1"/>
  <c r="F17" i="12"/>
  <c r="O11" i="60"/>
  <c r="J23" i="12"/>
  <c r="H23" i="12"/>
  <c r="E23" i="12"/>
  <c r="B24" i="12"/>
  <c r="I24" i="12" s="1"/>
  <c r="G21" i="47"/>
  <c r="F13" i="60" s="1"/>
  <c r="K22" i="47"/>
  <c r="D22" i="47"/>
  <c r="E22" i="47"/>
  <c r="H22" i="47"/>
  <c r="C16" i="46" s="1"/>
  <c r="J22" i="47"/>
  <c r="F22" i="47"/>
  <c r="I22" i="47"/>
  <c r="C22" i="47"/>
  <c r="L21" i="47"/>
  <c r="B23" i="47"/>
  <c r="C13" i="60" l="1"/>
  <c r="D13" i="60" s="1"/>
  <c r="E13" i="60" s="1"/>
  <c r="G19" i="12" s="1"/>
  <c r="I13" i="60"/>
  <c r="L13" i="60" s="1"/>
  <c r="H13" i="60"/>
  <c r="K13" i="60" s="1"/>
  <c r="G13" i="60"/>
  <c r="J13" i="60" s="1"/>
  <c r="M13" i="60" s="1"/>
  <c r="N10" i="60"/>
  <c r="F16" i="12"/>
  <c r="O10" i="60"/>
  <c r="J12" i="60"/>
  <c r="K12" i="60"/>
  <c r="L12" i="60"/>
  <c r="D12" i="60"/>
  <c r="E12" i="60" s="1"/>
  <c r="J24" i="12"/>
  <c r="H24" i="12"/>
  <c r="E24" i="12"/>
  <c r="B25" i="12"/>
  <c r="I25" i="12" s="1"/>
  <c r="L22" i="47"/>
  <c r="C23" i="47"/>
  <c r="C17" i="55" s="1"/>
  <c r="F23" i="47"/>
  <c r="K23" i="47"/>
  <c r="E23" i="47"/>
  <c r="J23" i="47"/>
  <c r="H23" i="47"/>
  <c r="C17" i="46" s="1"/>
  <c r="D23" i="47"/>
  <c r="I23" i="47"/>
  <c r="G22" i="47"/>
  <c r="F14" i="60" s="1"/>
  <c r="C16" i="55"/>
  <c r="B24" i="47"/>
  <c r="C14" i="60" l="1"/>
  <c r="I14" i="60"/>
  <c r="H14" i="60"/>
  <c r="G14" i="60"/>
  <c r="G18" i="12"/>
  <c r="M12" i="60"/>
  <c r="P10" i="60"/>
  <c r="N13" i="60"/>
  <c r="P13" i="60" s="1"/>
  <c r="F19" i="12"/>
  <c r="O13" i="60"/>
  <c r="J25" i="12"/>
  <c r="H25" i="12"/>
  <c r="E25" i="12"/>
  <c r="B26" i="12"/>
  <c r="I26" i="12" s="1"/>
  <c r="J24" i="47"/>
  <c r="D24" i="47"/>
  <c r="F24" i="47"/>
  <c r="C24" i="47"/>
  <c r="K24" i="47"/>
  <c r="I24" i="47"/>
  <c r="H24" i="47"/>
  <c r="C18" i="46" s="1"/>
  <c r="E24" i="47"/>
  <c r="L23" i="47"/>
  <c r="G23" i="47"/>
  <c r="F15" i="60" s="1"/>
  <c r="B25" i="47"/>
  <c r="C15" i="60" l="1"/>
  <c r="D15" i="60" s="1"/>
  <c r="E15" i="60" s="1"/>
  <c r="G21" i="12" s="1"/>
  <c r="I15" i="60"/>
  <c r="L15" i="60" s="1"/>
  <c r="H15" i="60"/>
  <c r="K15" i="60" s="1"/>
  <c r="G15" i="60"/>
  <c r="J15" i="60" s="1"/>
  <c r="M15" i="60" s="1"/>
  <c r="N12" i="60"/>
  <c r="F18" i="12"/>
  <c r="O12" i="60"/>
  <c r="J14" i="60"/>
  <c r="K14" i="60"/>
  <c r="L14" i="60"/>
  <c r="D14" i="60"/>
  <c r="E14" i="60" s="1"/>
  <c r="J26" i="12"/>
  <c r="H26" i="12"/>
  <c r="E26" i="12"/>
  <c r="B27" i="12"/>
  <c r="I27" i="12" s="1"/>
  <c r="C18" i="55"/>
  <c r="G24" i="47"/>
  <c r="F16" i="60" s="1"/>
  <c r="D25" i="47"/>
  <c r="E25" i="47"/>
  <c r="C25" i="47"/>
  <c r="K25" i="47"/>
  <c r="F25" i="47"/>
  <c r="I25" i="47"/>
  <c r="H25" i="47"/>
  <c r="C19" i="46" s="1"/>
  <c r="J25" i="47"/>
  <c r="L24" i="47"/>
  <c r="B26" i="47"/>
  <c r="C16" i="60" l="1"/>
  <c r="I16" i="60"/>
  <c r="H16" i="60"/>
  <c r="G16" i="60"/>
  <c r="G20" i="12"/>
  <c r="M14" i="60"/>
  <c r="P12" i="60"/>
  <c r="N15" i="60"/>
  <c r="P15" i="60" s="1"/>
  <c r="F21" i="12"/>
  <c r="O15" i="60"/>
  <c r="J27" i="12"/>
  <c r="H27" i="12"/>
  <c r="E27" i="12"/>
  <c r="B28" i="12"/>
  <c r="I28" i="12" s="1"/>
  <c r="L25" i="47"/>
  <c r="C26" i="47"/>
  <c r="C20" i="55" s="1"/>
  <c r="K26" i="47"/>
  <c r="H26" i="47"/>
  <c r="C20" i="46" s="1"/>
  <c r="D26" i="47"/>
  <c r="I26" i="47"/>
  <c r="J26" i="47"/>
  <c r="F26" i="47"/>
  <c r="E26" i="47"/>
  <c r="G25" i="47"/>
  <c r="F17" i="60" s="1"/>
  <c r="C19" i="55"/>
  <c r="B27" i="47"/>
  <c r="C17" i="60" l="1"/>
  <c r="D17" i="60" s="1"/>
  <c r="E17" i="60" s="1"/>
  <c r="G23" i="12" s="1"/>
  <c r="I17" i="60"/>
  <c r="L17" i="60" s="1"/>
  <c r="H17" i="60"/>
  <c r="K17" i="60" s="1"/>
  <c r="G17" i="60"/>
  <c r="J17" i="60" s="1"/>
  <c r="M17" i="60" s="1"/>
  <c r="N14" i="60"/>
  <c r="F20" i="12"/>
  <c r="O14" i="60"/>
  <c r="J16" i="60"/>
  <c r="K16" i="60"/>
  <c r="L16" i="60"/>
  <c r="D16" i="60"/>
  <c r="E16" i="60" s="1"/>
  <c r="J28" i="12"/>
  <c r="H28" i="12"/>
  <c r="B29" i="12"/>
  <c r="I29" i="12" s="1"/>
  <c r="E28" i="12"/>
  <c r="G26" i="47"/>
  <c r="F18" i="60" s="1"/>
  <c r="L26" i="47"/>
  <c r="J27" i="47"/>
  <c r="I27" i="47"/>
  <c r="C27" i="47"/>
  <c r="C21" i="55" s="1"/>
  <c r="E27" i="47"/>
  <c r="F27" i="47"/>
  <c r="K27" i="47"/>
  <c r="D27" i="47"/>
  <c r="H27" i="47"/>
  <c r="C21" i="46" s="1"/>
  <c r="B28" i="47"/>
  <c r="C18" i="60" l="1"/>
  <c r="I18" i="60"/>
  <c r="H18" i="60"/>
  <c r="G18" i="60"/>
  <c r="G22" i="12"/>
  <c r="M16" i="60"/>
  <c r="P14" i="60"/>
  <c r="N17" i="60"/>
  <c r="P17" i="60" s="1"/>
  <c r="F23" i="12"/>
  <c r="O17" i="60"/>
  <c r="J29" i="12"/>
  <c r="H29" i="12"/>
  <c r="B30" i="12"/>
  <c r="I30" i="12" s="1"/>
  <c r="E29" i="12"/>
  <c r="C28" i="47"/>
  <c r="C22" i="55" s="1"/>
  <c r="E28" i="47"/>
  <c r="K28" i="47"/>
  <c r="H28" i="47"/>
  <c r="C22" i="46" s="1"/>
  <c r="I28" i="47"/>
  <c r="F28" i="47"/>
  <c r="D28" i="47"/>
  <c r="J28" i="47"/>
  <c r="L27" i="47"/>
  <c r="G27" i="47"/>
  <c r="F19" i="60" s="1"/>
  <c r="B29" i="47"/>
  <c r="C19" i="60" l="1"/>
  <c r="D19" i="60" s="1"/>
  <c r="E19" i="60" s="1"/>
  <c r="G25" i="12" s="1"/>
  <c r="I19" i="60"/>
  <c r="L19" i="60" s="1"/>
  <c r="H19" i="60"/>
  <c r="K19" i="60" s="1"/>
  <c r="G19" i="60"/>
  <c r="J19" i="60" s="1"/>
  <c r="M19" i="60" s="1"/>
  <c r="N16" i="60"/>
  <c r="F22" i="12"/>
  <c r="O16" i="60"/>
  <c r="J18" i="60"/>
  <c r="K18" i="60"/>
  <c r="L18" i="60"/>
  <c r="D18" i="60"/>
  <c r="E18" i="60" s="1"/>
  <c r="J30" i="12"/>
  <c r="H30" i="12"/>
  <c r="E30" i="12"/>
  <c r="G28" i="47"/>
  <c r="F20" i="60" s="1"/>
  <c r="L28" i="47"/>
  <c r="I29" i="47"/>
  <c r="D29" i="47"/>
  <c r="J29" i="47"/>
  <c r="H29" i="47"/>
  <c r="C23" i="46" s="1"/>
  <c r="C29" i="47"/>
  <c r="C23" i="55" s="1"/>
  <c r="K29" i="47"/>
  <c r="E29" i="47"/>
  <c r="F29" i="47"/>
  <c r="B30" i="47"/>
  <c r="C20" i="60" l="1"/>
  <c r="I20" i="60"/>
  <c r="H20" i="60"/>
  <c r="G20" i="60"/>
  <c r="G24" i="12"/>
  <c r="M18" i="60"/>
  <c r="P16" i="60"/>
  <c r="N19" i="60"/>
  <c r="P19" i="60" s="1"/>
  <c r="F25" i="12"/>
  <c r="O19" i="60"/>
  <c r="L29" i="47"/>
  <c r="E30" i="47"/>
  <c r="D30" i="47"/>
  <c r="C30" i="47"/>
  <c r="K30" i="47"/>
  <c r="J30" i="47"/>
  <c r="I30" i="47"/>
  <c r="H30" i="47"/>
  <c r="C24" i="46" s="1"/>
  <c r="F30" i="47"/>
  <c r="G29" i="47"/>
  <c r="F21" i="60" s="1"/>
  <c r="B31" i="47"/>
  <c r="C21" i="60" l="1"/>
  <c r="D21" i="60" s="1"/>
  <c r="E21" i="60" s="1"/>
  <c r="G27" i="12" s="1"/>
  <c r="I21" i="60"/>
  <c r="L21" i="60" s="1"/>
  <c r="H21" i="60"/>
  <c r="K21" i="60" s="1"/>
  <c r="G21" i="60"/>
  <c r="J21" i="60" s="1"/>
  <c r="M21" i="60" s="1"/>
  <c r="N18" i="60"/>
  <c r="F24" i="12"/>
  <c r="O18" i="60"/>
  <c r="J20" i="60"/>
  <c r="K20" i="60"/>
  <c r="L20" i="60"/>
  <c r="D20" i="60"/>
  <c r="E20" i="60" s="1"/>
  <c r="L30" i="47"/>
  <c r="I31" i="47"/>
  <c r="C31" i="47"/>
  <c r="C25" i="55" s="1"/>
  <c r="D31" i="47"/>
  <c r="E31" i="47"/>
  <c r="H31" i="47"/>
  <c r="C25" i="46" s="1"/>
  <c r="J31" i="47"/>
  <c r="K31" i="47"/>
  <c r="F31" i="47"/>
  <c r="G30" i="47"/>
  <c r="F22" i="60" s="1"/>
  <c r="C24" i="55"/>
  <c r="B32" i="47"/>
  <c r="C22" i="60" l="1"/>
  <c r="I22" i="60"/>
  <c r="H22" i="60"/>
  <c r="G22" i="60"/>
  <c r="G26" i="12"/>
  <c r="M20" i="60"/>
  <c r="P18" i="60"/>
  <c r="N21" i="60"/>
  <c r="P21" i="60" s="1"/>
  <c r="F27" i="12"/>
  <c r="O21" i="60"/>
  <c r="L31" i="47"/>
  <c r="G31" i="47"/>
  <c r="F23" i="60" s="1"/>
  <c r="H32" i="47"/>
  <c r="C26" i="46" s="1"/>
  <c r="F32" i="47"/>
  <c r="J32" i="47"/>
  <c r="I32" i="47"/>
  <c r="D32" i="47"/>
  <c r="E32" i="47"/>
  <c r="K32" i="47"/>
  <c r="C32" i="47"/>
  <c r="C26" i="55" s="1"/>
  <c r="C23" i="60" l="1"/>
  <c r="D23" i="60" s="1"/>
  <c r="E23" i="60" s="1"/>
  <c r="G29" i="12" s="1"/>
  <c r="I23" i="60"/>
  <c r="L23" i="60" s="1"/>
  <c r="H23" i="60"/>
  <c r="K23" i="60" s="1"/>
  <c r="G23" i="60"/>
  <c r="J23" i="60" s="1"/>
  <c r="M23" i="60" s="1"/>
  <c r="N20" i="60"/>
  <c r="F26" i="12"/>
  <c r="O20" i="60"/>
  <c r="J22" i="60"/>
  <c r="K22" i="60"/>
  <c r="L22" i="60"/>
  <c r="D22" i="60"/>
  <c r="E22" i="60" s="1"/>
  <c r="L32" i="47"/>
  <c r="D23" i="46"/>
  <c r="E23" i="46" s="1"/>
  <c r="F23" i="46" s="1"/>
  <c r="D13" i="55"/>
  <c r="E13" i="55" s="1"/>
  <c r="F13" i="55" s="1"/>
  <c r="D17" i="12" s="1"/>
  <c r="D13" i="46"/>
  <c r="E13" i="46" s="1"/>
  <c r="F13" i="46" s="1"/>
  <c r="C17" i="12" s="1"/>
  <c r="D15" i="55"/>
  <c r="E15" i="55" s="1"/>
  <c r="F15" i="55" s="1"/>
  <c r="D17" i="55"/>
  <c r="E17" i="55" s="1"/>
  <c r="F17" i="55" s="1"/>
  <c r="D15" i="46"/>
  <c r="E15" i="46" s="1"/>
  <c r="F15" i="46" s="1"/>
  <c r="D26" i="55"/>
  <c r="E26" i="55" s="1"/>
  <c r="F26" i="55" s="1"/>
  <c r="D17" i="46"/>
  <c r="E17" i="46" s="1"/>
  <c r="F17" i="46" s="1"/>
  <c r="D11" i="46"/>
  <c r="E11" i="46" s="1"/>
  <c r="F11" i="46" s="1"/>
  <c r="C15" i="12" s="1"/>
  <c r="D16" i="46"/>
  <c r="E16" i="46" s="1"/>
  <c r="F16" i="46" s="1"/>
  <c r="D12" i="55"/>
  <c r="E12" i="55" s="1"/>
  <c r="F12" i="55" s="1"/>
  <c r="D16" i="12" s="1"/>
  <c r="D16" i="55"/>
  <c r="E16" i="55" s="1"/>
  <c r="F16" i="55" s="1"/>
  <c r="D18" i="55"/>
  <c r="E18" i="55" s="1"/>
  <c r="F18" i="55" s="1"/>
  <c r="D18" i="46"/>
  <c r="E18" i="46" s="1"/>
  <c r="F18" i="46" s="1"/>
  <c r="D14" i="46"/>
  <c r="E14" i="46" s="1"/>
  <c r="F14" i="46" s="1"/>
  <c r="C18" i="12" s="1"/>
  <c r="D21" i="46"/>
  <c r="E21" i="46" s="1"/>
  <c r="F21" i="46" s="1"/>
  <c r="D14" i="55"/>
  <c r="E14" i="55" s="1"/>
  <c r="F14" i="55" s="1"/>
  <c r="D18" i="12" s="1"/>
  <c r="E12" i="46"/>
  <c r="F12" i="46" s="1"/>
  <c r="C16" i="12" s="1"/>
  <c r="D26" i="46"/>
  <c r="E26" i="46" s="1"/>
  <c r="F26" i="46" s="1"/>
  <c r="D24" i="55"/>
  <c r="E24" i="55" s="1"/>
  <c r="F24" i="55" s="1"/>
  <c r="G24" i="55" s="1"/>
  <c r="D22" i="55"/>
  <c r="E22" i="55" s="1"/>
  <c r="F22" i="55" s="1"/>
  <c r="D19" i="55"/>
  <c r="E19" i="55" s="1"/>
  <c r="F19" i="55" s="1"/>
  <c r="D23" i="55"/>
  <c r="E23" i="55" s="1"/>
  <c r="F23" i="55" s="1"/>
  <c r="G23" i="55" s="1"/>
  <c r="D21" i="55"/>
  <c r="E21" i="55" s="1"/>
  <c r="F21" i="55" s="1"/>
  <c r="D20" i="55"/>
  <c r="E20" i="55" s="1"/>
  <c r="F20" i="55" s="1"/>
  <c r="D25" i="55"/>
  <c r="E25" i="55" s="1"/>
  <c r="F25" i="55" s="1"/>
  <c r="G25" i="55" s="1"/>
  <c r="D19" i="46"/>
  <c r="E19" i="46" s="1"/>
  <c r="F19" i="46" s="1"/>
  <c r="D20" i="46"/>
  <c r="E20" i="46" s="1"/>
  <c r="F20" i="46" s="1"/>
  <c r="D24" i="46"/>
  <c r="E24" i="46" s="1"/>
  <c r="F24" i="46" s="1"/>
  <c r="D25" i="46"/>
  <c r="E25" i="46" s="1"/>
  <c r="F25" i="46" s="1"/>
  <c r="D22" i="46"/>
  <c r="E22" i="46" s="1"/>
  <c r="F22" i="46" s="1"/>
  <c r="G32" i="47"/>
  <c r="F24" i="60" s="1"/>
  <c r="C24" i="60" l="1"/>
  <c r="I24" i="60"/>
  <c r="H24" i="60"/>
  <c r="G24" i="60"/>
  <c r="K16" i="12"/>
  <c r="L16" i="12" s="1"/>
  <c r="K18" i="12"/>
  <c r="K15" i="12"/>
  <c r="L15" i="12" s="1"/>
  <c r="K17" i="12"/>
  <c r="L17" i="12" s="1"/>
  <c r="G28" i="12"/>
  <c r="M22" i="60"/>
  <c r="P20" i="60"/>
  <c r="N23" i="60"/>
  <c r="P23" i="60" s="1"/>
  <c r="F29" i="12"/>
  <c r="O23" i="60"/>
  <c r="L18" i="12"/>
  <c r="D29" i="12"/>
  <c r="G20" i="46"/>
  <c r="C25" i="12"/>
  <c r="G16" i="55"/>
  <c r="D21" i="12"/>
  <c r="G13" i="46"/>
  <c r="G22" i="55"/>
  <c r="D27" i="12"/>
  <c r="G22" i="46"/>
  <c r="C27" i="12"/>
  <c r="G14" i="55"/>
  <c r="D19" i="12"/>
  <c r="G17" i="46"/>
  <c r="C22" i="12"/>
  <c r="D28" i="12"/>
  <c r="G16" i="46"/>
  <c r="C21" i="12"/>
  <c r="K21" i="12" s="1"/>
  <c r="G21" i="55"/>
  <c r="D26" i="12"/>
  <c r="G18" i="55"/>
  <c r="D23" i="12"/>
  <c r="G19" i="46"/>
  <c r="C24" i="12"/>
  <c r="G12" i="46"/>
  <c r="G12" i="55"/>
  <c r="G15" i="55"/>
  <c r="D20" i="12"/>
  <c r="G14" i="46"/>
  <c r="C19" i="12"/>
  <c r="K19" i="12" s="1"/>
  <c r="G15" i="46"/>
  <c r="C20" i="12"/>
  <c r="K20" i="12" s="1"/>
  <c r="D24" i="12"/>
  <c r="G19" i="55"/>
  <c r="G13" i="55"/>
  <c r="G25" i="46"/>
  <c r="C30" i="12"/>
  <c r="G20" i="55"/>
  <c r="D25" i="12"/>
  <c r="G26" i="46"/>
  <c r="G24" i="46"/>
  <c r="C29" i="12"/>
  <c r="G21" i="46"/>
  <c r="C26" i="12"/>
  <c r="K26" i="12" s="1"/>
  <c r="G18" i="46"/>
  <c r="C23" i="12"/>
  <c r="K23" i="12" s="1"/>
  <c r="G11" i="46"/>
  <c r="G17" i="55"/>
  <c r="D22" i="12"/>
  <c r="G23" i="46"/>
  <c r="C28" i="12"/>
  <c r="G26" i="55"/>
  <c r="D30" i="12"/>
  <c r="K29" i="12" l="1"/>
  <c r="L29" i="12" s="1"/>
  <c r="K24" i="12"/>
  <c r="K22" i="12"/>
  <c r="K27" i="12"/>
  <c r="L27" i="12" s="1"/>
  <c r="K25" i="12"/>
  <c r="N22" i="60"/>
  <c r="F28" i="12"/>
  <c r="K28" i="12" s="1"/>
  <c r="O22" i="60"/>
  <c r="J24" i="60"/>
  <c r="G25" i="60"/>
  <c r="G26" i="60" s="1"/>
  <c r="E45" i="60" s="1"/>
  <c r="K24" i="60"/>
  <c r="H25" i="60"/>
  <c r="H26" i="60" s="1"/>
  <c r="E46" i="60" s="1"/>
  <c r="L24" i="60"/>
  <c r="I25" i="60"/>
  <c r="I26" i="60" s="1"/>
  <c r="E47" i="60" s="1"/>
  <c r="D24" i="60"/>
  <c r="E24" i="60" s="1"/>
  <c r="C25" i="60"/>
  <c r="E44" i="60" s="1"/>
  <c r="L20" i="12"/>
  <c r="L19" i="12"/>
  <c r="L23" i="12"/>
  <c r="L21" i="12"/>
  <c r="L24" i="12"/>
  <c r="L22" i="12"/>
  <c r="L25" i="12"/>
  <c r="L28" i="12"/>
  <c r="L26" i="12"/>
  <c r="D37" i="12"/>
  <c r="G30" i="12" l="1"/>
  <c r="E25" i="60"/>
  <c r="M24" i="60"/>
  <c r="P22" i="60"/>
  <c r="G27" i="55"/>
  <c r="O73" i="12" s="1"/>
  <c r="O84" i="12" s="1"/>
  <c r="N24" i="60" l="1"/>
  <c r="F30" i="12"/>
  <c r="K30" i="12" s="1"/>
  <c r="L30" i="12" s="1"/>
  <c r="O24" i="60"/>
  <c r="O25" i="60" s="1"/>
  <c r="G27" i="46"/>
  <c r="O72" i="12" s="1"/>
  <c r="O83" i="12" l="1"/>
  <c r="P24" i="60"/>
  <c r="P25" i="60" s="1"/>
  <c r="N25" i="60"/>
  <c r="C17" i="8"/>
  <c r="C25" i="8"/>
  <c r="C28" i="8"/>
  <c r="C18" i="8"/>
  <c r="C27" i="8"/>
  <c r="C24" i="8"/>
  <c r="C16" i="8"/>
  <c r="C21" i="8"/>
  <c r="C31" i="8"/>
  <c r="C29" i="8"/>
  <c r="C26" i="8"/>
  <c r="C19" i="8"/>
  <c r="C14" i="8"/>
  <c r="C23" i="8"/>
  <c r="C20" i="8"/>
  <c r="C30" i="8"/>
  <c r="C13" i="8"/>
  <c r="C22" i="8"/>
  <c r="C15" i="8"/>
  <c r="L32" i="12" l="1"/>
  <c r="O75" i="12"/>
  <c r="C44" i="12"/>
  <c r="D15" i="8"/>
  <c r="G15" i="8"/>
  <c r="C51" i="12"/>
  <c r="D22" i="8"/>
  <c r="G22" i="8"/>
  <c r="C42" i="12"/>
  <c r="D13" i="8"/>
  <c r="G13" i="8"/>
  <c r="C59" i="12"/>
  <c r="D30" i="8"/>
  <c r="G30" i="8"/>
  <c r="C49" i="12"/>
  <c r="D20" i="8"/>
  <c r="G20" i="8"/>
  <c r="C52" i="12"/>
  <c r="D23" i="8"/>
  <c r="G23" i="8"/>
  <c r="C43" i="12"/>
  <c r="D14" i="8"/>
  <c r="G14" i="8"/>
  <c r="C48" i="12"/>
  <c r="D19" i="8"/>
  <c r="G19" i="8"/>
  <c r="C55" i="12"/>
  <c r="D26" i="8"/>
  <c r="G26" i="8"/>
  <c r="C58" i="12"/>
  <c r="D29" i="8"/>
  <c r="G29" i="8"/>
  <c r="C60" i="12"/>
  <c r="D31" i="8"/>
  <c r="G31" i="8"/>
  <c r="H31" i="8" s="1"/>
  <c r="C50" i="12"/>
  <c r="D21" i="8"/>
  <c r="G21" i="8"/>
  <c r="C45" i="12"/>
  <c r="D16" i="8"/>
  <c r="G16" i="8"/>
  <c r="C53" i="12"/>
  <c r="D24" i="8"/>
  <c r="G24" i="8"/>
  <c r="C56" i="12"/>
  <c r="D27" i="8"/>
  <c r="G27" i="8"/>
  <c r="C47" i="12"/>
  <c r="D18" i="8"/>
  <c r="G18" i="8"/>
  <c r="C57" i="12"/>
  <c r="D28" i="8"/>
  <c r="G28" i="8"/>
  <c r="C54" i="12"/>
  <c r="D25" i="8"/>
  <c r="G25" i="8"/>
  <c r="C46" i="12"/>
  <c r="D17" i="8"/>
  <c r="G17" i="8"/>
  <c r="H15" i="8"/>
  <c r="C32" i="8"/>
  <c r="H20" i="8"/>
  <c r="H23" i="8"/>
  <c r="H14" i="8"/>
  <c r="H19" i="8"/>
  <c r="H26" i="8"/>
  <c r="H29" i="8"/>
  <c r="H21" i="8"/>
  <c r="H24" i="8"/>
  <c r="H27" i="8"/>
  <c r="H18" i="8"/>
  <c r="H28" i="8"/>
  <c r="H25" i="8"/>
  <c r="H17" i="8"/>
  <c r="D40" i="12"/>
  <c r="H11" i="8"/>
  <c r="D39" i="12"/>
  <c r="H10" i="8"/>
  <c r="D59" i="12"/>
  <c r="H30" i="8"/>
  <c r="D41" i="12"/>
  <c r="H12" i="8"/>
  <c r="D51" i="12"/>
  <c r="H22" i="8"/>
  <c r="D45" i="12"/>
  <c r="H16" i="8"/>
  <c r="D47" i="12"/>
  <c r="D53" i="12"/>
  <c r="D54" i="12"/>
  <c r="D49" i="12"/>
  <c r="D52" i="12"/>
  <c r="D50" i="12"/>
  <c r="D60" i="12"/>
  <c r="D42" i="12"/>
  <c r="D48" i="12"/>
  <c r="D38" i="12"/>
  <c r="D55" i="12"/>
  <c r="D57" i="12"/>
  <c r="D56" i="12"/>
  <c r="D58" i="12"/>
  <c r="D44" i="12"/>
  <c r="D43" i="12"/>
  <c r="D46" i="12"/>
  <c r="O86" i="12" l="1"/>
  <c r="O90" i="12" s="1"/>
  <c r="O79" i="12"/>
  <c r="D32" i="8"/>
  <c r="G32" i="8"/>
  <c r="H13" i="8"/>
  <c r="H32" i="8"/>
  <c r="D62" i="12"/>
  <c r="D61" i="12"/>
  <c r="C67" i="12" s="1"/>
  <c r="L31" i="12" l="1"/>
  <c r="C66" i="12" s="1"/>
  <c r="C68" i="12" s="1"/>
  <c r="C74" i="12"/>
  <c r="C73" i="12" l="1"/>
  <c r="C76" i="12" s="1"/>
  <c r="C69" i="12"/>
  <c r="C75"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<sst xmlns="http://schemas.openxmlformats.org/spreadsheetml/2006/main" count="3087" uniqueCount="715">
  <si>
    <t>Analysis Year</t>
  </si>
  <si>
    <t>7% Discount</t>
  </si>
  <si>
    <t>Total Benefit</t>
  </si>
  <si>
    <t>NOTES:</t>
  </si>
  <si>
    <t>Total Cost</t>
  </si>
  <si>
    <t xml:space="preserve">Cost Category </t>
  </si>
  <si>
    <t>Life (years)</t>
  </si>
  <si>
    <t>BENEFITS</t>
  </si>
  <si>
    <t>COSTS</t>
  </si>
  <si>
    <t>Capital Costs</t>
  </si>
  <si>
    <t>Benefits</t>
  </si>
  <si>
    <t>Costs</t>
  </si>
  <si>
    <t>B/C Ratio</t>
  </si>
  <si>
    <t>ENVIRONMENTAL SUSTAINABILITY - AIR QUALITY</t>
  </si>
  <si>
    <t>SUMMARY</t>
  </si>
  <si>
    <t>Remaining Capital Value</t>
  </si>
  <si>
    <t>2)</t>
  </si>
  <si>
    <t>1)</t>
  </si>
  <si>
    <t xml:space="preserve">Capital Cost </t>
  </si>
  <si>
    <t>Right-of-Way</t>
  </si>
  <si>
    <t>Major Structures</t>
  </si>
  <si>
    <t>Grading and Drainage</t>
  </si>
  <si>
    <t>Sub Base and Base</t>
  </si>
  <si>
    <t>Surface</t>
  </si>
  <si>
    <t>Miscellaneous (Sunk)</t>
  </si>
  <si>
    <t>No Build</t>
  </si>
  <si>
    <t>Build</t>
  </si>
  <si>
    <t>Recommended Value</t>
  </si>
  <si>
    <t>Total</t>
  </si>
  <si>
    <t>Crash Cost Savings</t>
  </si>
  <si>
    <t>K</t>
  </si>
  <si>
    <t>A</t>
  </si>
  <si>
    <t>B</t>
  </si>
  <si>
    <t>C</t>
  </si>
  <si>
    <t>Economic Competitiveness</t>
  </si>
  <si>
    <t>Safety</t>
  </si>
  <si>
    <t>Environmental Sustainability</t>
  </si>
  <si>
    <t>Auto Vehicle Operating Cost</t>
  </si>
  <si>
    <t>Truck Vehicle Operating Cost</t>
  </si>
  <si>
    <t>Auto Percentage</t>
  </si>
  <si>
    <t>Truck Percentage</t>
  </si>
  <si>
    <t>Table 3 - Per-mile Operating Cost</t>
  </si>
  <si>
    <t>Aggregate Vehicle Operating Cost</t>
  </si>
  <si>
    <t>Truck Travel Time Cost</t>
  </si>
  <si>
    <t>Aggregate Travel Time Cost</t>
  </si>
  <si>
    <t>Auto Vehicle Occupancy</t>
  </si>
  <si>
    <t>Truck Vehicle Occupancy</t>
  </si>
  <si>
    <t>Table 4 - Per-mile Travel Time Cost</t>
  </si>
  <si>
    <t>Network VHT</t>
  </si>
  <si>
    <t>Difference</t>
  </si>
  <si>
    <t>Annual Growth</t>
  </si>
  <si>
    <t>Annualized Operations</t>
  </si>
  <si>
    <t>Differential</t>
  </si>
  <si>
    <t>Travel Time Savings</t>
  </si>
  <si>
    <t>Operations Savings</t>
  </si>
  <si>
    <t>Travel Time Cost Savings</t>
  </si>
  <si>
    <t>ECONOMIC COMPETITIVENESS - USER BENEFIT CALCULATION OF REGIONAL TRAVEL TIME CHANGE</t>
  </si>
  <si>
    <t>Annual Total Network VHT</t>
  </si>
  <si>
    <t>Travel Demand Model Analysis Year</t>
  </si>
  <si>
    <t>STATE OF GOOD REPAIR - OPERATION AND MAINTENANCE COSTS</t>
  </si>
  <si>
    <t>State of Good Repair</t>
  </si>
  <si>
    <t>Operation and Maintenance Costs</t>
  </si>
  <si>
    <t>PDO</t>
  </si>
  <si>
    <t>Network VMT</t>
  </si>
  <si>
    <t>No Build Daily VMT</t>
  </si>
  <si>
    <t>Build Daily VMT</t>
  </si>
  <si>
    <t>Table 1 - Analysis Timeframe Assumptions</t>
  </si>
  <si>
    <t>Years of Benefit-Cost Analysis Period</t>
  </si>
  <si>
    <t>Benefit-Cost Final Year of Benefit</t>
  </si>
  <si>
    <t>Crash Severity</t>
  </si>
  <si>
    <t>Improvement</t>
  </si>
  <si>
    <t>Days in Traffic Analysis Year</t>
  </si>
  <si>
    <t>West Gap</t>
  </si>
  <si>
    <t>East Gap</t>
  </si>
  <si>
    <t>Location</t>
  </si>
  <si>
    <t>Year</t>
  </si>
  <si>
    <r>
      <t>Present Value RCV in (7%)</t>
    </r>
    <r>
      <rPr>
        <vertAlign val="superscript"/>
        <sz val="9"/>
        <color theme="1"/>
        <rFont val="Calibri"/>
        <family val="2"/>
        <scheme val="minor"/>
      </rPr>
      <t>2</t>
    </r>
  </si>
  <si>
    <t>Build - West Gap</t>
  </si>
  <si>
    <t>Build - East Gap</t>
  </si>
  <si>
    <t>Annual Total Network VMT</t>
  </si>
  <si>
    <r>
      <t xml:space="preserve">No Build Annual VMT </t>
    </r>
    <r>
      <rPr>
        <vertAlign val="superscript"/>
        <sz val="9"/>
        <color theme="1"/>
        <rFont val="Calibri"/>
        <family val="2"/>
        <scheme val="minor"/>
      </rPr>
      <t>4</t>
    </r>
  </si>
  <si>
    <t>SubTotal</t>
  </si>
  <si>
    <t>http://www.cmfclearinghouse.org/detail.cfm?facid=7571</t>
  </si>
  <si>
    <t xml:space="preserve">http://www.cmfclearinghouse.org/detail.cfm?facid=7570 </t>
  </si>
  <si>
    <t>Existing</t>
  </si>
  <si>
    <t>Fatal</t>
  </si>
  <si>
    <t>Future</t>
  </si>
  <si>
    <t>ROW Acquisition</t>
  </si>
  <si>
    <t>Remaining Capital Value (7%)</t>
  </si>
  <si>
    <t>NPV</t>
  </si>
  <si>
    <t>ECONOMIC COMPETITIVENESS - OPERATIONAL BENEFITS</t>
  </si>
  <si>
    <t>SAFETY - CRASH COST SAVINGS</t>
  </si>
  <si>
    <t>CAPITAL COST AND RESIDUAL PROJECT VALUE</t>
  </si>
  <si>
    <t>All-Purpose Travel Time Cost</t>
  </si>
  <si>
    <t>Sources:</t>
  </si>
  <si>
    <t>Existing Crash Cost</t>
  </si>
  <si>
    <t>Crash Costs</t>
  </si>
  <si>
    <t>No Build Annual VHT</t>
  </si>
  <si>
    <t>Operating Cost Savings</t>
  </si>
  <si>
    <t>Residual capital value (RCV) was calculated for those capital purchases with lifetimes extending beyond the study period. Values were calculated using the following formula and were included as a benefit:
RCV = A*(B-C)/B
where:
A = (1+r)^n
B = ((1+r)^L-1)/(r(1+r)^L)
C = ((1+r)^n-1)/(r(1+r)^n)
and: n = analysis period, r = discount rate, L = service life</t>
  </si>
  <si>
    <t>Total Crash Cost Savings</t>
  </si>
  <si>
    <t>Segment A (West Gap) Crash Savings</t>
  </si>
  <si>
    <t>Segment B (East Gap) Crash Savings</t>
  </si>
  <si>
    <t>Segment C (Middle Segment) Crash Savings</t>
  </si>
  <si>
    <t>Savings</t>
  </si>
  <si>
    <t>Benefit-Cost First Year of Benefit</t>
  </si>
  <si>
    <t>Forecast Traffic Year</t>
  </si>
  <si>
    <t>Year(s)</t>
  </si>
  <si>
    <t>3)</t>
  </si>
  <si>
    <t>4)</t>
  </si>
  <si>
    <t>The analysis assumed 365 days in a year to determine annual benefits.</t>
  </si>
  <si>
    <t>Build - Annual VHT</t>
  </si>
  <si>
    <r>
      <t xml:space="preserve">Build - Annual VMT </t>
    </r>
    <r>
      <rPr>
        <vertAlign val="superscript"/>
        <sz val="9"/>
        <color theme="1"/>
        <rFont val="Calibri"/>
        <family val="2"/>
        <scheme val="minor"/>
      </rPr>
      <t>4</t>
    </r>
  </si>
  <si>
    <t>TH 8 &amp; Greenway Ave</t>
  </si>
  <si>
    <t>TH 8 &amp; Heath Ave</t>
  </si>
  <si>
    <t>TH 8 &amp; Pioneer Rd</t>
  </si>
  <si>
    <t>TH 8 &amp; Viking Blvd</t>
  </si>
  <si>
    <t>TH 8 &amp; Karmel Ave</t>
  </si>
  <si>
    <t>TH 8 from Goodview Cir to Pioneer Rd</t>
  </si>
  <si>
    <t>TH 8 from Pioneer Rd to Viking Blvd</t>
  </si>
  <si>
    <t>TH 8 from Viking Blvd to Karmel Ave</t>
  </si>
  <si>
    <t>Auto and truck percentages were computed using MnDOT's Traffic Volume Mapping Tool for AADT and HCAADT numbers along the project length and dividing HCAADT with AADT.</t>
  </si>
  <si>
    <t xml:space="preserve">TH 8 year 2040 crashes for the No Build Alternative were estimated based on VMT growth on the TH 8 project extents. Similar assumptions used to estimate existing year Build Alternative crashes by severity were applied to produce year 2040 estimates. </t>
  </si>
  <si>
    <t>Existing (lane miles)</t>
  </si>
  <si>
    <t>http://www.cmfclearinghouse.org/detail.cfm?facid=3034</t>
  </si>
  <si>
    <t>Install raised median</t>
  </si>
  <si>
    <t>Regional Crash Savings</t>
  </si>
  <si>
    <t>Table 1 Pavement Lane-Miles</t>
  </si>
  <si>
    <t xml:space="preserve">Annual VMT for years 2014 and 2040 was obtained from the Regional Demand Model. VMT between the years 2025 and 2044 was interpolated based on an annual growth rate, and VMT for years beyond year 2040 were extrapolated at the same rate. The BCA was derived from these results and is for the 20 year period between 2025 and 2044. A 365-day year was used to reflect weekday commuter trips and weekend regional benefits. </t>
  </si>
  <si>
    <t xml:space="preserve">Build Capital Cost </t>
  </si>
  <si>
    <r>
      <t xml:space="preserve">Build RCV in Constant Dollar </t>
    </r>
    <r>
      <rPr>
        <vertAlign val="superscript"/>
        <sz val="9"/>
        <color theme="1"/>
        <rFont val="Calibri"/>
        <family val="2"/>
        <scheme val="minor"/>
      </rPr>
      <t>2</t>
    </r>
  </si>
  <si>
    <t>N/A</t>
  </si>
  <si>
    <t>Subtotal</t>
  </si>
  <si>
    <t xml:space="preserve">Annual VHT for years 2014 and 2040 was obtained from the Regional Demand Model. VHT between the years 2025 and 2044 was interpolated based on an annual growth rate, and VHT for years beyond year 2040 were extrapolated at the same rate. The BCA was derived from these results and is for the 20 year period between 2025 and 2044. A 365-day year was used to reflect weekday commuter trips and weekend regional trips. </t>
  </si>
  <si>
    <t>Table 2 - US 8 Daily VMT Summary</t>
  </si>
  <si>
    <t>Table 3 - Network (Excluding US 8 project extents) Daily VMT Summary</t>
  </si>
  <si>
    <t>Table 7 - Total US 8 Crash Cost Savings by Project Segment</t>
  </si>
  <si>
    <t>Table 9 - Regional Crash Costs (Excluding US 8 project extents)</t>
  </si>
  <si>
    <t>CO2 Savings Estimations</t>
  </si>
  <si>
    <t>SO2</t>
  </si>
  <si>
    <t>CO2</t>
  </si>
  <si>
    <t>NOX</t>
  </si>
  <si>
    <t>PM2.5</t>
  </si>
  <si>
    <t>Intersections</t>
  </si>
  <si>
    <t>Segments</t>
  </si>
  <si>
    <t>http://www.cmfclearinghouse.org/detail.cfm?facid=9445</t>
  </si>
  <si>
    <t>Convert to roundabout</t>
  </si>
  <si>
    <r>
      <t>Air quality (no CO</t>
    </r>
    <r>
      <rPr>
        <vertAlign val="subscript"/>
        <sz val="9"/>
        <color theme="1"/>
        <rFont val="Calibri"/>
        <family val="2"/>
        <scheme val="minor"/>
      </rPr>
      <t>2</t>
    </r>
    <r>
      <rPr>
        <sz val="9"/>
        <color theme="1"/>
        <rFont val="Calibri"/>
        <family val="2"/>
        <scheme val="minor"/>
      </rPr>
      <t>)</t>
    </r>
  </si>
  <si>
    <r>
      <t>CO</t>
    </r>
    <r>
      <rPr>
        <vertAlign val="subscript"/>
        <sz val="9"/>
        <color theme="1"/>
        <rFont val="Calibri"/>
        <family val="2"/>
        <scheme val="minor"/>
      </rPr>
      <t>2</t>
    </r>
    <r>
      <rPr>
        <sz val="9"/>
        <color theme="1"/>
        <rFont val="Calibri"/>
        <family val="2"/>
        <scheme val="minor"/>
      </rPr>
      <t xml:space="preserve"> Discounted at 3%</t>
    </r>
  </si>
  <si>
    <t>TH 8 &amp; Hale Ave</t>
  </si>
  <si>
    <t xml:space="preserve">TH 8 &amp; James Ave </t>
  </si>
  <si>
    <t>TH 8 &amp; 276th St</t>
  </si>
  <si>
    <t>Provide a channelized left-turn lane on both major- and minor- road approaches</t>
  </si>
  <si>
    <t>Provide a right turn lane on two approaches to an intersection (minor-road stop-controlled)</t>
  </si>
  <si>
    <t xml:space="preserve">TH 8 &amp; Heath Ave </t>
  </si>
  <si>
    <t>AASHTO HSM, 2010 Table 14-13</t>
  </si>
  <si>
    <t>Existing freeway volumes and ramp terminal turn movement counts were collected in year 2014. Year 2040 forecasts were developed using the Twin Cities Regional Travel Demand Model.</t>
  </si>
  <si>
    <t xml:space="preserve">Conversion from 2-lane to 4-lane divided </t>
  </si>
  <si>
    <t>AASHTO HSM, 2010 Table 13-58</t>
  </si>
  <si>
    <t>Reduce access point density</t>
  </si>
  <si>
    <t>Change in C02 (metric tons)</t>
  </si>
  <si>
    <t>Base year</t>
  </si>
  <si>
    <t>Existing Daily Cyclists - Commuter</t>
  </si>
  <si>
    <t>New Daily Cyclists - Commuter</t>
  </si>
  <si>
    <t>Existing Daily Cyclists - Recreational</t>
  </si>
  <si>
    <t>New Daily Cyclists - Recreational</t>
  </si>
  <si>
    <t>Quality of Life Benefits</t>
  </si>
  <si>
    <t>Distance from project</t>
  </si>
  <si>
    <t>Population</t>
  </si>
  <si>
    <t>Less than 1/4 mile</t>
  </si>
  <si>
    <t>1/4 mile to 1/2 mile</t>
  </si>
  <si>
    <t>1/2 mile to 1 mile</t>
  </si>
  <si>
    <r>
      <t>Annual population growth rate</t>
    </r>
    <r>
      <rPr>
        <vertAlign val="superscript"/>
        <sz val="11"/>
        <color theme="1"/>
        <rFont val="Calibri"/>
        <family val="2"/>
        <scheme val="minor"/>
      </rPr>
      <t>2</t>
    </r>
  </si>
  <si>
    <r>
      <t>Commute to work on bicycle</t>
    </r>
    <r>
      <rPr>
        <vertAlign val="superscript"/>
        <sz val="11"/>
        <color theme="1"/>
        <rFont val="Calibri"/>
        <family val="2"/>
        <scheme val="minor"/>
      </rPr>
      <t>4</t>
    </r>
  </si>
  <si>
    <r>
      <t>Adults who commute</t>
    </r>
    <r>
      <rPr>
        <vertAlign val="superscript"/>
        <sz val="11"/>
        <color theme="1"/>
        <rFont val="Calibri"/>
        <family val="2"/>
        <scheme val="minor"/>
      </rPr>
      <t>5</t>
    </r>
  </si>
  <si>
    <t>Rpt 552, page# 38</t>
  </si>
  <si>
    <t>Total daily adult cyclists</t>
  </si>
  <si>
    <t>Commuters</t>
  </si>
  <si>
    <t>Recreational</t>
  </si>
  <si>
    <t>All Adult Bicyclists</t>
  </si>
  <si>
    <t>Low Estimate</t>
  </si>
  <si>
    <t>Moderate Estimate</t>
  </si>
  <si>
    <t>High Estimate</t>
  </si>
  <si>
    <t>Existing daily cyclists (2010)</t>
  </si>
  <si>
    <t>New daily cyclists (2010)</t>
  </si>
  <si>
    <t>Daily Total (2010)</t>
  </si>
  <si>
    <t>Moderate Estimate Assumed</t>
  </si>
  <si>
    <t>Table 5 - Mobility Benefit Calculations</t>
  </si>
  <si>
    <r>
      <t xml:space="preserve">Commuting days per year </t>
    </r>
    <r>
      <rPr>
        <vertAlign val="superscript"/>
        <sz val="11"/>
        <color theme="1"/>
        <rFont val="Calibri"/>
        <family val="2"/>
        <scheme val="minor"/>
      </rPr>
      <t>5</t>
    </r>
  </si>
  <si>
    <t>Rpt 552, page# 39</t>
  </si>
  <si>
    <r>
      <t xml:space="preserve">Trips per day </t>
    </r>
    <r>
      <rPr>
        <vertAlign val="superscript"/>
        <sz val="11"/>
        <color theme="1"/>
        <rFont val="Calibri"/>
        <family val="2"/>
        <scheme val="minor"/>
      </rPr>
      <t>5</t>
    </r>
  </si>
  <si>
    <r>
      <t xml:space="preserve">Willingness to travel (minutes) </t>
    </r>
    <r>
      <rPr>
        <vertAlign val="superscript"/>
        <sz val="11"/>
        <color theme="1"/>
        <rFont val="Calibri"/>
        <family val="2"/>
        <scheme val="minor"/>
      </rPr>
      <t>5</t>
    </r>
  </si>
  <si>
    <t>NCHRP 552 Logit model (page# D-11 Table 24): Facility D to A improvement is worth 21.6 min; B to A: 5.2 min; E to A: 30.5 min; and E to C: 16.4 min.</t>
  </si>
  <si>
    <r>
      <t>Value of time (2018 Dollars per minute)</t>
    </r>
    <r>
      <rPr>
        <vertAlign val="superscript"/>
        <sz val="11"/>
        <color theme="1"/>
        <rFont val="Calibri"/>
        <family val="2"/>
        <scheme val="minor"/>
      </rPr>
      <t>9</t>
    </r>
  </si>
  <si>
    <t>Rpt 552, page# 36</t>
  </si>
  <si>
    <t>Fraction of riders accounted for mobility benefits</t>
  </si>
  <si>
    <t>Rpt 552, page# 39, E-1</t>
  </si>
  <si>
    <t>5)</t>
  </si>
  <si>
    <r>
      <t xml:space="preserve">Table 7 - Recreation Benefit Calculations </t>
    </r>
    <r>
      <rPr>
        <b/>
        <vertAlign val="superscript"/>
        <sz val="11"/>
        <color theme="1"/>
        <rFont val="Calibri"/>
        <family val="2"/>
        <scheme val="minor"/>
      </rPr>
      <t>5</t>
    </r>
  </si>
  <si>
    <t>Rpt 552, page# 39, G-1</t>
  </si>
  <si>
    <t xml:space="preserve">Annual Recreational Days </t>
  </si>
  <si>
    <t>Page# 39 uses 365 days. 3 months were excluded to acount for the local weather conditions</t>
  </si>
  <si>
    <t>6)</t>
  </si>
  <si>
    <r>
      <t xml:space="preserve">Table 8 - Reduced Auto Use (Congestion) Benefit Calculations </t>
    </r>
    <r>
      <rPr>
        <b/>
        <vertAlign val="superscript"/>
        <sz val="11"/>
        <color theme="1"/>
        <rFont val="Calibri"/>
        <family val="2"/>
        <scheme val="minor"/>
      </rPr>
      <t>5</t>
    </r>
  </si>
  <si>
    <t>Savings per mile (2006$)</t>
  </si>
  <si>
    <r>
      <t xml:space="preserve">Page# 39: 3.5₵ </t>
    </r>
    <r>
      <rPr>
        <i/>
        <sz val="9.35"/>
        <color theme="0" tint="-0.499984740745262"/>
        <rFont val="Calibri"/>
        <family val="2"/>
      </rPr>
      <t>for Congestion, 4₵ for pollution, and 3₵ for user cost savings assuming the average between central city and suburban land uses.</t>
    </r>
  </si>
  <si>
    <t>7)</t>
  </si>
  <si>
    <t>Lack of Safe Bike Infrastructure - 50 % existing cyclists and not induced</t>
  </si>
  <si>
    <t>8)</t>
  </si>
  <si>
    <t>9)</t>
  </si>
  <si>
    <r>
      <t>Mobility benefit methodology</t>
    </r>
    <r>
      <rPr>
        <vertAlign val="superscript"/>
        <sz val="11"/>
        <color theme="1"/>
        <rFont val="Calibri"/>
        <family val="2"/>
        <scheme val="minor"/>
      </rPr>
      <t>5</t>
    </r>
    <r>
      <rPr>
        <sz val="11"/>
        <color theme="1"/>
        <rFont val="Calibri"/>
        <family val="2"/>
        <scheme val="minor"/>
      </rPr>
      <t xml:space="preserve"> assumes, "no bicycle facility previously existed nearby, aside from streets with parking". Therefore, some of estimated new cyclists should be considered as existing cyclists in case of a bike facility presence in the proximity of the study area.</t>
    </r>
  </si>
  <si>
    <t>HCAADT (2020)</t>
  </si>
  <si>
    <t>AADT (2019/2020)</t>
  </si>
  <si>
    <t>Auto and truck percentages were computed using MnDOT's Traffic Volume Mapping Tool (https://www.dot.state.mn.us/traffic/data/tma.html) for AADT and HCAADT  along the project length and dividing HCAADT with AADT.</t>
  </si>
  <si>
    <t xml:space="preserve">Install shoulder rumble strips </t>
  </si>
  <si>
    <t>http://www.cmfclearinghouse.org/detail.cfm?facid=3566</t>
  </si>
  <si>
    <t>https://www.dot.state.mn.us/roadwork/rci/docs/trafficsafetyatrcistudy.pdf</t>
  </si>
  <si>
    <t>Existing crash reductions for the TH 8 improvements were determined by referencing Crash Modification Factors from the Clearinghouse, HSM, and MnDOT. CMFs were obtained for each crash severity level and are sourced in Table 5.</t>
  </si>
  <si>
    <t xml:space="preserve"> </t>
  </si>
  <si>
    <t xml:space="preserve">Years of Construction </t>
  </si>
  <si>
    <t xml:space="preserve">2) </t>
  </si>
  <si>
    <t xml:space="preserve">Planned MnDOT funds to resurface (Mill and Overlay) along the project  </t>
  </si>
  <si>
    <r>
      <t>Population between 20-65 years old</t>
    </r>
    <r>
      <rPr>
        <vertAlign val="superscript"/>
        <sz val="11"/>
        <color theme="1"/>
        <rFont val="Calibri"/>
        <family val="2"/>
        <scheme val="minor"/>
      </rPr>
      <t>3</t>
    </r>
  </si>
  <si>
    <r>
      <t>Table 1 - 2019 Population Near Project Area</t>
    </r>
    <r>
      <rPr>
        <b/>
        <vertAlign val="superscript"/>
        <sz val="11"/>
        <color theme="1"/>
        <rFont val="Calibri"/>
        <family val="2"/>
        <scheme val="minor"/>
      </rPr>
      <t>1</t>
    </r>
  </si>
  <si>
    <t>Mortality (Health) Cost Savings</t>
  </si>
  <si>
    <t xml:space="preserve">Commuting days per year </t>
  </si>
  <si>
    <t>New Trail Length (mi)</t>
  </si>
  <si>
    <t>Daily Total (2019)</t>
  </si>
  <si>
    <t>Value of recreation per trip (2006$)</t>
  </si>
  <si>
    <t>Existing daily cyclists (2019)</t>
  </si>
  <si>
    <t>New daily cyclists (2019)</t>
  </si>
  <si>
    <r>
      <t>Table 3 - New and Existing Cyclists</t>
    </r>
    <r>
      <rPr>
        <b/>
        <vertAlign val="superscript"/>
        <sz val="11"/>
        <color theme="1"/>
        <rFont val="Calibri"/>
        <family val="2"/>
        <scheme val="minor"/>
      </rPr>
      <t>5</t>
    </r>
    <r>
      <rPr>
        <b/>
        <sz val="11"/>
        <color theme="1"/>
        <rFont val="Calibri"/>
        <family val="2"/>
        <scheme val="minor"/>
      </rPr>
      <t xml:space="preserve"> </t>
    </r>
    <r>
      <rPr>
        <b/>
        <i/>
        <sz val="11"/>
        <color theme="1"/>
        <rFont val="Calibri"/>
        <family val="2"/>
        <scheme val="minor"/>
      </rPr>
      <t>(Rpt 552 page 38-39)</t>
    </r>
  </si>
  <si>
    <t>COMMUNITY LIVABILITY (QUALITY OF LIFE) BENEFITS OF TRAIL FACILITY</t>
  </si>
  <si>
    <t>Recreation  Cost Savings</t>
  </si>
  <si>
    <t>Mobility Cost Savings</t>
  </si>
  <si>
    <t>Cycling Facility Improvement (Amenity) Cost Savings</t>
  </si>
  <si>
    <t>Reduced Auto Use (Congestion) Cost Savings</t>
  </si>
  <si>
    <t>Inflation Adustment - GDP Deflator</t>
  </si>
  <si>
    <t xml:space="preserve">Impacted by New Trail </t>
  </si>
  <si>
    <t>Induced by New Trail</t>
  </si>
  <si>
    <t>Annual Quality of Benefits</t>
  </si>
  <si>
    <t>Crashes at intersections that are undergoing spot geometric improvements and access closures were disaggregated from the TH 8 corridor crash dataset. This was to ensure that each crash received the appropriate crash modification factor (CMFs) based on improvements at each location and to avoid double counting crashes as being intersection and section-related. 2017-2021 crashes were obtained from Minnesota Crash Mapping Analysis Tool (MnCMAT).</t>
  </si>
  <si>
    <t xml:space="preserve">Values for bicycle demand and benefit calculations based on a methodology described in the National Cooperative Highway Research Program's (NCHRP) Report 552: Guidelines for Analysis of Investments in Bicycle Facilities (2006). (http://onlinepubs.trb.org/onlinepubs/nchrp/nchrp_rpt_552.pdf). </t>
  </si>
  <si>
    <r>
      <t>Average Cycling Trip Length (miles)</t>
    </r>
    <r>
      <rPr>
        <vertAlign val="superscript"/>
        <sz val="11"/>
        <color theme="1"/>
        <rFont val="Calibri"/>
        <family val="2"/>
        <scheme val="minor"/>
      </rPr>
      <t>6</t>
    </r>
  </si>
  <si>
    <r>
      <t>Table 1 - Crash Costs by Severity</t>
    </r>
    <r>
      <rPr>
        <b/>
        <vertAlign val="superscript"/>
        <sz val="11"/>
        <color theme="1"/>
        <rFont val="Calibri"/>
        <family val="2"/>
        <scheme val="minor"/>
      </rPr>
      <t>1</t>
    </r>
  </si>
  <si>
    <r>
      <t xml:space="preserve">Table 5 - Crash Modification Factor (CMF) Summary </t>
    </r>
    <r>
      <rPr>
        <b/>
        <vertAlign val="superscript"/>
        <sz val="11"/>
        <color theme="1"/>
        <rFont val="Calibri"/>
        <family val="2"/>
        <scheme val="minor"/>
      </rPr>
      <t>3</t>
    </r>
  </si>
  <si>
    <r>
      <t xml:space="preserve">Table 6 - US 8 Crash Cost Savings By Location </t>
    </r>
    <r>
      <rPr>
        <b/>
        <vertAlign val="superscript"/>
        <sz val="11"/>
        <color theme="1"/>
        <rFont val="Calibri"/>
        <family val="2"/>
        <scheme val="minor"/>
      </rPr>
      <t>4</t>
    </r>
  </si>
  <si>
    <r>
      <t xml:space="preserve">Table 8 - Aggregated Regional Crash Rates (crashes per 100 million vehicle-miles traveled) by Severity </t>
    </r>
    <r>
      <rPr>
        <b/>
        <vertAlign val="superscript"/>
        <sz val="11"/>
        <color theme="1"/>
        <rFont val="Calibri"/>
        <family val="2"/>
        <scheme val="minor"/>
      </rPr>
      <t>5</t>
    </r>
  </si>
  <si>
    <r>
      <t xml:space="preserve">Table 4 - New and Existing Cyclists after Accounting for the New Bike Facility </t>
    </r>
    <r>
      <rPr>
        <b/>
        <vertAlign val="superscript"/>
        <sz val="11"/>
        <color theme="1"/>
        <rFont val="Calibri"/>
        <family val="2"/>
        <scheme val="minor"/>
      </rPr>
      <t>7</t>
    </r>
    <r>
      <rPr>
        <b/>
        <sz val="11"/>
        <color theme="1"/>
        <rFont val="Calibri"/>
        <family val="2"/>
        <scheme val="minor"/>
      </rPr>
      <t xml:space="preserve"> </t>
    </r>
  </si>
  <si>
    <r>
      <t>Existing rate</t>
    </r>
    <r>
      <rPr>
        <vertAlign val="superscript"/>
        <sz val="11"/>
        <color theme="1"/>
        <rFont val="Calibri"/>
        <family val="2"/>
        <scheme val="minor"/>
      </rPr>
      <t>8</t>
    </r>
    <r>
      <rPr>
        <sz val="11"/>
        <color theme="1"/>
        <rFont val="Calibri"/>
        <family val="2"/>
        <scheme val="minor"/>
      </rPr>
      <t>:</t>
    </r>
  </si>
  <si>
    <r>
      <t xml:space="preserve">Mobility adjustment factor </t>
    </r>
    <r>
      <rPr>
        <vertAlign val="superscript"/>
        <sz val="11"/>
        <color theme="1"/>
        <rFont val="Calibri"/>
        <family val="2"/>
        <scheme val="minor"/>
      </rPr>
      <t>7</t>
    </r>
  </si>
  <si>
    <t>Rpt 552, page# 39 (50 wks, 5 days per week)</t>
  </si>
  <si>
    <r>
      <t xml:space="preserve">Table 9 - Inflation Factor </t>
    </r>
    <r>
      <rPr>
        <b/>
        <vertAlign val="superscript"/>
        <sz val="11"/>
        <color theme="1"/>
        <rFont val="Calibri"/>
        <family val="2"/>
        <scheme val="minor"/>
      </rPr>
      <t>6</t>
    </r>
  </si>
  <si>
    <r>
      <t xml:space="preserve">Annual Recreational Days </t>
    </r>
    <r>
      <rPr>
        <vertAlign val="superscript"/>
        <sz val="11"/>
        <color theme="1"/>
        <rFont val="Calibri"/>
        <family val="2"/>
        <scheme val="minor"/>
      </rPr>
      <t>5</t>
    </r>
  </si>
  <si>
    <r>
      <t xml:space="preserve">Daily value of recreation </t>
    </r>
    <r>
      <rPr>
        <vertAlign val="superscript"/>
        <sz val="11"/>
        <color theme="1"/>
        <rFont val="Calibri"/>
        <family val="2"/>
        <scheme val="minor"/>
      </rPr>
      <t>6</t>
    </r>
  </si>
  <si>
    <t xml:space="preserve">Table 7 - Cycling Facility Improvement (Amenity) Benefit Calculations </t>
  </si>
  <si>
    <t xml:space="preserve">Table 6 - Mortality (Health) Savings Calculations </t>
  </si>
  <si>
    <t xml:space="preserve">Project length or average trip length, whichever is smaller. The estimated value per projected cyclist on a proposed facility should be capped at 2.38 miles, the average length of a cycling trip in the 2017 National Household Travel Survey </t>
  </si>
  <si>
    <t xml:space="preserve">10) </t>
  </si>
  <si>
    <t xml:space="preserve">Demand and benefit for pedestrians were not included as a part of the BCA.  According to NCHRP Report 552 (p. 44), "walking is 10 times as common as bicycling. An estimated 70% of adults walk at least once per week (in the NHTS baseline sample) while about 7% bike. Because so many people walk already it seems unlikely that new facilities will have a significant impact on total demand, although they may influence where walking is done." </t>
  </si>
  <si>
    <t>Construction Begins (Year)</t>
  </si>
  <si>
    <t>Build (lane miles) (mainline plus trail)</t>
  </si>
  <si>
    <t xml:space="preserve">Population percentage between 20-65 was determined using the data gathered from the GIS buffers as described in Note 1. </t>
  </si>
  <si>
    <t xml:space="preserve">Quality of Life </t>
  </si>
  <si>
    <t>Total Quality of Life Cost Savings</t>
  </si>
  <si>
    <t>Provide a right turn lane on two approaches to an intersection (signalized)</t>
  </si>
  <si>
    <t>Install J-Turn intersection (RCI)</t>
  </si>
  <si>
    <t>Table 2 - Relevent Population Characteristics</t>
  </si>
  <si>
    <r>
      <rPr>
        <sz val="11"/>
        <rFont val="Calibri"/>
        <family val="2"/>
        <scheme val="minor"/>
      </rPr>
      <t>Percentage of Cycling commuters were determined by using 2019 ACS 5-Year Estimates (Table S0801) for MN</t>
    </r>
    <r>
      <rPr>
        <u/>
        <sz val="11"/>
        <color theme="10"/>
        <rFont val="Calibri"/>
        <family val="2"/>
        <scheme val="minor"/>
      </rPr>
      <t xml:space="preserve"> </t>
    </r>
    <r>
      <rPr>
        <sz val="11"/>
        <rFont val="Calibri"/>
        <family val="2"/>
        <scheme val="minor"/>
      </rPr>
      <t>https://data.census.gov/cedsci/table?q=cycling%20commuter&amp;g=0400000US27&amp;tid=ACSST5Y2019.S0801</t>
    </r>
  </si>
  <si>
    <t xml:space="preserve">Population was determined using 2015 - 2019 American Community Survey Estimates at the 2010 census tract level. A buffer was created in GIS with no overlap. The census tract data was apportioned based on the area meaning if 25% of the tract was in the buffer than 25% of the population from the ACS estimates was included in the buffer. A Map showing the buffer is to the right of Table 1. </t>
  </si>
  <si>
    <r>
      <t>Table 1 - Per-hour Travel Time Cost by Mode</t>
    </r>
    <r>
      <rPr>
        <b/>
        <vertAlign val="superscript"/>
        <sz val="11"/>
        <color theme="1"/>
        <rFont val="Calibri"/>
        <family val="2"/>
        <scheme val="minor"/>
      </rPr>
      <t>1</t>
    </r>
  </si>
  <si>
    <r>
      <t>Table 2 - Fleet Composition</t>
    </r>
    <r>
      <rPr>
        <b/>
        <vertAlign val="superscript"/>
        <sz val="11"/>
        <color theme="1"/>
        <rFont val="Calibri"/>
        <family val="2"/>
        <scheme val="minor"/>
      </rPr>
      <t>2</t>
    </r>
  </si>
  <si>
    <r>
      <t>Table 3 - Vehicle Occupancy</t>
    </r>
    <r>
      <rPr>
        <b/>
        <vertAlign val="superscript"/>
        <sz val="11"/>
        <color theme="1"/>
        <rFont val="Calibri"/>
        <family val="2"/>
        <scheme val="minor"/>
      </rPr>
      <t>1</t>
    </r>
  </si>
  <si>
    <r>
      <t xml:space="preserve">Table 1 - Per-mile Operating Cost by Mode (2021) </t>
    </r>
    <r>
      <rPr>
        <b/>
        <vertAlign val="superscript"/>
        <sz val="11"/>
        <color theme="1"/>
        <rFont val="Calibri"/>
        <family val="2"/>
        <scheme val="minor"/>
      </rPr>
      <t>1</t>
    </r>
  </si>
  <si>
    <r>
      <t xml:space="preserve">Table 2 - Fleet Composition </t>
    </r>
    <r>
      <rPr>
        <b/>
        <vertAlign val="superscript"/>
        <sz val="11"/>
        <color theme="1"/>
        <rFont val="Calibri"/>
        <family val="2"/>
        <scheme val="minor"/>
      </rPr>
      <t>2</t>
    </r>
  </si>
  <si>
    <t>According to the Chisago County Transportation Plan Update (2017), the County is one of the fastest growing non-metropolitan counties in the State. The County is projected to increase 31% in population from 2010-2040. It was assumed that population growth rate will be the same as it was historically from 1980-2000. Therefore, a 30% increase per 10 year period. (Approx. 3% per year). https://www.chisagocountymn.gov/DocumentCenter/View/9483/Comprehensive-Plan-2017-PDF?bidId=</t>
  </si>
  <si>
    <t>INCIDENTID</t>
  </si>
  <si>
    <t>RTESYSCODE</t>
  </si>
  <si>
    <t>RTENUMBER</t>
  </si>
  <si>
    <t>MEASURE</t>
  </si>
  <si>
    <t>COUNTY_SPATIAL</t>
  </si>
  <si>
    <t>CITY_NAME</t>
  </si>
  <si>
    <t>TOWNSHIP_NAME</t>
  </si>
  <si>
    <t>MNDOT_DISTRICT_SPATIAL</t>
  </si>
  <si>
    <t>STATE_PATROL_DIST_SPATIAL</t>
  </si>
  <si>
    <t>TRIBAL_GOVERNMENT_SPATIAL</t>
  </si>
  <si>
    <t>LOCALID</t>
  </si>
  <si>
    <t>ACCIDENT_NUMBER</t>
  </si>
  <si>
    <t>CRASH_MONTH</t>
  </si>
  <si>
    <t>CRASH_DAY</t>
  </si>
  <si>
    <t>CRASH_YEAR</t>
  </si>
  <si>
    <t>CRASH_DAYOFWEEK</t>
  </si>
  <si>
    <t>CRASH_HOUR</t>
  </si>
  <si>
    <t>DIVIDEDRDWYDIR</t>
  </si>
  <si>
    <t>CRASHSEVERITY</t>
  </si>
  <si>
    <t>NUMBERKILLED</t>
  </si>
  <si>
    <t>NUMBEROFVEHICLES</t>
  </si>
  <si>
    <t>MANNEROFCOLLISION</t>
  </si>
  <si>
    <t>FIRSTHARMFULEVENT</t>
  </si>
  <si>
    <t>RELATIONTOINTERSECTION</t>
  </si>
  <si>
    <t>LIGHTCONDITION</t>
  </si>
  <si>
    <t>WEATHERPRIMARY</t>
  </si>
  <si>
    <t>WEATHERSECONDARY</t>
  </si>
  <si>
    <t>RDWYSURFACE</t>
  </si>
  <si>
    <t>WORKZONETYPE</t>
  </si>
  <si>
    <t>ROADWAY_NAME</t>
  </si>
  <si>
    <t>INTERSECTION_NAME</t>
  </si>
  <si>
    <t>ROUTE_ID</t>
  </si>
  <si>
    <t>BASIC_TYPE</t>
  </si>
  <si>
    <t>UNITTYPEU1</t>
  </si>
  <si>
    <t>VEHICLETYPEU1</t>
  </si>
  <si>
    <t>DIRECTIONU1</t>
  </si>
  <si>
    <t>PRECRASHMANEUVERU1</t>
  </si>
  <si>
    <t>AGEU1</t>
  </si>
  <si>
    <t>SEXU1</t>
  </si>
  <si>
    <t>PHYSICALCONDITIONU1</t>
  </si>
  <si>
    <t>CONTRIBFACTOR1U1</t>
  </si>
  <si>
    <t>CONTRIBFACTOR2U1</t>
  </si>
  <si>
    <t>NONMOTORISTMANEUVERU1</t>
  </si>
  <si>
    <t>NONMOTORISTLOCATIONU1</t>
  </si>
  <si>
    <t>RDWYDESIGNU1</t>
  </si>
  <si>
    <t>TRAFFICCONTROLDEVICEU1</t>
  </si>
  <si>
    <t>SPEEDLIMITU1</t>
  </si>
  <si>
    <t>ALIGNMENTU1</t>
  </si>
  <si>
    <t>GRADEU1</t>
  </si>
  <si>
    <t>UNITTYPEU2</t>
  </si>
  <si>
    <t>VEHICLETYPEU2</t>
  </si>
  <si>
    <t>DIRECTIONU2</t>
  </si>
  <si>
    <t>PRECRASHMANEUVERU2</t>
  </si>
  <si>
    <t>AGEU2</t>
  </si>
  <si>
    <t>SEXU2</t>
  </si>
  <si>
    <t>PHYSICALCONDITIONU2</t>
  </si>
  <si>
    <t>CONTRIBFACTOR1U2</t>
  </si>
  <si>
    <t>CONTRIBFACTOR2U2</t>
  </si>
  <si>
    <t>NONMOTORISTMANEUVERU2</t>
  </si>
  <si>
    <t>NONMOTORISTLOCATIONU2</t>
  </si>
  <si>
    <t>RDWYDESIGNU2</t>
  </si>
  <si>
    <t>TRAFFICCONTROLDEVICEU2</t>
  </si>
  <si>
    <t>SPEEDLIMITU2</t>
  </si>
  <si>
    <t>ALIGNMENTU2</t>
  </si>
  <si>
    <t>GRADEU2</t>
  </si>
  <si>
    <t>UNITTYPEU3</t>
  </si>
  <si>
    <t>VEHICLETYPEU3</t>
  </si>
  <si>
    <t>DIRECTIONU3</t>
  </si>
  <si>
    <t>PRECRASHMANEUVERU3</t>
  </si>
  <si>
    <t>AGEU3</t>
  </si>
  <si>
    <t>SEXU3</t>
  </si>
  <si>
    <t>PHYSICALCONDITIONU3</t>
  </si>
  <si>
    <t>CONTRIBFACTOR1U3</t>
  </si>
  <si>
    <t>CONTRIBFACTOR2U3</t>
  </si>
  <si>
    <t>NONMOTORISTMANEUVERU3</t>
  </si>
  <si>
    <t>NONMOTORISTLOCATIONU3</t>
  </si>
  <si>
    <t>RDWYDESIGNU3</t>
  </si>
  <si>
    <t>TRAFFICCONTROLDEVICEU3</t>
  </si>
  <si>
    <t>SPEEDLIMITU3</t>
  </si>
  <si>
    <t>ALIGNMENTU3</t>
  </si>
  <si>
    <t>GRADEU3</t>
  </si>
  <si>
    <t>UNITTYPEU4</t>
  </si>
  <si>
    <t>VEHICLETYPEU4</t>
  </si>
  <si>
    <t>DIRECTIONU4</t>
  </si>
  <si>
    <t>PRECRASHMANEUVERU4</t>
  </si>
  <si>
    <t>AGEU4</t>
  </si>
  <si>
    <t>SEXU4</t>
  </si>
  <si>
    <t>PHYSICALCONDITIONU4</t>
  </si>
  <si>
    <t>CONTRIBFACTOR1U4</t>
  </si>
  <si>
    <t>CONTRIBFACTOR2U4</t>
  </si>
  <si>
    <t>NONMOTORISTMANEUVERU4</t>
  </si>
  <si>
    <t>NONMOTORISTLOCATIONU4</t>
  </si>
  <si>
    <t>RDWYDESIGNU4</t>
  </si>
  <si>
    <t>TRAFFICCONTROLDEVICEU4</t>
  </si>
  <si>
    <t>SPEEDLIMITU4</t>
  </si>
  <si>
    <t>ALIGNMENTU4</t>
  </si>
  <si>
    <t>GRADEU4</t>
  </si>
  <si>
    <t>UTMX</t>
  </si>
  <si>
    <t>UTMY</t>
  </si>
  <si>
    <t>LATITUDE</t>
  </si>
  <si>
    <t>LONGITUDE</t>
  </si>
  <si>
    <t>CRASH_DATE_TIME</t>
  </si>
  <si>
    <t>STATUS</t>
  </si>
  <si>
    <t>STATUS_NOTE</t>
  </si>
  <si>
    <t>AGENCY_ORI</t>
  </si>
  <si>
    <t>AGENCY_ORI_GROUP</t>
  </si>
  <si>
    <t>NARRATIVE</t>
  </si>
  <si>
    <t>Wyoming</t>
  </si>
  <si>
    <t>M</t>
  </si>
  <si>
    <t>18-005576</t>
  </si>
  <si>
    <t>Thu</t>
  </si>
  <si>
    <t>E</t>
  </si>
  <si>
    <t>LAKE BLVD N</t>
  </si>
  <si>
    <t>0200000000000008-I</t>
  </si>
  <si>
    <t>F</t>
  </si>
  <si>
    <t>Accepted</t>
  </si>
  <si>
    <t>Reportable</t>
  </si>
  <si>
    <t>MN0130800</t>
  </si>
  <si>
    <t>Police</t>
  </si>
  <si>
    <t>Were dispatched to a traffic crash involving two vehicles on Hwy 8/ Greenway Ave. Responded to find that a Nissan Altima WI plate 371RFC had been rear-ended by a Toyota Highlander MN plate 370VUM with drbris on Hwy 8 in the e/b lane. Assisted with removing collision dubris from Hwy 8 and assessing passengers from the vehicles for any medical conditions prior to North arrival. North arrived and took over the care for all of the occupants involved in the crash. I assisted with gathering information for the accident from both drivers and taking photos of the scene. Took the passengers from both vehicles to safe locations. The driver of the Toyota Highlander MN plate 370VUM Fona Khang Yang was brought home by 213 and the three occupants from the Nissan Altima WI plate 371RFC were escorted by 218 and 221 to the Wyoming Holiday gas station to await a ride. Both drivers were provided a copy of the MN motor vehicle crash report and the state of MN traffic crash information form. When questioning Fona Khang Yang she stated that it appeared that the traffic was moving and that by the time she saw that traffic had stopped it was to late so she attempted to veer right but struck the other vehicle stopped for the red light. After reviewing the information on hand Fona Khang Yang received a citation for 169.14.1 duty to drive with due care.</t>
  </si>
  <si>
    <t>Wed</t>
  </si>
  <si>
    <t>MNMHP0100</t>
  </si>
  <si>
    <t>State Patrol</t>
  </si>
  <si>
    <t>UNIT 1 - TRAVELING IN THE LEFT LANE OF US-8 APPROACHING THE MERGE WHERE IT GOES TO ONE LANE FOR EASTBOUND US-8.  
UNIT 2 - TRAVELING IN THE RIGHT LANE OF US-8 AHEAD OF UNIT 1.  
UNIT 2 DRIVER STATED HE SAW UNIT 1 TRAVELING MUCH FASTER THAN HIM IN THE LEFT LANE.  UNIT 2 DRIVER OBSERVED THE VEHICLE AHEAD OF HIM BEGAN MERGING AND HE ATTEMPTED TO MERGE TOO.  UNIT 2 DRIVER STATED HE ACTIVATED HIS BLINKER BUT UNIT 1 HAD ALREADY CAUGHT UP AND WOULDN'T LET HIM IN.  UNIT 2 DRIVER CONTINUED DRIVING IN THE RIGHT LANE AND HAD GOTTEN AHEAD OF UNIT 1.  THE RIGHT LANE HAD ENDED AND UNIT 2 WAS NOW DRIVING ON THE RIGHT SHOULDER.  UNIT 2 WAS SLIGHTLY AHEAD OF UNIT 1 AND TRAVELING LESS THAN 5 MPH AS IT TRIED TO MERGE WHEN THE CRASH OCCURRED.  
UNIT 1 DRIVER STATED THAT HE WAS DRIVING NEAR THE SPEED LIMIT AS THE TWO LANES MERGED INTO ONE FOR EASTBOUND US-8.  UNIT 1 DRIVER OBSERVED UNIT 2 WAS BEHIND HIM AS THE LANE ENDED AND THEN OBSERVED UNIT 2 ACCELERATE ALONGSIDE HIM ON THE SHOULDER AND ATTEMPTED TO "PUSH HIM INTO ONCOMING TRAFFIC."  UNIT 1 DRIVER DIDN'T KNOW WHY HE WAS TRYING TO DO IT.  
NO OTHER ASSISTING AGENCIES.  NO MEDICAL OR FIRE RESPONDED.</t>
  </si>
  <si>
    <t>Mon</t>
  </si>
  <si>
    <t>CRASH LOCATION- US HIGHWAY 8 AT GREENWAY AVE. VEHICLE#1 WAS EAST BOUND US HIGHWAY 8 STOPPED IN TRAFFIC. VEHICLE#2 WAS ALSO EAST BOUND US HIGHWAY 8 BEHIND VEHICLE#1. VEHICLE#2 REAR ENDED VEHICLE#1. DRIVER OF VEHICLE#1 HAD POSSIBLE INJURY BUT WAS NOT TRANSPORTED. NO TOWS. DRIVER OF VEHICLE#2 STATED THAT SHE WAS PUSHED INTO VEHICLE#1 BY ANOTHER VEHICLE THAT WAS BEHIND HER THAT THEN FLED THE SCENE. I DID NOT OBSERVE ANY DAMAGE OR PAINT TRANSFER ON THE BACK OF VEHICLE#2.</t>
  </si>
  <si>
    <t>Tue</t>
  </si>
  <si>
    <t>CRASH LOCATION- US HIGHWAY 8 AT MILE POST 2. VEHICLE#1 WAS EAST BOUND US HIGHWAY 8 IN THE LEFT HAND LANE STOPPED DUE TO BACKED UP TRAFFIC AHEAD. VEHICLE#2 WAS ALSO EAST BOUND US HIGHWAY 8 IN THE LEFT LANE BEHIND VEHICLE#1. DRIVER OF VEHICLE#2 WAS LOOKING AT ANOTHER VEHICLE OFF TO THE RIGHT THAT WAS PASSING ON THE SHOULDER. VEHICLE#2 REAR ENDED VEHICLE#1. NO INJURIES REPORTED. NO TOWS.</t>
  </si>
  <si>
    <t>UNIT 4 - COMPLETELY STOPPED AT LIGHT OF EASTBOUND US-8 AND GREENWAY.  
UNIT 3 - COMPLETELY STOPPED AT SAME LIGHT DIRECTLY BEHIND UNIT 4.  
UNIT 2 - COMPLETELY STOPPED AT SAME LIGHT DIRECTLY BEHIND UNIT 3.  
UNIT 1 - TRAVELING EASTBOUND ON US-8 AND VERIFIED THAT HE OBSERVED CARS STOPPED AT THE LIGHT AHEAD OF HIM.  UNIT 1 CLAIMED THAT HIS VEHICLE "JUST STOPPED."  I QUESTIONED HOW HIS CAR JUST STOPPED AND THEN HE CLAIMED THAT HE HAD PROBLEMS WITH HIS BRAKES.  I CONTINUED TO OBSERVE SIGNS TO INDICATE A DRIVER EVALUATION FROM THE DRIVER OF UNIT 1 WAS NEEDED.  A DRIVER EVAULATION WAS SUBMITTED STEMMING FROM THIS CRASH.  
UNIT 1 CRASHED INTO THE REAR OF UNIT 2.  THE CRASH PUSHED UNIT 2 INTO THE REAR OF UNIT 3.  THIS CRASH PUSHED UNIT 3 INTO THE REAR OF UNIT 4.  UNITS 2,3, AND 4 ALL VERIFIED THAT THEY WERE COMPLETELY STOPPED.  
WYOMING POLICE DEPARTMENT ASSISTED WITH THE CRASH.  NO MEDICAL OR FIRE.  NO CITATIONS GIVEN - I ELECTED TO SUBMIT A DRIVER EVALUATION FOR UNIT 1 INSTEAD OF ISSUING A CITATION.</t>
  </si>
  <si>
    <t>Sat</t>
  </si>
  <si>
    <t>VEHICLE 1 HWY 8 EASTBOUND LEFT LANE. 
VEHICLE 2 HWY 8 EASTBOUND RIGHT LANE. 
VEHICLE 2 CHANGING LANES TO THE LEFT LANE BEFORE THE MERGE FROM TWO LANES TO ONE LANE AT THE WASHINGTON /CHISAGO COUNTY LINES. 
VEHICLE 2 DID NOT SEE VEHICLE 1 AS V1 WAS IN THE BLIND SPOT OF VEHICLE 2. 
THE LEFT REAR OF VEHICLE 2 COLLIDED WITH THE RIGHT FRONT OF VEHICLE 1.</t>
  </si>
  <si>
    <t>Both units are eastbound US 8 approaching Greenway Ave at a red light. When the light turns green, traffic starts to move slowly. Unit 2 crashes into the rear of Unit 1 because he was adjusting an ace bandage on his ankle. No injuries, no tow, no citations, no airbags, no drugs/alcohol, all wearing seat belts.</t>
  </si>
  <si>
    <t>VEHICLE 1 IN THE HOLIDAY PARKING LOT. VEH 1 PULLED OUT FROM THE LOT WHICH HAS DO NOT ENTER SIGNS ON BOTH SIDES OF THE DRIVEWAY. VEH 1 SAID THERE WAS A LONG LINE OF CARS ON HWY 8 AND THAT ONE CAR WAIVED HER THROUGH. SHE PULLED OUT DIRECTLY INTO THE PATH OF VEHICLE 2. 
VEHICLE 2 SAID HE WAS 8WB MOVING INTO THE LEFT TURN LANE TO GO WEST ON GREENWAY AVENUE WHEN VEHICLE 1 PULLED OUT IN FRONT OF HIM.</t>
  </si>
  <si>
    <t>LAKE BLVD N/GREENWAY AVE.</t>
  </si>
  <si>
    <t>V1 AND V2 WERE STOPPED IN TRAFFIC DUE TO STOP LIGHT BEING RED AT LAKE BLVD/GREENWAY AVE. 
V3 HIT V2, V2 THEN SLID INTO V1. 
D3 STATED SHE SAW EVERYONE STOP, AND WAS TRYING TO BRAKE IN TIME, BUT WAS UNABLE TO.
D3 STATED SHE HAS A BUMP ON HER HEAD AND BUMP ON HER R KNEE. 
V3 TOWED BY DANS TOWING.</t>
  </si>
  <si>
    <t>UNIT 1 - TRAVELING EASTBOUND ON US-8 APPROACHING UNIT 2.  
UNIT 2 - WAS STOPPED AT A RED LIGHT ON US-8 EASTBOUND AT GREENWAY AVE WITH 2-3 CARS AHEAD OF HER.  THE LIGHT TURNED GREEN AND SHE HAD JUST BEGUN MOVING FORWARD.  UNIT 2 OBSERVED UNIT 1 DRIVING BEHIND HER AND DID NOT APPEAR TO BE SLOWING DOWN.  UNIT 1 CRASHED INTO THE REAR OF UNIT 2.  UNIT 1 CONTINUED DRIVING DESPITE THE CRASH OCCURRING.  UNIT 2 OBSERVED IT WAS A MALE DRIVER WITH A BEARD, APPROXIMATELY 60 YEARS OF AGE, AND THERE WAS A HEADLIGHT OUT WITH THE HOOD BUCKLED FROM DAMAGE.  UNIT 2 DRIVER WAS UNABLE TO GET A LICENSE PLATE AND PULLED INTO A PARKING LOT ON THE SOUTH SIDE OF 8/GREENWAY AVE.  
WYOMING PD AND CHISAGO COUNTY ASSISTED.  MEDICAL RESPONDED BUT DID NOT CHECK HER OUT PER HER REQUEST.</t>
  </si>
  <si>
    <t>USTH 8</t>
  </si>
  <si>
    <t>V1 was starting out from being stopped at red light north on Greenway Ave at USTH 8. All D1 remembered was being struck suddenly. V2 was west on USTH 8 and said she had the green light. V2 then struck V1 in intersection. Witness was stopped east on USTH 8 at Greenway Ave. He said he had a red light and saw V1 just start to pull out north into intersection when V2 struck it. 
D2 was seen by North Ambulance on scene but not transported. D2 was cited for fail to obey traffic control device.</t>
  </si>
  <si>
    <t>UNIT 1 - EASTBOUND US-8 AT RED STOP LIGHT AT GREENWAY.  
UNIT 2 - EASTBOUND US-8 AT RED STOP LIGHT AT GREENWAY.  UNIT 2 WAS DIRECTLY IN FRONT OF UNIT 1.  
UNIT 1 DRIVER STATED HE SAW THE LEFT TURN LANE GET A GREEN LIGHT AND WAS WATCHING THEM MOVE FORWARD AND THOUGHT HE WAS ON A MULTI LANE HIGHWAY AND THAT HE ALSO HAD THE GREEN.  UNIT 1 MOVED FORWARD AND CRASHED INTO THE REAR OF UNIT 2.  
UNIT 2 DRIVER STATED SHE WAS AT THE RED LIGHT AND THEN WAS REAR ENDED BY UNIT 1.  
NO OTHER ASSISTING AGENCIES.  NO MEDICAL/FIRE.</t>
  </si>
  <si>
    <t>Fri</t>
  </si>
  <si>
    <t>VEHICLE 1 AND VEHICLE 2 EASTBOUND HWY 8 WEST OF GREENWAY AVENUE. 
VEHICLE 1 STOPPED FOR 30-45 SECONDS FOR BACKED UP TRAFFIC AT A RED LIGHT AT GREENWAY AVENUE. 
VEHICLE 2 CAME UP TO AND THEN RAN INTO THE REAR OF VEHICLE 1.</t>
  </si>
  <si>
    <t>This crash occurred on E/B Hwy 8 at Greenway Ave N.  Roads were dry, visibility was clear and the road was straight. 
Vehicle one was was third at the light and had been stopped at the red light.  Driver one stated he received the green light and stared out in third gear since he was empty and the truck in front of him was loaded.  Driver one stated he was traveling less than 5 mph when he was struck from behind.  He said he was flown forward striking his steering wheel and his semi was pushed a measurable distance as well.
Witness Byron Karns stated he had been behind vehicle two as she entered E/B Hwy 8 from Hwy 61.  Karns stated that vehicle two veered over to the left almost striking the curb then weaved over to the right striking the rumble strips.  Vehicle two was traveling well below the posted while driving erratically.  Karns said vehicle two then sped up well above the posted and he couldn't see inside the vehicle due to the heavy tint.  Karns didn't see any brake lights prior to the impact and never spoke to the driver of vehicle two.  Karns did say that vehicle one was stopped at the time of the crash.  Last time he saw the semaphore, it was red. 
Driver of vehicle two was extricated by mechanical means and transported to Regions Hospital for treatment of her injuries.</t>
  </si>
  <si>
    <t>Both vehicles were stopped at the traffic signal east bound on Hwy 8 at Greenway Ave. Vehicle 1 rear ended vehicle 2. Driver of vehicle 1 stated she wasn't paying attention, thought traffic was moving, let her foot of the brake and started to move forward when she looked up and noticed traffic wasn't moving and rear ended vehicle 2. Driver of vehicle 2 stated he was stopped at the light when he was rear ended by vehicle 1. Driver of vehicle 1 admitted that she did not have insurance at the time of the crash. She was cited for no proof of insurance. Driver of vehicle 1 went on-line using her cell phone and obtained insurance prior to clearing the crash scene and was allowed to drive from the scene.</t>
  </si>
  <si>
    <t>On 03/20/2020 at approximately 1133 hours I trooper J. Watson was dispatched to a property damage crash on EB Hwy 8 at Greenway Ave.  Upon my arrival I saw that a Nissan Rogue and a Saturn Ion were stuck together and a tow was called to separate them.
Driver of the Nissan Rogue, Lee Vogel stated that he was stopped at the Red light while EB on Hwy 8 at Greenway Ave.  Vogel said while stopped he was then "Wacked" from behind by the Saturn.  Vogel said he was not injured and he dragged the Saturn off Hwy 8 onto the side road to get them to a safer location.  Vogel had a trailer hitch that the driver of the Saturn ran into that was buried into the front of her vehicle.
When I approached the driver of the Saturn she was telling Vogel and me that she had no Insurance for the vehicle and she was trying to get some.  She kept telling me and Vogel that she wanted to pay for his damages.  The driver of the Saturn was Hannah Killian and owner of the Saturn.  When asked Killian stated that he had not had insurance for her vehicle for 3-6 months and it was due to non-payment.  Killian also said she was not injured when asked.
Killian stated she had been traveling EB on Hwy 8 and she was looking for her lighter that she normally keeps on a lanyard hooked to her belt.  When she couldn't find it, she looked down and saw an open book of matches.  Killian admitted she had already seen the red light when she looked down at the matches and that is when she felt the impact of the crash.  Killian admitted she never looked up before the crash or did any avoidance maneuvers.
Killian's vehicle was towed due to the damage incurred from the crash and she had no insurance on the vehicle.  Killian spontaneously admitted that this has happened before.  When asked what she meant, Killian stated that she was involved in a crash with no insurance and it cost her a lot of money to get all of her affairs in order.
A citation for no proof and no insurance was issued and explained to Killian at the scene.  She had no questions.</t>
  </si>
  <si>
    <t>W</t>
  </si>
  <si>
    <t>Unit 2 was stopped at a red light heading westbound on Lake Blvd and Greenway Ave. Unit 1 was traveling westbound on Lake Blvd and Greenway Ave and struck tailgate of unit 2 causing damage to rear bumper of unit 2 and cracking license plate cover of unit 1. Driver of unit 1 did admit to following too closely and was unable to stop in time.</t>
  </si>
  <si>
    <t>Sun</t>
  </si>
  <si>
    <t>THE CRASH HAPPENED ON US8 AT HALE AVE IN THE CITY OF WYOMING, CHISAGO COUNTY. THE ROADWAY WAS DRY, AND THE WEATHER WAS CLEAR
D1 WAS WEST ON US8. V2 UNEXPECTEDLY ENTERED WEST US8 FROM EAST US8. V2 WAS SIDEWAYS AS IT ENTERED WEST US8. D1 WAS UNABLE TO AVOID V2 AS IT ENTERED WEST US8. V1 STRUCK V2.
D2 WAS EAST ON US8. TRAFFIC HAD STOPPED SUDDENLY FOR A VEHICLE ON EAST US8 TURNING LEFT ONTO HALE AVE. D2 SWERVED TO AVOID THE STOPPED VEHICLES ON EAST US8. AS D2 SWERVED D2 LOST CONTROL OF V2. V2 SLID SIDEWAYS OUT OF CONTROL AND ENTERED WEST US8. V2 WAS STRUCK BY V1 AS V2 ENTERED WEST US8.
WITNESS WAS STOPPED EAST US8, AND SAW V2 COMING UP BEHIND WITNESSES VEHICLE. WITNESS EXPLAINED THAT V2 SLID SIDEWAYS AND ENTERED WEST US8 FROM EAST US8. WITNESS STATED THAT D1 COULD NOT AVOID V2 AS V2 ENTERED WEST US8. AS V2 ENTERED WEST US8 V2 WAS STRUCK BY V1.
ALL PARTIES INVOLVED IN THE CRASH WERE SEEN BY MEDICS FOR POSSIBLE INJURIES, BUT NO ONE WAS TRANSPORTED.
D2 CITED DUTY TO DRIVE WITH DUE CARE.</t>
  </si>
  <si>
    <t>On 4/16/2020 at approximately 0828 hours I trooper J. Watson received a call of a property damage crash W/B Hwy 8 at Greenway Ave.  While enroute I was informed that the complainant only wanted a phone call.  
The complainant was Ben Austin driver of the Jeep, vehicle #2.  Austin stated that he had been stopped at the red light W/B on Hwy 8 when he was struck from behind by vehicle 3 a black Chrysler being driven by Erin Maier. Vehicle number 2 was then pushed into vehicle 1 a silver Toyota Corolla being driven by Mark Huspeni.  
After talking to Huspeni he stated that he had been the first vehicle at the red light and when it turned green he looked both ways and before he had a chance to move he had been struck.  Huspeni said his vehicle sustained no damage so he left the scene after shortly speaking to both parties.
Driver of vehicle 2 said he had an extended conversation with driver 3, Maier and she gave her name phone number but said she needed to leave since she didn't have insurance and didn't want her vehicle towed.  Austin said he was going to call the police and they needed to wait to make a report.  Maier left anyway.  Austin's vehicle sustained a minor scratch to the front bumper and the rear bumper was pushed in.
I obtained Maier's info and contacted her by phone.  She admitted she was the driver and only occupant of the vehicle.  She had recently purchased the vehicle but she had Dairyland Insurance on the vehicle.  She said she thought the jeep was further away from her and she saw the light was red.  Later when asked Maier said she had no insurance on the vehicle and then said she had it.  Maier stated she is unsure if she has any damage to her vehicle since the vehicle had preexisting damage and she didn't care about her car anyway. 
No injuries were reported.</t>
  </si>
  <si>
    <t>VEHICLE 1 AND VEHICLE 2 BOTH ON HWY 8 WESTBOUND. VEHICLE 1 WAS SECOND IN LINE AT THE LIGHT BEHIND ANOTHER VEHICLE. 
VEHICLE 1 JUST STARTED OUT AS THE LIGHT CHANGED FROM RED TO GREEN. VEHICLE 1 WAS THEN STRUCK BY VEHICLE 2. 
VEHICLE 2 SAID HE WAS 8 WESTBOUND AS HE SAW VEHICLE 1 WAS STOPPED AHEAD OF HIM. HE SAID HE HAD SOME ITEMS FALL FORWARD IN HIS VEHICLE. HE SAID WHEN HE LOOKED UP, HE CRASHED INTO THE REAR OF VEHICLE 1.</t>
  </si>
  <si>
    <t>UNIT 1 - EB US8 FLEEING FROM STATE PATROL TRAFFIC STOP.  SPEEDS WERE APPROXIMATELY 65-80.  UNIT 1 ENTERED THE INTERSECTION OF US8/GREENWAY AVE WHILE EASTBOUND TRAFFIC HAD RED LIGHT.  UNIT 1 VEERED RIGHT TO AVOID A SERIOUS CRASH THAT CAUSED IT TO ROLL IN THE SOUTH DITCH ONE TIME EVENTUALLY LANDING ON ITS WHEELS.  BOTH PARTIES WERE TAKEN INTO CUSTODY.  
FOREST LAKE PD ASSISTED.  
MEDICAL CLEARED RAINY OF INJURIES.  MADSEN WAS TRANSPORTED TO THE HOSPITAL WITH POSSIBLE INJURIES AND RELEASED THAT SAME DAY.</t>
  </si>
  <si>
    <t>All units are westbound US 8 / Greenway Ave. Units 2 and 3 are stopped at a red light. Unit 1 crashes into the rear of Unit 2 and pushes into Unit 3. Driver of Unit 1 is extremely impaired and arrested. Drivers of Units 1 and 3 have minor injuries. All vehicles are towed by Dan's. Airbags deploy in unit 1. All wearing seat belts.</t>
  </si>
  <si>
    <t>V1 WAS WEST BOUND ON HIGHWAY 8 (LAKE BLVD) JUST EAST OF GREENWAY AVE. 
V2 WAS EAST BOUND ON HIGHWAY 8 JUST EAST OF GREENWAY AVE. 
V2 SWERVED INTO ONCOMING TRAFFIC AND HIT V1. 
V2 WENT INTO THE NORTH DITCH. 
BOTH VEHICLES TOWED BY DANS TOWING FOR DISABLING DAMAGE. D2 WAS ARRESTED FOR SUSPECTED DWI. PBT .18 BAC.</t>
  </si>
  <si>
    <t>GREENWAY AVE N</t>
  </si>
  <si>
    <t>0500023973880121-I</t>
  </si>
  <si>
    <t>VEHICLE 1 EASTBOUND HWY 8 AT GREENWAY AVENUE. 
VEHICLE 2 EASTBOUND HWY 8 AT GREENWAY AVENUE.
VEHICLE 1 SLOWED TO A STOP FOR THE RED LIGHT AND WAS FIRST AT THE LIGHT. 
VEHICLE 2 SAID HE LOOKED DOWN AT HIS GIRLFRIENDS PHONE THAT JUST FELL TO THE FLOORBOARD. HE LOOKED UP AND CRASHED INTO THE REAR OF VEHICLE 1.</t>
  </si>
  <si>
    <t>VEHICLE 1 EASTBOUND GREENWAY AVE COMING THROUGH THE INTERSECTION AT HWY 8. VEHICLE 2 WESTBOUND GREENWAY AVE COMING THROUGH THE INTERSECTION AT HWY 8. 
BOTH DRIVERS INDICATE THE LIGHT WAS YELLOW PRIOR TO THEM ENTERING THE INTERSECTION. 
DRIVER OF VEHICLE 2 SAID HE DID NOT SEE ONCOMING VEHICLE 1. VEHICLE 2 MADE A LEFT TURN TO GO ONTO HWY 8 WESTBOUND FROM GREENWAY AVENUE INTO THE PATH OF ONCOMING VEHICLE 1.</t>
  </si>
  <si>
    <t>WB HWY 8/ GREENWAY AVE
VEHICLE 2 WAS WB ON HWY 8 GOING THROUGH THE INTERSECTION ON A GREEN LIGHT. VEHICLE 1 WAS GOING SOUTH ON GREENWAY AVE. VEHICLE 1 WAS STOPPED AT THE RED LIGHT, BUT THEN PROCEEDED THROUGH THE INTERSECTION ON A RED LIGHT. VEHICLE 2 STRUCK VEHICLE 1 ON THE DRIVER SIDE. DRIVER OF VEHICLE 1 WAS ARRESTED FOR DWI.</t>
  </si>
  <si>
    <t>UNIT 1 - NB ON GREENWAY AVE BEHIND UNIT 2.  UNIT 2 IN RIGHT TURN LANE TO TURN EAST ON US-8.  UNIT 2 WAS MOVING FORWARD TO SEE IF TRAFFIC WAS CLEAR FROM THE WEST BUT THEN STOPPED DUE TO MORE TRAFFIC.  UNIT 1 DID NOT STOP IN TIME FOR UNIT 2 AND CRASHED INTO THE REAR.  THE TRAFFIC LIGHT FOR UNIT 1/2 WAS RED AND EAST/WESTBOUND TRAFFIC ON US-8 WAS GREEN AT THE TIME OF THE CRASH.  
DRIVER OF UNIT 1 STATED THAT HE OBSERVED UNIT 2 MOVING FORWARD AND WAS LOOKING AT THE TRAFFIC ON US-8 IN ORDER FOR HIM TO ENTER THE ROADWAY AS WELL.  HE STATED THAT WAS WHY HE CRASHED INTO UNIT 2.  
NO OTHER ASSISTING AGENCIES.  BOTH VEHICLES WERE DRIVABLE.  DRIVER OF UNIT 1 STATED THE MOST DAMAGE HE HAD WAS A BENT LICENSE PLATE.  NO MEDICAL OR FIRE.</t>
  </si>
  <si>
    <t>18-008857</t>
  </si>
  <si>
    <t>S</t>
  </si>
  <si>
    <t>HEATH AVE N</t>
  </si>
  <si>
    <t>0500023973880135-I</t>
  </si>
  <si>
    <t>Two vehicle crash at Heath s/b onto Hwy 8 w/b. Both vehicles were taking a right hand turn onto Hwy 8. The vehicle in the front at the intersection first was looking left and turned right unaware of the vehicle that had pulled to his right. Damage was on vehicle ones front passenger fender and down the passenger side. Vehicle two had damage to its driver side door and driver side front fender it was no longer able to close its door. Vehicle two arranged a privet tow with AAA but decided to cancel it. Driver accident reports were provided to both the drivers.</t>
  </si>
  <si>
    <t>Chisago City</t>
  </si>
  <si>
    <t>CRASH LOCATION- US HIGHWAY 8 AT GREEN LAKE TRAIL. VEHICLE#1 WAS EAST BOUND PIONEER RD AT US 8. VEHICLE#1 HAD A GREEN LIGHT TO GO STRAIGHT. VEHICLE#2 WAS WEST BOUND GREEN LAKE TRAIL AT US 8. VEHICLE#2 HAD A GREEN LIGHT BUT WAS REQURED TO YIELD TO ON COMING TRAFFIC TO MAKE A LEFT HAND TURN. VEHICLE#2 FAILED TO YIELD THE RIGHT AWAY AND TURNED LEFT TO GO WEST ON US 8. VEHICLE#2 STRUCK THE FRONT OF VEHICLE#1. DRIVER AND FRONT PASSENGER OF VEHICLE#2 REPORTED POSSIBLE INJURIES. FRONT SEAT PASSENGER OF VEHICLE#1 REPORTED POSSIBLE INJURIES. DANS TOWING TOWED BOTH VEHICLES. A MN DOT TRAFFIC CAMERA CAUGHT THE CRASH ON CAMERA. IT SHOWED VEHICLE#2 FAILING TO YIELD THE RIGHT AWAY.</t>
  </si>
  <si>
    <t>VEHICLE 1 AND VEHICLE 2 WESTBOUND HWY 8 JUST EAST OF PIONEER. 
VEHICLE 1 AND VEHICLE 2 WERE STOPPED FOR A RED LIGHT AND TRAFFIC AHEAD. 
DRIVER OF VEHICLE 2 STATED HE WAS STOPPED BEHIND VEHICLE 1 FOR A SHORT TIME AND THEN HE THOUGHT VEHICLE 1 WAS STARTING TO MOVE ONCE AGAIN. HE SAID HE DIDN'T KNOW WHAT COLOR THE LIGHT WAS WHEN HE STARTED TO ACCELERATE. HE SAID HE RAN INTO THE REAR OF VEHICLE 1 AT 10MPH.</t>
  </si>
  <si>
    <t>Both vehicles were west on USTH 8. V1 was stopped at the red light at CSAH 23. D2 said she saw the light turn green so she didn't slow then struck rear of V1. Both vehicles were on CSAH 23 when I arrived. No injuries reported</t>
  </si>
  <si>
    <t>V1 was stopped in traffic at red semaphore. D2 said he was tuning radio and didn't realize traffic was stopped. V2 struck rear of V1. Both vehicles were on right side of the road when I arrived. No injuries reported.</t>
  </si>
  <si>
    <t>MN0130900</t>
  </si>
  <si>
    <t>On 08/14/2020 at approximately 1353 hours I officer Vanhorn was dispatched to a possible injury crash involving two vehicles. Dispatch advised that the vehicles were not blocking and the crash occurred on Lake Blvd at Pioneer Road in Chisago City. While enroute I noted that Wyoming Officer Rod #213 was on scene and advised no injuries and vehicles were not blocking and that medical can cancel.
At this time I slowed my response to routine. I arrived and noted that vehicle with MN license ACS102 had rear ended vehicle with MN license 6CE061. At this time I spoke to everyone who advised that they were ok and there was no injuries. I took photos of the vehicles. I noted moderate damage to the rear vehicle 1 with MN license 6CE061 and minor damage to the front of vehicle 2 with MN license ACS102.
At this time I spoke to the driver of vehicle 1 with MN license 6CE061. The driver was identified by WI license as Amber Rae Branville 04/25/1990. Amber advised that she was stopped in traffic for a red light on Lake Blvd west bound at Pioneer Road. Amber advised that traffic began to move slowly. Amber advised that she was unable to see if the light was green or not due to a large RV/Semi in front of her. Amber advised that she had taken her foot of the brake and was moving forward slowly with traffic. Amber advised that she was then rear ended by vehicle 2. Amber provided Progressive Insurance with policy number 937249161.
Jeffrey Gerard Preiner 06/12/1965 was the front seat passenger in Ambers vehicles. There was two children also in the vehicle. GAP 12/11/2010 was the rear passenger side passenger and RJP 02/14/2012 was the rear drivers side passenger. Everybody advised that they were ok and not injured. Everyone advised they were wearing seat belts. Both juvenile passengers were seated with the vehicle lap and shoulder belts.
I then spoke with the driver of vehicle 2 with MN licensee ACS102. The driver was identified as Bailey Patrick Tepoorten 02/27/1999. Bailey advised that he was slowing down for stopped traffic on Lake Blvd west bound at Pioneer Road. Bailey advised that he had seen the brake lights go off of the vehicles in front and expected them to be speeding up. Bailey advised that he had taken his foot of the brake and began to continue west bound. Bailey advised that traffic was not speeding up and moving very slowly. Bailey advised he had looked down at his speed and was going approximately 15-20 mph at the time he ran into the rear of vehicle 1. I noted minor damage to the front of Bailey's vehicle. Bailey advised that he was wearing his seatbelt and was not injured. Bailey advised that he was not using his phone or distracted by anything else. Bailey advised that he had taken his foot off the brake anticipating traffic to be speeding up. Bailey advised that there was a large RV/Semi in front of their vehicles and he was unable to see if the traffic light had turned green or not.
Bailey provided Owners Insurance Company with policy number 5102275001.
At this time I provided each driver with a accident exchange form and explained they must complete a state crash report.
At this time I cleared.
I later completed a state crash report when back at the office.
///End of Report///
Chad Vanhorn #312</t>
  </si>
  <si>
    <t>UNIT 1 - TRAVELING WB US-8.
UNIT 2 - TRAVELING WB US-8 IN IN FRONT OF UNIT 1 - THERE WAS 1 VEHICLE BETWEEN UNIT 1 AND UNIT 2.  
UNIT 2 SLOWED FOR TRAFFIC.  THE VEHICLE BEHIND UNIT 2 TOOK THE SHOULDER TO AVOID CRASHING INTO UNIT 2.  UNIT 1 WAS UNABLE TO STOP IN TIME AND STRUCK THE REAR PASSENGER END OF UNIT 2.  
WEATHER CONDITIONS WERE SNOWY.  WYOMING PD ASSISTED.  
NO MEDICAL/FIRE.</t>
  </si>
  <si>
    <t>N</t>
  </si>
  <si>
    <t>GREEN LAKE TR N</t>
  </si>
  <si>
    <t>0400006594580023-I</t>
  </si>
  <si>
    <t>Unit 1 traveling North on Green Lake Trl approaching Lake Blvd. Unit 2 waiting at red light to turn west onto Lake Blvd from Green Lake Trl. Unit 2 started moving when green light came and Unit 1 tried slowing down but slid into the back of unit 2 because of the snow and ice on the road.</t>
  </si>
  <si>
    <t>Vehicle 1 had slid to the shoulder of roadway due to icy road conditions. Vehicle 2 was on the shoulder of roadway at intersection. VEhicle 3 had lost control due to icy road conditions and rear end of vehicle had slipped towards shoulder of roadway due to slant in roadway and icy road conditions. Rear of vehicle 3 struck rear of vehicle 1 and drivers side of vehicle 2.</t>
  </si>
  <si>
    <t>PIONEER RD N</t>
  </si>
  <si>
    <t>0500006637970126-I</t>
  </si>
  <si>
    <t>VEHICLE 1 EASTBOUND PIONEER ROAD APPROACHING THE INTERSECTION WITH HWY 8. SHE HAD A GREEN LIGHT. 
VEHICLE 2 WESTBOUND PIONEER ROAD APPROACHING THE INTERSECTION WITH HWY 8. SHE HAD A GREEN LIGHT. V2 WAS TRAVELING BEHIND A VEHICLE THAT CONTINUED STRAIGHT THROUGH THE INTERSECTION. V2 DID NOT SEE V1 APPROACHING AND BEGAN TO MAKE A LEFT TURN TO GO WESTBOUND ON HWY 8. V2 SAW V1 APPROACHING AND HIT HER BRAKES BUT IT WAS TOO LATE. V2 AND V1 COLLIDED IN THE EASTBOUND LANE, AT THE EAST SIDE OF PIONEER AND HWY 8.</t>
  </si>
  <si>
    <t>VEHICLE 1 EASTBOUND PIONEER RD ENTERING THE INTERSECTION (ON A GREEN LIGHT) AT HWY 8. VEHICLE 1 INTENDED TO CONTINUE EASTBOUND ON PIONEER THROUGH HWY 8. 
VEHICLE 2 WESTBOUND PIONEER RD DIRECTLY BEHIND A LARGE TRUCK TO HIS FRONT. VEHICLE 2 INTENDED TO MAKE A LEFT TURN AND GO HWY 8 WESTBOUND FROM PIONEER. 
DRIVER OF V1 HIT HIS BRAKES TO AVOID THE LARGE TRUCK THAT HAD BEEN DIRECTLY IN FRONT OF VEHICLE 2. VEHICLE 2 FOLLOWED THAT TRUCK THROUGH THE INTERSECTION AND DIDN'T SEE ONCOMING VEHICLE 1 UNTIL IT WAS TOO LATE. V2 COLLIDED WITH ONCOMING VEHICLE 1.</t>
  </si>
  <si>
    <t>LAKE BLVD./PIONEER RD N</t>
  </si>
  <si>
    <t>V1 WAS EB HYW 8 AT THE STOPLIGHT FOR PIONEER TRL. D1 ADMITTED TO GOING THROUGH A RED LIGHT AND WAS HIT BY V2. 
V2 STATED SHE WAS WB HWY 8 AT PIONEER TRL. D2 STATED SHE HAD A GREEN LIGHT AND AS SHE WAS GOING THROUGH, V1 WENT THROUGH THE RED LIGHT AND THEY COLLIDED. 
D1 STOPPED AND CALLED 911 TO REPORT. ALONG WITH 2  WITNESSES (THOMAS LEHMAN 651-343-3383 AND MADELINE LEVAL 651-263-6270). D2 CONTINUED DRIVING TO WORK AND DID NOT CALL 911. D2'S MOM CALLED IN AT 2039 HOURS ON 2/3/2021 TO REPORT HER DAUGHTER WAS INVOLVED IN A CRASH. I SPOKE TO HER MOTHER AND THEN D1 AND D1 ADMITTED SHE HIT A CAR, AND THEN CONTINUED TO DRIVE TO WORK. 
NO TOWS. NO INJURIES.</t>
  </si>
  <si>
    <t>Vehicle 1 is eastbound Hwy 8 approaching Johnson Ln, going to make a left turn onto northbound Johnson. V1 slides through snow packed left turn lane into oncoming traffic. Vehicle 2 is westbound Hwy 8/ Johnson Ln. V2 is unable to avoid the head-on crash with V1. V1 pushes V2 into Vehicle 3. V1 continues into Xcel power pole. V3 is stopped in left turn lane waiting for green arrow on eastbound Hwy 8/Johnson Ln. Driver V3 stated arrow is red. Driver of V2 states he had green light to proceed westbound Hwy 8. Driver V1 transported to Fairview-Wyoming for minor injuries. Driver V2 refuses medical treatment for cuts to hand. V1 and V2 towed by Dan's. Driver V1 cited duty to drive with due care. Airbags deploy in V1 and V2. No drugs/alcohol suspected on anyone. All are wearing seat belts.</t>
  </si>
  <si>
    <t>V1 was east on USTH 8 slowing in traffic due to red semaphore ahead of her. D2 said she wasn't able to stop in time due to her brakes locking up then struck rear of V1. Both on right shoulder when I arrived. D1 complained of neck pain but opted to get checked on her own.</t>
  </si>
  <si>
    <t>EB HWY 8 SOUTH OF JOHNSON LN</t>
  </si>
  <si>
    <t>Vehicle #1 and vehicle #2 were traveling east bound on Highway 8 in the center lane south of Johnson Lane.  Vehicle #2 stopped for traffic.  Vehicle #1 did not stop and struck vehicle #2.
Driver of vehicle #1 stated that he was tired and nodding behind the wheel.  When he looked up, traffic was right there.  He slammed on the brakes but could not stop in time and struck vehicle #2.
Driver of vehicle #2 stated that she was stopped for traffic at the light and was struck from behind by vehicle #1.
No injuries were reported on scene.
Front airbags in vehicle #1 deployed.
Vehicle #1 was towed by Dans Towing.</t>
  </si>
  <si>
    <t>Vehicle 1 was east bound on Lake Blvd approaching Johnson Lane. The traffic light had just turned green and vehicles began moving forward. As vehicle 1 approached and came closer to the traffic that was bunched up at the traffic light the vehicles began to apply their brakes and the brake lights came on. Vehicle 1 slammed on the brakes and attempted to move to the left into the north bound turn lane to avoid striking vehicle 2 which had stepped on the brakes and now came to a stop. Vehicle 1 rear ended vehicle 2.</t>
  </si>
  <si>
    <t>Both vehicles were traveling WB on Hw 8 At CR22.  Vehicle one was stopped at the red light when struck from behind by vehicle two.
Driver of vehicle two stated she was looking down holding her cell phone and checking her GPS when she struck the rear of vehicle one while he was stopped at the red light.   Driver two admitted to consuming too much alcohol the previous night and was subsequently placed through SFST's then arrested for DWI.
Vehicle two was towed by Dan's towing for damage sustained in the crash.</t>
  </si>
  <si>
    <t>USTH 8 AT VIKING BLVD</t>
  </si>
  <si>
    <t>Unit 1 was traveling westbound when he observed a squad with its emergency lights activated going eastbound. The driver stated he yielded to the squad and pulled to the right of the road. The driver stated he drove over gravel and slid, dumping his bike. Driver had minor cut on hand and eyebrow.</t>
  </si>
  <si>
    <t>Driver of vehicle one stated that she had been traveling E/B on Hwy 8 as she approached Viking Blvd and received the yellow light.  Driver one stated she slowed then stopped and the light changed to red.  Within seconds she was hit from behind, pushed into the center of the road and the right side of her body, neck and back was in a lot of pain.  The passenger in vehicle one who was also belted stated she was thrown around and she hit her head on something.  She sustained a large bump and cut to her forehead.  Both parties were transported to Fairview Wyoming Hospital for treatment.
Driver of vehicle two stated he was also traveling E/B on Hwy 8 when his phone rang.  He said he looked down and picked it up to answer it.  When he looked back p the vehicle in front of him was stopped.  Driver two said he tried to hit his brakes but he hit her.  When asked driver two said he had to go to Wisconsin to a friends house to move a car.  He said no one would answer his phone.  
Witnesses stated that driver two was weaving back and forth prior to the crash and never hit his brakes before hitting vehicle one.  
Both vehicles needed to be towed and driver two was cited for DAC and Careless driving.</t>
  </si>
  <si>
    <t>On 07/01/19 I Officer Quimby was on patrol. I was travelling W/B on Lake Blvd when I observed two vehicles stopped in the middle of the E/B lane of Lake Blvd. Both Drivers were standing outside of their vehicles. I turned around, activated my emergency lights, and pulled in behind the vehicles. I spoke with both drivers who stated they were involved in a small crash. I asked if they were injured. They stated they were not. I then had them pull over to the side of the road. 
I then spoke with the first driver, identified by WI license as ALI HASSAN DIRIYE (01/01/1935). He stated that he was driving down Lake Blvd, and was trying to hit the brakes. He stated he was having trouble with his brakes and was unable to stop in time. That was when he collided with vehicle two. I then gathered the following information about vehicle one:
Driver: ALI HASSAN DIRIYE
WI Plate: ADZ9109
Insurance: American Family
Policy: 2139-4780-03
I then spoke with the driver of vehicle two, identified by MN DL as TAMMY MARIE HAGEN. She stated that she was  E/B on Lake Blvd and stopped for the red light at E Viking Blvd. She stated that as she was stopped, vehicle one collided with the rear of her vehicle. HAGEN stated she was not hurt, just surprised by what had happened. I looked at the damage to her vehicle. There were some minor scrapes to the rear bumper, as well as a screw from vehicle one's license plate embedded into the bumper. I then gathered the following information about vehicle two:
Driver: TAMMY MARIE HAGEN
MN Plate: CHR726
Insurance: Progressive
Policy: 30053446
I then filled out a crash exchange form with the above information. I printed it out and explained the form to both drivers. I took photographs of the damage to both vehicles and attached it to the case. I later filled out a state crash report and attached it to the case. 
C Quimby
Lakes Area Police</t>
  </si>
  <si>
    <t>On 02/08/2019 at 0753 hours I, Officer Anderson, responded to the intersection of Lake Blvd and Johnson Ln for a report of a 2 vehicle crash.
I arrived and spoke with the driver of vehicle #1, Hailey Rose Vance 07/14/1998, and the driver of vehicle #2, David Andrew Gaffney 06/02/1991.  VANCE said she was eastbound on Lake Blvd coming up to the intersection with Johnson Ln.  She said the traffic light switched to yellow and she tried to slow down and stop before it turned red.  However, due to the icy conditions he car began to slide and the "fish tail" side to side.  She said he vehicle then slide into GAFFNEY's vehicle, which was on westbound Lake Blvd.  GAFFNEY gave the same information.  He have a dash mounted camera that captured the incident and it corroborates what both drivers said.  I saw that both vehicles had heavy front end damage.
Both parties were given an accident exchange for and informed about the state crash report, they both said they understood.  GAFFNEY drove his vehicle from the scene and VANCE called for her own tow truck.
I did note that the road was extremely icy and even at low speeds vehicles would slide when trying to stop.  A plow truck was on scene and did salt the intersection.  A state crash report was completed and photos with video attached.</t>
  </si>
  <si>
    <t>V1 was stopped on CSAH 36 at USTH 8 in left turn lane waiting for green light to go east on USTH 8. V2 was west on USTH in the right turn lane to go north on CSAH 36. D2 said she tried to turn but her car kept sliding straight towards V1. D1 tried to pull ahead to avoid crash but V2 then struck V1. I met both in a business lot. No injuries reported.
D2 new address:29821 Sportsman Dr #10, Chisago City, MN 55013</t>
  </si>
  <si>
    <t>ALL THREE VEHICLES WESTBOUND HWY 8 AT CR22/36/JOHNSON LANE. 
VEHICLE 1 WAS STOPPED FIRST AT THE RED LIGHT. 
VEHICLE 2 WAS STOPPED DIRECTLY BEHIND VEHICLE 1. 
VEHICLE 3 SAID HE MAY HAVE BEEN LOOKING DOWN FOR A MOMENT AND WHEN HE LOOKED UP, HE SAW THE VEHICLES AHEAD OF HIM AND HIT THE BRAKES. HE SAID THE VEHICLE SLID ON THE ROADWAY AS HE THEN CRASHED INTO THE REAR OF VEHICLE 2. VEHICLE 2 WAS THEN PUSHED INTO THE REAR OF VEHICLE 1.</t>
  </si>
  <si>
    <t>LAKE BLVD N/JOHNSON LN</t>
  </si>
  <si>
    <t>V1 WAS EB ON LAKE BLVD SLOWING IN TRAFFIC, V2 REARENDED V1. 
NO TOWS, NO INJURIES.</t>
  </si>
  <si>
    <t>Both vehicles were traveling W/B on Hwy 8 at Viking Blvd.  Driver of vehicle one stated he had just received the green light and was barely moving forward when his vehicle was struck from behind.  Neither his passenger nor he was injured.  Very minor damage to the rear bumper on his truck.
Driver of vehicle two stated she had slowed down as she approached the intersection but thought the light was green now.  Driver two stated she was paying more attention to her passenger then anything else when she crashed into the rear of vehicle one.  In fact her passenger yelled out, "Nicole!" right as they hit the rear of vehicle one.
Driver two's right wrist hurt and passenger of vehicle two's left temple hurt.  Both were cleared by Lakes Region's Ambulance and by Parents verbally.
Dan's towing removed vehicle two from the scene.</t>
  </si>
  <si>
    <t>Vehicle 1 was traveling west bound on Lake Blvd approaching East Viking Blvd. Vehicle 1 stopped in traffic for a red light on West bound Lake Blvd at East Viking Blvd. Vehicle 1 was stopped when rear ended by vehicle 2. Vehicle 2 was west bound on Lake Blvd approaching east Viking blvd when vehicle 1 slammed on its brakes to stop for the red light. Driver of vehicle 2 advised that she could not see the traffic lights. Driver of vehicle 2 advised that she could not react in time to stop and rear ended vehicle 1. Vehicle 2 rear ended vehicle 1.</t>
  </si>
  <si>
    <t>LAKE BLVD N/JOHNSON LN.</t>
  </si>
  <si>
    <t>V1 WAS SLOWING IN TRAFFIC, V2 WAS DISTRACTED BY LOOKING AT MY SQUAD CAR WITH EMERGENCY LIGHTS ACTIVATED (EMERGENCY LIGHTS ACTIVATED FOR A CRASH ON THE RIGHT SHOUDLER)  AND V2 HIT V1 DUE TO D2 FAIL TO TO USE DUE CARE. 
NO TOWS, NO INJURIES.</t>
  </si>
  <si>
    <t>V1, V2, AND V3 INVOLVED IN REAR-END CRASH ON USTH 8 AT VIKING BLVD.
V1 WAS WB ON HWY 8 WHEN V1 WAS REAR-ENDED BY V2. D1 SAID SHE WAS STOPPED AT LIGHT WHEN CRASH TOOK PLACE.
V2 WAS WB ON HWY 8 WHEN V2 WAS REAR-ENDED BY V3, AND THEN V2 HIT V1. D2 SAID HE WAS WAITING AT RED LIGHT WHEN V3 HIT V2, PUSHING V2 INTO V1. AIRBAGS DID NOT DEPLOY IN V2, HOWEVER, ANTI-WHIPLASH SAFETY MECHANISMS IN V2'S HEADRESTS DID DEPLOY.
V3 WAS WB ON HWY 8 WHEN V3 REAR-ENDED V2. D3 SAID HE WAS DRIVING IN HEAVY RAIN AND COULDN'T SEE V2. D3 SAID HE WAS NOT DISTRACTED BY ANYTHING ELSE.
V3 TOWED BY DAN'S TOWING.
NO PICS, NO APPARENT INJURIES.</t>
  </si>
  <si>
    <t>VEHICLE 1 AND VEHICLE 2 WESTBOUND HWY 8 JUST EAST OF CR22/36.
VEHICLE 1 STOPPED FOR TRAFFIC AHEAD OF HIM AT THE RED LIGHT. DRIVER OF VEH 1 SAID THE LIGHT CHANGED FROM RED TO GREEN AND HE HAD NOT STARTED OUT YET BEFORE VEHICLE 2 CRASHED INTO THE BACK OF HIS VEHICLE. 
DRIVER OF VEHICLE 2 SAID HE WAS DRIVING ALONG WITH HIS WINDOW DOWN. HE SAID HE LOOKED OUT SIDE HIS WINDOW AND THEN LOOKED AHEAD TO SEE VEHICLE 1 WAS STOPPED. HE SAID HE TRIED TO STOP AND THEN SWERVE TO AVOID VEHICLE 1 BUT COULD NOT AS HE CRASHED INTO THE REAR OF VEHICLE 1.</t>
  </si>
  <si>
    <t>UNIT 1 - TRAVELING WESTBOUND ON US-8.  APPROACHING JOHNSON LN INTERSECTION.
UNIT 2 - STOPPED BEHIND SEMI TRUCK AT WB US-8 / JOHNSON LN INTERSECTION.  UNIT 2 ADVISED THE LIGHT HAD JUST CHANGED FROM RED TO GREEN BUT SHE WAS STILL STATIONARY.  
UNIT 1 STRUCK THE REAR ENDED OF UNIT 2.  
UNIT 1 DRIVER STATED THAT HE IS OFF OF HIS MEDICATION AND ADMITTED THAT HE "ZONED OUT" WHILE HE WAS DRIVING.  UNIT 1 DRIVER STATED THAT HE HAS ZONED OUT A COUPLE OF TIMES BEFORE.  
MINIMAL DAMAGE TO BOTH VEHICLES.  LAKES AREA PD ASSISTED.  NO MEDICAL/FIRE.</t>
  </si>
  <si>
    <t>All vehicles were east on USTH 8. V1 was stopped in traffic due to a road construction back up. V2 saw traffic stopped and began to slow. V3 wasn't able to slow in time then swerved left but layed down the motorcycle then struck rear of V2. V2 was then sent into the right ditch after impact. Passenger on V3 fell off motorcycle and came to rest under rear of V1. V1 sustained no damage.</t>
  </si>
  <si>
    <t>Vehicles 1 and 2 NB (EB) Hwy 8.  Vehicle 1 stopped in traffic due to temporary construction stoplight that was red (not visible from scene).  Vehicle 2 did not stop in time and struck Vehicle 1 in the traffic lane.  No injuries were reported at the scene.</t>
  </si>
  <si>
    <t>V1 was stopped west bound on USTH 8 in traffic. D2 was directly behind V1. D2 admitted to looking down at a text he received then struck rear of V1. D2 was cited for failure to use due care. A witness also saw D2 on his cell phone. 
V1 was also carrying a Raleigh bicycle on the rear of his vehicle that was heavily damaged along with the bike hitch.
I called witness Tony and left a message for him to call me but he never did.  His first name and phone number was all I received from D1.</t>
  </si>
  <si>
    <t>VEHICLE 1, VEHICLE 2 AND VEHICLE 3 WESTBOUND HWY 8 EAST OF CR22/36.
VEHICLE 1 WAS STOPPED BEHIND A LINE OF CARS THAT WERE WAITING FOR THE LIGHT TO CHANGE AT CR22/36. 
VEHICLE 2 WAS IN THE PROCESS OF SLOWING DOWN QUICKLY FOR TRAFFIC AHEAD. 
VEHICLE 3 HIT THE REAR OF VEHICLE 2, PUSHING VEHICLE 2 INTO THE REAR OF VEHICLE 1.</t>
  </si>
  <si>
    <t>V1 WAS EB LAKE BLVD AT JOHNSON LANE, V1 HIT A PATCH OF ICE AND RAN OFF THE ROAD TO THE RIGHT AND ROLLED HIS VEHICLE. ONE FEMALE PASSENGER. NO INJURIES. TOWED BY DANS TOWING. REGISTERED OWNER/PARENT ALSO CAME ON SCENE.</t>
  </si>
  <si>
    <t>Vehicles traveling northbound. Traffic was slow due to the stop light and one lane of traffic. 
Driver 1 stated that he was slowing due to traffic in-front of him coming to a stop due to the red light. As he was coming to a stop that is when unit 2 crashed into him. No injuries where reported at the scene. Vehicle left on its own power. 
Driver 2 Stated that unit 1 slowed to fast for him to come to a stop before crashing into him. No injuries reported and vehicle left on its own power.</t>
  </si>
  <si>
    <t>VIKING BLVD N</t>
  </si>
  <si>
    <t>0400006594580036-D</t>
  </si>
  <si>
    <t>VEHICLE HWY 8 WESTBOUND APPROACHING THE INTERSECTION WITH CR22/36. THE VEHICLE HIT SOME SLUSH ON THE ROADWAY AND LOST CONTROL OF HIS CAR. HE SLID SIDEWAYS AND STRUCK THE STREET SIGN FOR EAST VIKING BLVD AND LAKE BLVD, KNOCKING IT OVER.</t>
  </si>
  <si>
    <t>LAKE BLVD/LOFTON AVE.</t>
  </si>
  <si>
    <t>V1 WAS STOPPED AT THE STOPLIGHT AT LAKE BLVD/LOFTON AVE. 
V2 SLID INTO THE BACK OF V1. NO TOWS. NO INJURIES.</t>
  </si>
  <si>
    <t>LAKE BLVD</t>
  </si>
  <si>
    <t>Report of a vehicle that had struck a sign and continued from the crash location. Officer was advised the vehicle later ran a red light. Officer located the vehicle and driver admitted to the crash and advised she was going to stop at a vehicle repair shop. Driver admitted to not having insurance on the vehicle. Driver was cited for no insurance, driving after revocation and hit and run.</t>
  </si>
  <si>
    <t>V1 INVOLVED IN COLLISION WITH SIGN CRASH ON USTH 8 AT KARMEL AVE.
I RESPONDED TO A CALL OF A SIGN IN THE ROADWAY. UPON ARRIVAL, SIGN WAS NO LONGER IN LANE, BUT IT WAS APPARENT THAT TWO SIGNS HAD BEEN HIT AND KNOCKED OVER. NO VEHICLE INFORMATION IS AVAILABLE (CALLER WAS A PASSERBY).
YELLOW TAGGED FOR DOT.
NO PICS, NO KNOWN TOWS, NO KNOWN APPARENT INJURIES.</t>
  </si>
  <si>
    <t>V1 was stopped east on USTH 8 due to traffic ahead of her stopped for a vehicle turning north on James Ave. V2 wasn't able to stop in time then swerved left to avoid V1 but wasn't able to avoid striking it. V2 pushed V1 to the right into a snowbank and taking out two mailboxes for the addresses of 9047 and 9041 Hwy 8. V2 then continued east "looking for a spot to turn around". A local officer found V2 and driver at 273rd. D2 said V1 stopped out of nowhere and couldn't avoid it. D2 was booked for DWI and test refusal. No injuries reported.</t>
  </si>
  <si>
    <t>JAMES</t>
  </si>
  <si>
    <t>Both Vehicle 1 and 2 EB USTH 8 near the intersection of James St.  Driver of Vehicle 1 and witness stated that Vehicle 2 was behind Vehicle 1 and came up from behind Vehicle 1 at a high rate of speed.  Driver of Vehicle 1 stated that she slowed down and moved slightly to the right.  Vehicle 2 struck Vehicle 1 in the left rear with the right front of Vehicle 2.  Vehicle 2 came to final rest in the ditch at the NE corner of the intersection of USTH 8 and James St.  No injuries were reported at the scene.</t>
  </si>
  <si>
    <t>D1 was stopped east on USTH 8 at Deer Garden Ln due to a vehicle ahead of him turning left onto Deer Garden Ln.  D2 said he was looking out at the lake to his right then when he looked back he saw traffic stopped. D2 wasn't able to stop in time then struck rear of V1. No injuries reported.</t>
  </si>
  <si>
    <t>GREENWAY</t>
  </si>
  <si>
    <t>On 6/27/2022 at approximately 1415hrs Unit 1 was traveling eastbound on USTH 8 near Greenway Avenue E (Wyoming, MN). Unit 2 was stopped at the intersection of USTH 8 at Greenway Avenue. The intersection light was red. Unit 1 stated she observed the light turn from red to green but couldn't stop in time to avoid rear ending Unit 1. Unit 1 driver stated he was stopped at the red light when he observed Unit 2 traveling at a high rate of speed, he estimated 65mph. Unit 1 driver stated Unit 2 showed no signs of slowing or stopping. Unit 1 driver stated Unit 2 rear-ended his vehicle at highway speeds. Unit 1 driver complained of head and neck pain from the crash. Unit 2 driver was issued a citation for duty to drive with due care. Nothing further.</t>
  </si>
  <si>
    <t>Vehicles 1 and 2 both EB USTH 8.  Vehicle 1 stopped for red light.  Driver of Vehicle 2 stated that he was stopped behind Vehicle 1, but thought the light had turned green and began to move forward.  Driver of Vehicle 2 stated that he may also have been distracted by dogs inside his vehicle.  Vehicle 2 struck Vehicle 1 in the rear.  Collision occurred in the EB lane of USTH 8.  No injuries were reported at the scene.</t>
  </si>
  <si>
    <t>Vehicle 1 EB USTH 8.  Vehicle 2 WB USTH 8. Both Vehicles at the intersection of USTH 8 and Pioneer.  Driver of Vehicle 2 stated that she was attempting to make a left turn on the protected green left turn arrow from WB USTH 8 to Pioneer.  Driver of Vehicle 1 stated that he had a green light for EB USTH 8 and Pioneer and was attempting to proceed through the intersection.  Collision occurred in the EB lane of USTH 8.  Witness was located in an unrelated vehicle directly behind Vehicle 1 facing EB USTH 8.  Witness stated that Vehicle 1 drove through a red light for EB USTH 8 and collided with Vehicle 2.  Driver of Vehicle 2 was transported by Lakes Region Ambulance Service or further evaluation.</t>
  </si>
  <si>
    <t>Both units are westbound US 8 at Pioneer Trl. Unit 2 is stopped at red light. Unit 1 states traffic started moving, he looked down to reach for his phone and crashes into unit 2. Driver of unit 1 transported for possible injury, unit 1 towed, no citations, no drugs/alcohol, no airbags, all wearing seat belts.</t>
  </si>
  <si>
    <t>Vehicle 1 NB CR 23, stopped in left turn lane at red light for USTH 8.  Vehicle 2 EB USTH 8 in right turn lane made right turn on to SB CR 23.  While makng right turn, Vehicle 2 lost control on poor road conditions and slid in to Vehicle 1.  Collision occurred in left turn lane of NB CR 23.  No injuries were reported at the scene.</t>
  </si>
  <si>
    <t>Both units are westbound US 8 at Pioneer Ave. Unit 2 is stopped at a red light. Unit 1 crashes into the rear of unit 2 for an unknown reason. Driver of unit 1 driving status in Wisconsin is Revoked. No injuries, unit 1 towed, driver unit 1 cited No MN DL, no drugs/alcohol, all wearing seat belts, airbags deploy in unit 1.</t>
  </si>
  <si>
    <t>KARMEL AVE N</t>
  </si>
  <si>
    <t>On 8-25-2022 hours I was dispatched to the intersection of Lake Blvd and Wyoming Ave in Chisago City for a property damage motor vehicle crash. Dispatch advised no injuries were being reported with the incident at that time and added that the crash was reported to be blocking the east bound traffic lane.
While I was enroute to the call for service I overheard radio traffic from Chisago County Sheriff's Office Captain Mahold advising he was arriving on scene. Shortly after arriving on scene Captain Mahold advised two individuals on scene were reporting minor injuries as a result of the crash and requested an ambulance be started.
Upon arriving on scene I noticed one vehicle stopped in the east bound traffic lane of Lake Blvd at the intersection with Wyoming Ave displaying moderate to severe damage on its rear. I noticed a large debris path in the middle of the east bound traffic lane that stretched onto Wyoming Ave when I noticed a second vehicle with severe front end damage sitting on the grassy median. I briefly made contact with Captain Mahold who identified the drivers of the vehicles involved and briefed me on the reported injuries. Lakes Region EMS arrived on scene at about the same time and began addressing the reported injuries.
Upon making contact with the parties involved I identified them as Jousha John Pouliot 7-5-1980, Nicole Ann Pinski 11-7-1989 and Frank Arnoux Duncan 12-4-1962. Pouliot was reporting injury to his hand but did not need medical attention. Pinski advised she had suffered an injury to her left shoulder/neck area and one of her children who had been inside the vehicle at the time the crash occurred was reporting having a headache that had not been then prior to the crash. Duncan was not reporting any injuries.
Upon speaking with Pouliot he advised he had been traveling east bound on Lake Blvd approaching the intersection with Wyoming Ave prior to the crash occurring. Pouliot advised that as she approached the intersection a the vehicle in front of him made a sudden lane shift into the left turn lane to go North bound on Karmel Ave. Pouliot advised that when the car made the abrupt lane change he had not noticed the traffic in front of him had stopped. Pouliot advised his vehicle then collided with the vehicle(s) that had been stopped for the other traffic. I then photographed the damage to Pouliot's and have since attached the photos to the report on file.
Upon speaking with Pinski she advised she had been stopped with other east bound traffic on Lake Blvd at the intersection with Wyoming Ave. Pinski advised that when her vehicle was struck from behind her vehicle was then pushed into the vehicle in front of her which had also been stopped with the other east bound traffic. I then photographed the damage to Pinski's vehicle and have since attached them to the report on file. Please note, Pinski and her son had been assessed by paramedic's but refused transport to the hospital.
Upon speaking with Duncan he advised he had been stopped with other east bound traffic on Lake Blvd at the intersection with Wyoming Ave when his vehicle was stuck from behind. Upon inspecting Duncan's vehicle I noticed light damage to the right rear corner of the van which occurred when Pinski's vehicle was pushed into his. I photographed the damage to Duncan's vehicle and have since attached them to the report on file. 
After some conversation I then obtained driver, vehicle and insurance information for the parties involved. That information is as follows...
     - Joshua John Pouliot
          Plate number: AEP5694 (WI)
          State Farm Insurance
          Policy number: 162 9015-F01-49C
     - Nicole Ann Pinski (reported injury)
          Passenger: LJP 11-18-12
          Passenger: LRJP 10-22-19
          Passenger: ERP 7-4-19 (reported injury)
          Plate number: FDC698
          American National Insurance
          Policy number: 22A9233E8
     - Frank Arnoux Duncan
          Plate number: NPX928
          EMCASCO insurance
          Policy number: SE9-77-33
I then completed the traffic crash information exchange form detailing the above mentioned information. When finished I explained the form to the parties involved. Once the damaged vehicles had been removed from the roadway I then cleared from the call.
Upon returning to the police department I then completed state crash report which has since been electronically filed with the State of Minnesota. A copy of that report has been attached to the report on file.
End Report</t>
  </si>
  <si>
    <t>Forest Lake</t>
  </si>
  <si>
    <t>UNIT 1 DRIVER ADMITTED HE WAS TRAVELING EB US-8.  FIRST CLAIMED THAT IT FELT LIKE HIS TIRE BLEW BUT THEN ADMITTED THAT HE SLOWLY DRIFTED TOWARDS THE MEDIAN.  UNIT 1 CROSSED INTO THE MEDIAN AND THEN STRUCK MNDOT SIGNS.  UNIT 1 THEN CAME TO REST OF THE SHOULDER.  
FOREST LAKE PD ASSISTED WITH THE CRASH.</t>
  </si>
  <si>
    <t>FL20008956</t>
  </si>
  <si>
    <t>MN0820200</t>
  </si>
  <si>
    <t>Vehicles were both eastbound on Highway 8.  Vehicle 2 stopped abruptly in traffic, vehicle 1 struck vehicle 2 in the rear on the trailer hitch receiver.  Damage to front bumper and grill on vehicle 1, no visible damage to vehicle 2.  
According to both drivers they were involved in a "road rage" situation which led up to the crash.  Both driver's agreed that vehicle 1 was northbound on I-35.  Vehicle 2 was also northbound on I-35 after just entering the freeway from Broadway Ave W in Forest Lake.  Vehicle 2 was in the far right lane, which is the lane for traffic exiting onto Highway 8 eastbound from I-35.  Vehicle 1 was on I-35 and was merging into the turn lane for Highway 8.  Vehicle 1 merged in behind vehicle 2 on the off ramp.  
Driver 1 stated that she had to decelerate from 80 mph to slow down for the exit ramp.  When she got behind vehicle 1 he was not going very fast.  She stated that after exiting on Highway 8 and was in the four lane, she passed vehicle 2.  Driver 1 stated that vehicle 2 then sped up and passed her vehicle.  She stated that she passed vehicle 2, however vehicle 2 then passed her on the shoulder and got in front of her vehicle and slowed down abruptly.  Driver 1 stated that she tried to stop in time but ended up hitting the back of vehicle 2.  Driver 1 admitted to losing her temper and not driving appropriately.  
Driver 2 stated generally the same account of the crash however added that when vehicle 1 passed his vehicle the second time, she passed him on the shoulder.  Driver 2 also admitted to not driving appropriately saying that he wasn't, "Minnesota nice."  
No injuries reported.  No citations or charges.</t>
  </si>
  <si>
    <t>V1 was west on USTH 8 when D1 lost control on icy road. V1 then spun out sideways striking a sign on the right side of the road then rolled into right ditch. No injuries reported.</t>
  </si>
  <si>
    <t>UNIT 1 - EB 8 - DRIVER (HELGESTAD) ADMITTED TO FAVORING THE RIGHT PART OF THE LANE.  HELGESTAD STATED THE SHOULDER HAD ROCKS ON IT WHICH CAUSED HER TO BEGIN TRAVELING TOWARDS THE DITCH.  HELGESTAD STATED SHE TURNED THE STEERING WHEEL TO NOT GO IN THE DITCH WHICH CAUSED HER VEHICLE TO SPIN ON THE ROADWAY.  THERE WERE SKIDMARKS FROM THE SHOULDER TO THE CENTER OF THE ROADWAY.  
UNIT 2 - WB US-8 - DRIVER (NOVAK) STATED THEY OBSERVED HELGESTAD SPINNING OUT IN FRONT OF THEM AND HE APPLIED HIS BRAKES WHILE IN HIS LANE.  THE CRASH OCCURRED IN THE WESTBOUND LANE OF US-8.  HELGESTAD'S VEHICLE CAME TO REST IN THE NORTH DITCH OF US-8.  NOVAK WAS ABLE TO STOP HIS VEHICLE ON THE WESTBOUND SHOULDER.  
TWIN CITIES TOW ASSISTED WITH REMOVING THE VEHICLE FROM THE DITCH BUT THE VEHICLE DID NOT REQUIRE A TOW FROM THE CRASH SCENE.  
FOREST LAKE PD ASSISTED.  NO MEDICAL / FIRE.</t>
  </si>
  <si>
    <t>UNIT 1 - PICKUP - TRAVELING EB US-8 - DRIVER STATED THAT TRAFFIC WAS TRAVELING SLOWLY AND WAS STOP AND GO.  UNIT 1 DRIVER STATED THAT HE FELT A VEHICLE CRASH INTO THE REAR OF HIS VEHICLE AND THEN VERY SHORTLY AFTER FELT ANOTHER CRASH INTO HIS VEHICLE.  
UNIT 2 - MERCURY PASSENGER CAR - TRAVELING EB US-8 UNDER THE SPEED LIMIT OF 55.  DRIVER STATED THAT A VEHICLE IN FRONT OF HIM PASSED UNIT 1 ON THE RIGHT SHOULDER AND UNIT 1 WAS STOPPED AHEAD OF HIM -- DRIVER OF UNIT 2 ATTEMPTED TO STOP BUT COULD NOT STOP IN TIME.  UNIT 2 CRASHED INTO THE REAR OF UNIT 1.  
UNIT 3 - PONTIAC PASSENGER CAR - TRAVELING EB US-8 AND OBSERVED UNIT 2 AHEAD OF HER COMPLETELY STOP.  DRIVER OF UNIT 3 STATED THAT SHE WAS UNABLE TO STOP IN TIME AND CRASHED INTO THE REAR OF UNIT 2.  DRIVER OF UNIT 3 STATED THAT SHE HAD A GOOD ENOUGH FOLLOWING DISTANCE AND COULD NOT TELL ME WHY SHE WAS UNABLE TO STOP IN TIME.  
WYOMING PD AND LAKES EMS ASSISTED.  NO FIRE.  DRIVER OF UNIT 1 TRANSPORTED TO FAIRVIEW WYOMING FOR SUSPECTED MINOR INJURIES.  DRIVER OF UNIT 2 SUSTAINED MINOR CUT TO HIS NOSE.  DRIVER OF UNIT 3 NOT INJURED.  
ALL 3 VEHICLES WERE STUCK TOGETHER UPON LAW ENFORCEMENT ARRIVAL.  UNIT 1 WAS ABLE TO DRIVE TO THE SHOULDER.  UNITS 2/3 WERE PUSHED TO THE SHOULDER USING SQUAD CAR ASSISTANCE.</t>
  </si>
  <si>
    <t>Both Vehicles 1 and 2 WB Hwy 8 in the left o two WB lanes.  Vehicle 2 attempted to pass Vehicle 1 on the right.  When attempting to merge back in to the left lane, Vehicle 1 and Vehicle 2 collided.  Driver of Vehicle 1 stated that Vehicle 2 had been "riding her butt" and the incident began in Lindstrom.  Driver of Vehicle 1 stated that Vehicle 2 attempted to pass her on the right, that there was an uninvolved truck in the right lane ahead of Vehicle 2.  Driver of Vehicle 1 stated that there was maybe 5 to 10 feet of space in between Vehicle 1 and the uninvolved truck,and that when Vehicle 2 attempted to merge back in to the left lane, Vehicle 2 struck Vehicle 1.  Driver of Vehicle 2 stated that Vehicle 1 was driving very slow and that Vehicle 2 was 2-3 cars behind Vehicle 1.  Driver of Vehicle 2 stated that as he attempted to pass Vehicle 1 on the right, that Vehicle 1 sped up and collided with Vehicle 2 as it was merging back in to the left of two WB lanes.  No injuries were reported at the scene.</t>
  </si>
  <si>
    <t>Driver one stated he was traveling W/B on Hwy 8 and had just accelerated from the green light at Greenway Ave.  Driver one said he had been using his cruise and it was set at 58 mph and was intending to exit to the Hwy 61 ramp.  Since the road went from one lane to two lanes, driver one merged into the right lane with his cruise still on while it was accelerating and driver one stated he hit a patch of water.  This caused him to spin out of control and run off the road on the north side.  Vehicle one then rolled over an undetermined amount of times coming to rest on the drivers side facing south.  Driver one was trapped in the vehicle and had to be manually extricated from the vehicle.
Once extricated from the vehicle it was decided that driver one be taken to Fairview Wyoming Hospital for treatment/observation.  The vehicle was towed from the scene by Twin Cities Towing.</t>
  </si>
  <si>
    <t>633 EB HWY 8 AT GREENWAY
UNITS WERE EB 8 APPROACHING THE TRAFFIC LIGHT AT GREENWAY. UNIT 3 WAS STOPPED, UNIT 2 WAS COMING TO A STOP BEHIND UNIT 3. 
UNIT 1 SAID TRAFFIC STOPPED AND HE BEGAN TO GO FORWARD AGAIN. AT THE SAME TIME UNIT 1 SAID HE SPILLED HIS POP SO HE LOOKED DOWN. TRAFFIC COME TO A STOP AND HE DIDNT SEE IT.
UNIT 1 HIT UNIT 2 AND PUSHED UNIT 2 INTO UNIT 3. 
NO PICTURES, NO INJURIES, NO CITES, UNIT 1 WAS TOWED.</t>
  </si>
  <si>
    <t>Seifert (367PRN) was slowing to stop for the red light at e/b Hwy 8/Greenway Ave when Manuel (830WYD) rear ended him, also e/b on Hwy 8.  Manual admitted to being distracted by looking at the mileage on his vehicle and not seeing Seifert coming to a stop or the red light.  Seifert had significant damage to the rear of his vehicle and Manual had significant damage to the front of his vehicle.  Both vehicles were towed by Twin Cities Towing which was called by State Patrol.  Assisted drivers in exchanging information.</t>
  </si>
  <si>
    <t>Forest Lake Police department case number FL20007149 Sgt. Peterson caught the crash on video.
Vehicle 1 and Vehicle 2 Eastbound Hwy 8. Vehicle 1 said he was coming to the intersection at Hwy 8 and Greenway as the light changed from green to yellow. He said he slowed down for the impending red light and did so for about 3-5 seconds. Vehicle 2 pulling a medium sized enclosed trailer that was full of items, was unable to stop and ran into the rear of Vehicle 1. Both vehicle 1 and vehicle 2 were in the through lane to continued on Hwy 8 eastbound.</t>
  </si>
  <si>
    <t>UNIT 1 - CHEVROLET PICKUP - TRAVELING WB US-8. 
UNIT 2 - TOYOTA PICKUP PULLING TRAILER WITH BOAT ON IT.  TRAVELING WB US-8 IN FRONT OF UNIT 1.  
UNIT 2 DRIVER STATED THAT HE WAS TRAVELING WB US-8 AND WENT THROUGH THE YELLOW LIGHT AT US-8 / PIONEER AND THEN OBSERVED UNIT 1 WAS A WAYS BEHIND HIM GO THROUGH THE LIGHT AND HE WAS CERTAIN THAT IT WAS RED.  UNIT 2 DRIVER STATED THAT HE WAS STOPPED AT THE NEXT LIGHT AT US-8 / GREENWAY WITH A FEW VEHICLES IN FRONT OF HIM. HE CONFIRMED THAT HE WAS AT A COMPLETE STOP WHEN UNIT 1 REAR ENDED HIM FAIRLY QUICKLY CAUSING THE BOAT TO COME OFF OF THE TRAILER AND THERE TO BE DAMAGE TO THE BOAT AND IT CAME DISCONNECTED FROM THE PICKUP.  UNIT 2 PICKUP DID NOT HAVE ANY DAMAGE - ONLY THE BOAT TRAILER.  
UNIT 1 DRIVER STATED THAT HE WAS DRIVING AND THEN FELL ASLEEP.  HE WOKE UP AFTER HE CRASHED INTO THE REAR OF UNIT 2.  HE ADVISED THAT HE SUFFERS FROM SLEEP APNEA AND HAD JUST WOKEN UP FROM A NAP BEFORE DRIVING.  NO INDICATORS OF IMPAIRMENT WERE DETECTED.  
WYOMING POLICE DEPARTMENT ASSISTED.  NO MEDICAL/FIRE RESPONDED.  
UNIT 1 DRIVER - DOVE - CITED FOR DUTY TO DRIVE WITH DUE CARE (CITATION # 881903090949)</t>
  </si>
  <si>
    <t>VEHICLE 1 AND VEHICLE 2 WESTBOUND HWY 8 EAST OF GREENWAY AVENUE.
VEHICLE 1 STOPPED IN BACKED UP TRAFFIC (NORMAL RUSH HOUR TRAFFIC) FOR APPROXIMATELY SIXTY SECONDS. 
VEHICLE 2 SAID SHE WAS PUTTING ON HER WINTER GLOVES AND THEN REALIZED VEHICLE 1 WAS STOPPED. VEHICLE 2 CRASHED INTO THE REAR OF VEHICLE 1.</t>
  </si>
  <si>
    <t>Unit 1 west on Hwy 8 approaching Greenway Ave in Wyoming. Unit 1 left the roadway to the right as it was entering a left curve. Unit 1 went through the ditch, hitting rocks and a tree. The driver of Unit 1 suffered a medical episode behind the wheel and lost consciousness. Moderate damage to the front of Unit 1, and it was towed by Dans Towing. Driver of Unit 1 was transported by MN health EMS for evaluation. The driver of Unit 1, Aaron Sutphin will be recommended for a drivers evaluation due to losing consciousness behind the wheel.</t>
  </si>
  <si>
    <t>Vehicles 1 and 2 EB HWY 8.  Vehicle 1 stopped in traffic back-up for unidentified vehicle making a left turn.  Vehicle 2 behind Vehicle 1.  Vehicle 2 attempted to slow and avoid collision by maneuvering toward the south ditch, but did not.  Vehicle 2 struck Vehicle 1 in rear.  No injuries were reported at scene.</t>
  </si>
  <si>
    <t>BOTH VEHICLES WERE WESTBOUND ON USTH 8. VEHICLE 1 WAS STOPPED FOR TRAFFIC AHEAD. VEHICLE 2 STATED SHE LOOKED IN HER REAR VIEW MIRROR AND WHEN SHE LOOKED BACK TO THE ROAD TRAFFIC HAD STOPPED AND DID NOT HAVE ENOUGH REACTION TIME. VEHICLE 2 REAR ENDED VEHICLE 1. BOTH DRIVERS REFUSED TO BE CHECKED BY EMS. VEHICLE 2 WAS TOWED.</t>
  </si>
  <si>
    <t>This crash occurred on Hwy 8 and Hamlet.  Vehicle one was traveling E/B on Hwy 8 when he stated traffic stopped suddenly in front of him.  He said that he hit his brakes hard and his car "Cut over" to the the left.  This caused his vehicle to hit vehicle one head on that was traveling W/B.  Driver of vehicle one had no seatbelt on and he sustained injuries from this crash.  Driver of vehicle one was transported to Fairview Wyoming Hospital for treatment.
Driver of vehicle two was traveling W/B at 55 mph when she said all of a sudden vehicle one came over the lane line in front of her and struck the front of her vehicle.  Driver two said she hit her brakes and veered to the right but wasn't able to avoid vehicle one.  Driver two's front airbags deployed, she was also wearing her seatbelt.  Driver two sustained no injuries.    
Witness Abigale Gabrick was behind vehicle one and also stated traffic stopped suddenly in front of vehicle one.  Vehicle one crossed the lane lines and struck vehicle two head on.  
Driver of vehicle one was answering all of first responder questions appropriately, at the scene but down grading his injuries.  He did agree to be transported for treatment.
Both vehicles were towed from the scene.</t>
  </si>
  <si>
    <t>CRASH LOCATION- US HIGHWAY 8 AT HAMLET AVE. VEHICLE#1 WAS WEST BOUND US HIGHWAY 8 STOPPED BEHIND A VEHICLE IN FRONT OF HIM WAITING TO TURN LEFT. VEHICLE#2 WAS WEST BOUND US HIGHWAY 8 BEHIND VEHICLE#1 STOPPED. VEHICLE#3 WAS WEST BOUND US HIGHWAY 8. THE VEHICLE IN FRONT OF VEHICLE#3 PASSED VEHICLE#1 AND VEHICLE#2 ON THE SHOULDER. VEHICLE#3 REAR ENDED VEHICLE#2. VEHICLE#2 THEN MADE CONTACT WITH VEHICLE#1. DRIVER OF VEHICLE#2 COMPLAINED OF POSSIBLE INJURY BUT WAS NOT TRANSPORTED. PLC TOWING TOWED VEHICLE#2 AND VEHICLE#3.</t>
  </si>
  <si>
    <t>BOTH VEHICLES WERE WEST ON US8. THE ROADWAY WAS WET FROM  RECENT RAIN, AND IT WAS CLOUDY.
D1 EXPLAINED THAT SHE SLOWED FOR TRAFFIC IN FRONT OF V1. AS D1 SLOWED, V1 WAS REAR ENDED BY V2.
D2 EXPLAINED THAT HE LOOKED DOWN AS HE WAS REACHING FOR HIS CUP OF COFFEE. WHEN D2 LOOKED FORWARD TRAFFIC HAD STOPPED. D2 SWERVED TO AVOID V1 BUT WAS UNABLE TO. V2 STRUCK V1 AS D2 SWERVED, AFTER STRIKING V1, V2 ENDED UP DOWN IN THE RIGHT DITCH.
NO REPORTED INJURIES.</t>
  </si>
  <si>
    <t>WITNESS - STOPPED OR NEAR STOPPED EASTBOUND ON US-8 TURNING IN TO THE DRIVEWAY OF 7112 US-8.  WITNESS WAS WAITING FOR A VEHICLE TRAVELING WESTBOUND ON US-8.
UNIT 2 - WAS STOPPED OR NEAR STOPPED IMMEDIATELY BEHIND THE WITNESS AND WAS GOING TO CONTINUE EASTBOUND ON US-8.    
UNIT 1 - TRAVELING EASTBOUND ON US-8 AND WAS APPROACHING UNIT 2 AND WITNESS.  
WITNESS MADE ITS TURN INTO THE DRIVEWAY AND UNIT 1 REAR ENDED UNIT 2 WHILE IN THE EASTBOUND LANE.  UNIT 2 WAS PUSHED INTO THE SOUTH DITCH.  UNIT 1 WAS DISABLED IN THE MIDDLE OF THE ROAD.  UNIT 1 WAS PUSHED OUT OF THE LANE BY MY SQUAD CAR AND BOTH WERE LATER TOWED.  UNIT 1 DRIVER HAD A WRIST INJURY AND UNIT 2 WAS BELIEVED TO HAVE MINOR INJURIES.  
UNIT 1 DRIVER ADMITTED THAT HE WAS LOOKING DOWN AT HIS RADIO "FOR A SECOND."  HE ALSO CLAIMED THAT HE DIDN'T SEE ANY LIGHTS.  UPON LAW ENFORCEMENT ARRIVAL UNIT 2 STILL HAD ITS HEADLIGHTS ON AND THE REAR LIGHTS WERE SEVERELY DAMAGED FROM THE CRASH.  
WYOMING PD/FIRE AND CHISAGO COUNTY SHERIFFS OFFICE ASSISTED IN THE CRASH.</t>
  </si>
  <si>
    <t>UNIT 1 - TRAVELING WESTBOUND ON US-8 APPROXIMATELY 35-40 MPH.  ADMITTED TRAFFIC WAS SLOW BUT MOVING.  
UNIT 2 - TRAVELING WESTBOUND ON US-8 APPROXIMATELY 10-15 MPH.  ADMITTED TRAFFIC WAS SLOWLY MOVING.  STATED IT WOULDN'T STOP BUT WOULD JUST GO SLOW THEN A LITTLE FASTER - ESTIMATED 10-15.  
UNIT 1 DRIVER STATED SHE WAS LISTENING TO A PODCAST AND THEN ALL OF A SUDDEN NOTICED THAT UNIT 2 WAS RIGHT IN FRONT OF HER AND SHE REAR ENDED UNIT 2.  UNIT 1 DRIVER STATED SHE WAS NOT DISTRACTED BY HER PHONE AND ADMITTED THAT SHE MUST HAVE BEEN LOOKING AROUND (OUTSIDE DISTRACTIONS).  
UNIT 1 DRIVER TAKEN PRECAUTIONARY TO FAIRVIEW WYOMING HOSPITAL DUE TO BEING PREGNANT.  NO INJURIES THAT I COULD SEE.  
UNIT 2 DRIVER CHECKED OUT FOR CONCUSSION AND RELEASED TO DRIVE.  
WYOMING PD ASSISTED WITH THE CRASH.  
DRIVER OF UNIT 1 AGREED THAT SHE SHOULD HAVE SEEN UNIT 2 IN FRONT OF HER BUT COULDNT THINK OF A GOOD REASON WHY SHE DIDN'T SEE HIM.  
DRIVER OF UNIT 1 CITED FOR DUTY TO DRIVE WITH DUE CARE (CITATION # 881903091062).</t>
  </si>
  <si>
    <t>All vehicles were west on USTH 8. Traffic had stopped at Hazel Ave due to turning vehicles. V1 had stopped part in through lane and part on right shoulder in case she had to drive around a crash ahead of her as she wasn't sure why traffic had stopped. D2 didn't see that traffic was stopped then struck rear of V1. Occupants of V1 were evaluated by medics on scene but declined transport.</t>
  </si>
  <si>
    <t>UNIT 1 - STOPPED ON US-8 WAITING FOR A CAR TO TURN FROM EASTBOUND US-8 TO GO NORTH ON HAZEL.
UNIT 2 - STOPPED ON US-8 BEHIND UNIT 1.  
UNIT 2 DRIVER SAW UNIT 3 BEHIND HIM NOT SLOWING DOWN FOR TRAFFIC BEING STOPPED AHEAD.  UNIT 2 DRIVER WAS UNSURE OF WHERE THE DRIVER OF UNIT 3 WAS LOOKING.  
UNIT 3 CRASHED INTO THE REAR OF UNIT 2 CAUSING SEVERE DAMAGE AND FOR IT TO BE DISABLED IN THE MIDDLE OF US-8.  
UNIT 2 WAS THEN PUSHED INTO THE REAR OF UNIT 1.  UNIT 2 DRIVER INITIALLY GOT OUT OF HIS VEHICLE BUT SAID THAT HE HAD STUFF TO DO AND LEFT THE CRASH SCENE.  UNIT 2 DRIVER WAS EVENTUALLY STOPPED AND ADMITTED TO BEING INVOLVED IN THE CRASH.  UNIT 2 DRIVER ADMITTED THAT HE WAS IN THE WRONG AND SHOULD HAVE WAITED FOR LAW ENFORCEMENT.  
UNIT 3 DRIVER INITIALLY DENIED BEING DISTRACTED AND DENIED FOLLOWING TOO CLOSE.  I ASKED AGAIN WHY SHE WAS UNABLE TO STOP IN TIME AND SHE ADMITTED THAT SHE MAY HAVE BEEN LOOKING AT / TALKING TO THE FRONT PASSENGER.   UNIT 3 DRIVER - BOYLE - CITED FOR DUTY TO DRIVE WITH DUE CARE.  
WITNESS - WAS 2 CARS BEHIND THE CRASH.  OBSERVED TRAFFIC GRADUALLY STOPPING AHEAD (NOT ABRUPTLY) AND OBSERVED THE CRASH BETWEEN UNIT 3 AND UNIT 2 AND THEN UNIT 2 PUSH INTO UNIT 1.  WITNESS ORIGINALLY CLAIMED TO HAVE DASH CAM FOOTAGE BUT THEN LATER ADVISED SHE DID NOT HAVE HER DASH CAM ON AT THE TIME.  
WYOMING POLICE DEPARTMENT ASSISTED.</t>
  </si>
  <si>
    <t>DRIVER OF VEH 2 STATED HE PURCHASED THE VEH NOT TOO LONG AGO. TITLE HANDED TO THE TROOPER SHOWED HE TRANSFERED THE TITLE ON 7/20/18 IN WISC. DRIVER ADMITTED HE HAD NO INSURANCE ON IT AT THE PRESENT TIME. LAST VEH HE HAD INSURED WAS 6 MONTHS PRIOR. DRIVER ADMITTED HE WAS TRAVELING EB ON HWY 8 APPROACHING HAZEL AVE. VEH IN FRONT OF DRIVER 1 WAS STOPPED MAKING A LEFT HAND TURN.  DRIVER 1 WAS STOPPED WHEN STRUCK FROM BEHIND.  DRIVER 2 STATED HE WAS LOOKING DOWN CHANGING THE RADIO STATION, LOOKED UP AND VEH 1 WAS IN FRONT OF HIM. DRIVER OF VEH 2 SAID HE TRIED TURNING TO THE RIGHT BUT COULDN'T IN TIME. VEH 1 WAS REAR-ENDED VEH 1 PUSHING HER OFF INTO THE RT DITCH. 
DRIVER 1 STATED SHE SLOWED DOWN FOR A VEHICLE IN FRONT OF HER THAT WAS MAKING A LEFT HAND TURN ONTO HAZEL AVE.  WHEN SHE STOPPED, SHE WAS STRUCK FROM BEHIND AND PUSHED INTO THE SOUTH DITCH.
ROADS WERE DAMP, BUT THE VISIBILITY WAS GOOD. NO INJURIES TO EITHER PARTY AND BOTH VEHICLES WERE TOWED.
DRIVER TWO WAS CITED FOR NO INSURANCE, AND FAIL TO DRIVE WITH DUE CARE.</t>
  </si>
  <si>
    <t>All vehicles were traveling E/B on Hwy 8 at Hazel.  Vehicle one was stopped attempting to make a left turn onto Hazel and vehicle two stopped behind her.  Driver of vehicle two stated he looked in his rear view mirror and saw vehicle three just barreling down and it appeared she wasn't stopping.  Vehicle three hit vehicle two pushing him into vehicle one.  Vehicle one was pushed ahead on the road, Vehicle two was struck multiple times by vehicle three as he spun around and was thrown into the north ditch and vehicle three ended up in the south ditch.
Driver of vehicle one stated she was borrowing the truck from her cousin so she could take a family member to the hospital. The inquiry was made since the truck had dealer plates.  Driver one said she didn't work for the dealership and she was only borrowing it.
 Driver one was not able to provide proof of insurance or get us in touch with anyone with it so a citation was mailed to her since she was transported to the hospital for her injuries.
Driver three stated that she was looking down at the time of the crash and putting on her sunglasses due to the sun.  She said when she looked up she thinks the guy was stopped.  That is all she had to say.  Driver three driving status was revoked for numerous priors.  A citation was mailed to her for DAR and for careless.</t>
  </si>
  <si>
    <t>THE VEHICLE WAS WESTBOUND ON USTH 8. A BUICK PULLING A BOAT AND TRAILER WAS ATTEMPTING TO TURN LEFT TO LAKES AREA CANVAS. TRAFFIC CAMERAS CAUGHT THE INCIDENT ON CAMERA AND SHOWED THE BUICK DID NOT HAVE OPERATIONAL TRAILER LIGHTS. A PICKUP TRUCK HAD TO BRAKE HARD OR PASS ON SHOULDER TO AVOID REAR ENDING THE BUICK OR EACH OTHER. THE DRIVER OF THE DUMP TRUCK TRIED TO BRAKE AND TO MOVE TO THE RIGHT SHOULDER. THE REAR END OF THE TRUCK SLID OUT AND THE TRUCK OVERTURNED SPILLING APPROXIMATELY 15 TONS OF ASPHALT MATERIAL.
BUICK PULLING TRAILER:
KEITH EUGENE KOTOSKY
09/23/1960
AZA435
651-424-7037 (NUMBER PROVIDED BY LAKES AREA CANVAS)</t>
  </si>
  <si>
    <t>UNIT 1 - TRAVELING EB US-8.  UNIT 1 DRIVER ADMITTED HE WAS LOW AND GAS AND WAS THINKING ABOUT IF HE SHOULD TURN AROUND TO GO BACK TO THE GAS STATION AT US-8 / GREENWAY.  
UNIT 2 - TRAVELING EB US-8.  UNIT 2 DRIVER ADMITTED TO GOING 50-55 MPH AND THEN SEEING A DEER IN HIS LANE.  UNIT 2 DRIVER QUICKLY SLOWED AND GRAZED THE DEER BUT CAUSED NO DAMAGE TO HIS VEHICLE.  UNIT 1 DRIVER ADMITTED HE WAS COGNITIVELY DISTRACTED AND DIDN'T HAVE TIME TO STOP FOR UNIT 2.  UNIT 1 DRIVER STEERED TO THE RIGHT TO AVOID REAR ENDING UNIT 2.  UNIT 1 STRUCK THE REAR PASSENGER SIDE OF UNIT 2.  UNIT 1 THEN CONTINUED TO THE RIGHT EVENTUALLY STRIKING THE GATE TO A LOCAL BUSINESS (LAKES AREA CANVAS) WHERE IT CAME TO REST.  THERE WAS VISUAL DAMAGE DONE TO THE GATE.  
UNIT 2 DRIVER ADMITTED THAT UNIT 1 WAS NOT DIRECTLY BEHIND HIM PRIOR TO HIM SLOWING DOWN.  IT IS UNCLEAR IF UNIT 1 WAS TRAVELING OVER THE POSTED SPEED LIMIT AND WAS UNABLE TO STOP IN TIME OR IF HE WAS ONLY DISTRACTED THINKING ABOUT TURNING AROUND TO GET GAS.  
UNIT 1 DRIVER ADMITTED THAT HE ALSO OBSERVED THE DEER IN THE ROADWAY CONFIRMING THAT WAS WHY UNIT 2 WAS SLOWING DOWN.  
WYOMING PD ASSISTED IN THE CRASH.  NO MEDICAL OR FIRE RESPONDED.  UNIT 1 DRIVER ADMITTED HE WAS NOT INJURED BUT SHOWED ME SOME SKIN THAT WAS SCRAPED FROM HIS GEAR SHIFTER.</t>
  </si>
  <si>
    <t>CRASH LOCATION- US HIGHWAY 8 AT HAMLET AVE. VEHICLE#1 WAS EAST BOUND US HIGHWAY 8 STOPPED BEHIND A VEHICLE IN FRONT OF IT WAITING TO MAKE A TURN. VEHICLE#2 WAS ALSO EAST BOUND US HIGHWAY 8. A TRUCK IN FRONT OF VEHICLE#2 SWERVED TO THE RIGHT AND PASSED VEHICLE#1 ON THE SHOULDER. VEHICLE#2 REAR ENDED VEHICLE#1. DRIVER OF VEHICLE#2 REPORTED POSSIBLE INJURY BUT REFUSED MEDICAL ATTENTION. VEHICLE#2 WAS TOWED BY DANS TOWING.</t>
  </si>
  <si>
    <t>UNIT 1 - WEDWICK - STOPPED FOR TRAFFIC AHEAD IN THE TRAFFIC LANE EASTBOUND ON US-8 NEAR 250TH INTERSECTION.  COULDNT TELL IF SOMEONE WAS TURNING BUT EASTBOUND TRAFFIC WAS STOPPED.  
UNIT 2 - NELLESSEN - OBSERVED TRAFFIC WAS STOPPED AHEAD AND WAS STOPPED OR NEARLY STOPPED BEHIND UNIT 1 ALSO EASTBOUND ON US-8.  
UNIT 3 - CARLSON - DRIVER WAS TRAVELING EASTBOUND ON US-8.  ADMITTED HE WAS LOOKING AT THE PILES OF MULCH AT THE NURSERY FOR APPROXIMATELY 5 SECONDS OFF OF US-8 AND THEN OBSERVED TRAFFIC AHEAD OF HIM WAS STOPPED.  UNIT 3 DRIVER ADMITTED TO SLAMMING ON HIS BRAKES AND CRASHING INTO THE REAR OF UNIT 2.  
UNIT 2 DRIVER REMEMBERED GETTING HIT BY UNIT 3 AND THEN THE IMPACT PUSHED HIM INTO UNIT 1.  ALL VEHICLES WERE ABLE TO MOVE ONTO THE SHOULDER.  DRIVERS OF UNIT 1 AND 2 ADVISED THAT THEY HAD NECK AND BACK PAIN FROM WHEN THE CRASH HAPPENED. 
UNIT 3 DRIVER - CARLSON - WAS CITED FOR DUTY TO DRIVE WITH DUE CARE (CITATION # 882003091177) 
NO OTHER ASSISTING AGENCIES.  NO MEDICAL OR FIRE RESPONDED.</t>
  </si>
  <si>
    <t>ALL THREE VEHICLES ON HIGHWAY 8 WESTBOUND NEAR 250TH STREET. 
VEHICLE 1 STOPPED FOR SEVERAL CARS AHEAD. THOSE CARS STOPPED FOR A VEHICLE MAKING A LEFT TURN INTO APPLEWOOD NURSERY. 
VEHICLE 2 CAME TO A STOP BEHIND VEHICLE 1. 
VEHICLE 3 SAID HE LOOKED BACK AT HIS SON FOR A MOMENT AND THEN LOOKED AHEAD TO SEE TRAFFIC STOPPED. HE SAID HE HIT HIS BRAKES BUT IT WAS TOO LATE. 
VEHICLE 3 CRASHED INTO THE REAR OF VEHICLE 2 WHICH WAS THEN PUSHED INTO THE REAR OF VEHICLE 1.</t>
  </si>
  <si>
    <t>V#1 WAS WB HWY 8 FOLLOWING OTHER VEHICLES TOO CLOSE.  V#1 WAS GOING TOO FAST FOR THE SNOWY ICY CONDITIONS AND WHEN TRAFFIC STARTED TO SLOW IN FRONT OF HIM HE COULD NOT STOP SO HE SWERVED TO THE RIGHT TO AVOID HITTING ANOTHER VEHICLE AND WENT INTO THE RIGHT DITCH HITTING A ROAD APPROACH MARKER POLE.
NO INJ, NO TAGS, NO PICS, DAN'S FOR A PULL OUT.
CLOUDY, SNOWY, ICY, 10 DEGREES</t>
  </si>
  <si>
    <t>UNIT 1 - TRAVELING EASTBOUND ON US-8.  UNIT 1 SLOWLY DRIFTED FROM ITS LANE INTO THE RIGHT DITCH WHERE IT EVENTUALLY CRASHED INTO A TREE.  UNIT 1 CAME TO REST AGAINST THE TREE.  UNIT 1 DRIVER WAS TAKEN BY AMBULANCE FOR NON-LIFE THREATENING INJURIES.  NO OTHER VEHICLES WERE INVOLVED IN THE CRASH.  A SEARCH WARRANT BLOOD DRAW WAS CONDUCTED.  
WYOMING PD, FOREST LAKE PD, CHISAGO COUNTY SHERIFFS OFFICE AND WYOMING FIRE DEPARTMENT ASSISTED WITH THE CRASH</t>
  </si>
  <si>
    <t>UNIT 1 - JONES - EASTBOUND US-8.  
UNIT 2 - NELSON - EASTBOUND US-8 IN FRONT OF UNIT 1.  
UNIT 3 - HOSTETLER - EASTBOUND US-8 IN FRONT OF UNIT 2.  
UNITS 2/3 WERE BOTH NEARLY STOPPED FOR TRAFFIC AS UNIT 1 REAR ENDED UNIT 2 CAUSING UNIT 2 TO BE PUSHED INTO UNIT 3.  
UNIT 1 DRIVER CITED FOR DUTY TO DRIVE WITH DUE CARE.  UNIT 2 DRIVER ARREST FOR DWI (PBT .109).  UNIT 3 DRIVER WAS CHECKED OUT MY MEDICS ON SCENE BUT DECLINED TRANSPORT.  UNIT 3 DRIVER ADMITTED TO BACK/NECK PAIN.  
WYOMING PD AND LAKES AREA PD ASSISTED WITH CRASH AS WELL AS LAKES EMS AMBULANCE.</t>
  </si>
  <si>
    <t>VEHICLE 1 AND VEHICLE 2 EASTBOUND HWY 8 1/2MI WEST OF PIONEER AVE. 
VEHICLE 1 AT 5MPH FOR TRAFFIC AHEAD OF HER. 
VEHICLE 2 SAID SHE WAS STARTING FROM A STOPPED POSITION. VEHICLE 2 SAID SHE HAD HER FOOT SLIP OFF THE BRAKES AND ONTO THE GAS PEDAL AND SHE RAN INTO THE REAR OF VEHICLE 1.</t>
  </si>
  <si>
    <t>Vehicle one was traveling E/B on Hwy 8 West of Pioneer Road.  Driver of vehicle one said that traffic ahead of him came to a sudden stop so he applied his brakes hard and they went all the way to the floor.  Driver one was pulling a trailer with a S205 Bobcat strapped to the flatbed of it when this occurred.  Driver one said that when the brakes were applied he went to the right shoulder and it was soft.  The trailer was sucked in and the truck and trailer was pulled down into the ditch.  The truck broke off of the tongue and was shot across the road into the north ditch and was lodged there.  The trailer with the bobcat rolled several times and landed upright in the marshy land in the south ditch.  
No injuries were reported and it is unclear as to what damage was done to all implements since the truck, trailer and bobcat were all toed from the scene with copious amounts of mud on them.  Also the under carriage of all the items were not able to be inspected.
The owner of the bobcat and the trailer belong to: Jeffrey Lowell Lindo, 12/07/1978 at 16050 355th Street, Center City, MN 55012
MN license # 0255CJT is for the Trailer.
Bobcat is a S205</t>
  </si>
  <si>
    <t>V#1 WAS EB HWY 8 WHEN THE VEHICLE IN FRONT OF HER HIT HER BRAKES.  V#1 THEN HIT HER BRAKES AND LOST CONTROL ON THE SLIPPERY, ICY ROADS. V#1 SPUN OUT AND HIT THE GUARD RAIL ON THE COMFORT LAKE BRIDGE.
NO PICS, NO TAGS, NO INJ, NO TOWS
CLEAR, ICY, -13</t>
  </si>
  <si>
    <t>UNIT 1 - STOPPED ON US-8 WITH ONE CAR AHEAD OF HIM ALSO STOPPED WAITING THE LEAD VEHICLE TO TURN INTO DRIVEWAY ON THE NORTH SIDE OF US-8.  UNIT 1 DRIVER STATED THE CARS AHEAD OF HIM WERE STOPPED AS WELL AS UNIT 2 BEHIND HIM.  
UNIT 2 - STOPPED BEHIND UNIT 1 - STATED THAT UNIT 3 WAS ALSO STOPPED BEHIND HIM WAITING FOR THE VEHICLE TO TURN LEFT.  
UNIT 3 - STOPPED AND OBSERVED A PASSENGER CAR (UNIT 4) TRAVELING BEHIND HIM THAT WAS ATTEMPTING TO SLOW DOWN.  DRIVER OF UNIT 3 STATED THE CAR (UNIT 4) ENDED UP STOPPING AT A 45 DEGREE ANGLE ON THE SHOULDER.  THE DRIVER OF UNIT 3 STATED IT LOOKED LIKE UNIT 4 WAS NOT GOING TO BE ABLE TO STOP IN TIME TO AVOID CRASHING INTO HIM AND THATS WHY HE STOPPED AT AN ANGLE ON THE SHOULDER.  
UNIT 4 DRIVER STATED THAT HE OBSERVED THE VEHICLES "SLOWING" IN THE LANE AND HE STOPPED FOR THEM.  I ASKED ABOUT STOPPING PARTIALLY ON THE SHOULDER AND HE ADMITTED TO GOING PARTIALLY ON THE SHOULDER TO AVOID CRASHING INTO UNIT 3.  UNIT 4 DRIVER STATED THAT HE WAS STRUCK FROM BEHIND AND PUSHED INTO THE SWAMP AREA OFF THE ROAD ON THE SOUTH SIDE OF US-8 WHERE HIS VEHICLE CAME TO REST.  
UNIT 5  DRIVER STATED THAT HE WAS DRIVING EASTBOUND ON US-8 AND THE VEHICLE IN FRONT OF HIM ALL OF A SUDDEN HIT HIS BRAKES AND HE WAS UNABLE TO STOP IN TIME WITH HOW FAST UNIT 4 IN FRONT OF HIM STOPPED.  DRIVER OF UNIT 5 HIT UNIT 4 AND THEN CONTINUED STRAIGHT AND STRUCK THE REAR OF UNIT 3 IN THE LANE OF TRAFFIC.  UNIT 3 THEN STRUCK UNIT 2.  UNIT 2 THEN STRUCK UNIT 1.
UNIT 6 DRIVER STATED THAT SHE OBSERVED UNIT 5 STOP QUICKLY AND THEN HEARD A CRASH.  UNIT 6 STRUCK THE REAR OF UNIT 5 WHERE IT CAME TO REST.  
CHISAGO COUNTY S.O. ASSISTED.  NO MEDICAL / FIRE RESPONDED.  WEATHER CONDITIONS WERE CLEAR AND ROADS WERE DRY.</t>
  </si>
  <si>
    <t>USTH HWY 8 EB/COMFORT LAKE</t>
  </si>
  <si>
    <t>USTH 8 EAST BOUND/ COMFORT LAKE\
V1 AND V2 IN HEAVY, SINGLE LANE TRAFFIC. V2 REAR ENDED V1.
D1 STATED SHE SLOWED FOR HEAVY TRAFFIC AHEAD AND V2 REAR ENDED V1.
D2 STATED HE LOOKED AWAY FROM THE ROAD MOMENTARILY AND REAR ENDED V1.</t>
  </si>
  <si>
    <t>D1 said he was east on USTH 8 when traffic had stopped ahead of him. He wasn't able to slow in time to avoid hitting the car ahead of him so he swerved right and went into right ditch and struck a sign indicating the road curves left. No injuries reported</t>
  </si>
  <si>
    <t>Vehicle with WI license ELGHUND was east bound on Lake Blvd to the west of Pioneer Road when a oncoming truck pulling a trailer past their location going west bound. Driver of vehicle 1 stated that a block of wood flew off the trailer and vehicle 1 struck the wood causing moderate damage to the vehicle. The front drivers tire of the vehicle was pushed inward causing the vehicle to not be drivable. Photos were taken of the vehicle and the 6X6 piece of wood. No injuries were reported. No description could be given of the truck or trailer.</t>
  </si>
  <si>
    <t>Unit 1 is eastbound US 8 approaching Pioneer Rd. Unit 1 experiences brake failure, swerved into ditch and crashes into several trees. Driver injured, but refusing medical, no citations, called for AAA tow, no drugs/alcohol, seat belt yes, airbags deployed.</t>
  </si>
  <si>
    <t>V1 WAS INVOLVED IN COLLISION WITH MAILBOX CRASH ON USTH 8 JUST WEST OF PIONEER RD.
V1 WAS EB ON USTH 8 WHEN V1 HIT MAILBOX ON S SIDE OF USTH 8 AND WENT INTO SOUTH DITCH. D1 SAID HE WAS JUST DRIVING STRAIGHT, NOT DISTRACTED, SLOWING A BIT FOR LIGHT AT PIONEER, WHEN HIS REAR END KICKED OUT.
NO PICS, NO TOWS, NO APPARENT INJURIES.</t>
  </si>
  <si>
    <t>Both units are eastbound US 8 approaching Pioneer Ave. Traffic is backed up due to a red light. Traffic light is not visible from scene of the crash. Unit 2 is stopping for traffic, Unit 1 crashes into the rear of unit 2 because "I looked away for a second". Driver of unit 1 has cuts on left arm. Driver of unit 2 has sore back. Unit 1 towed due to airbag deployment. No citations, no drugs/alcohol, all wearing seat belts.</t>
  </si>
  <si>
    <t>Both vehicles were traveling E/B on Hwy 8 west of Pioneer Road.  Driver of vehicle one said the vehicle in front of her stopped suddenly and she was able to see this and also stop but a distance from this vehicle.  As she was stopped in traffic she was struck from behind by vehicle two.
Driver of vehicle two stated when asked, "I was too close to the car I hit.  Probably going too fast."  Everyone stated that they were not injured bu both vehicle had to be towed.
Damage on vehicle one was to the left rear and to vehicle one was to the right front.</t>
  </si>
  <si>
    <t>Driver 1 stated that she was driving northbound on County road 8 and does not remember what happened. She remembers ending up wrong way after crash. She said that she takes medication for anxiety and took her normal dose today. He had 2 cans of White Claw but was not intoxicated. 
Witness, Jaden Marie Thayer, stated that vehicle 1 was directly in-front of her before the crash. Vehicle was driving normal when suddenly it went into the southbound lanes crashing into vehicle 2 and its trailer with a boat on it. 
Driver 2 stated that he was driving southbound when suddenly he saw vehicle 1 move into his lane. He moved into the shoulder to avoid the crash but vehicle 1 crashed into his vehicle and trailer with a boat on it. 
Driver 1 stated that she had some injuries on her tongue and was checked by medics, then released to family members. Vehicle 1 and tailer with boat where towed away due to damage. Driver 1 was cited.</t>
  </si>
  <si>
    <t>UNIT 1 - UNKNOWN DRIVER - TRAVELING EB ON US-8 APPROACHING PIONEER ROAD.  
UNIT 2 - TRAVELING EB ON US-8.  OBSERVED UNIT 1 TRAVELING BEHIND IT AND TAILGATING AND DRIVING AGGRESSIVELY.  UNIT 2 WAS AT A STOP IN THE LANE TO CONTINUE EB ON US-8 WHEN HE GOT REAR ENDED BY UNIT 1.  THE OCCUPANTS IN UNIT 2 IDENTIFIED THAT THE VEHICLE HAD A FRONT LICENSE PLATE IN THE FRONT WINDSHIELD AND HAD SILVER PUSH BUMPERS.  
UNIT 2 DROVE ONTO THE SHOULDER AND WENT SOUTH ON PIONEER ROAD.  UNIT 2 TURNED AND GOT BEHIND UNIT 1 AND THE PASSENGER IN UNIT 2 WAS ABLE TO TAKE PHOTOS OF UNIT 1.  UNIT 2 OCCUPANTS STATED UNIT 1 SPED WELL OVER THE POSTED SPEED LIMIT AND WAS PASSING UNSAFELY.  PHOTOS WERE SENT TO MYSELF AND LAKES AREA PD. 
LAKES AREA PD LOCATED A VEHICLE THAT MATCHED THE DESCRIPTION.  THE OWNER OF THE SUSPECT VEHICLE HAD A FRONT LICENSE PLATE IN THE WINDSHIELD (SAME AS THE DESCRIPTION), SILVER PUSH BUMPER (SAME AS THE DESCRIPTION), SAME VEHICLE - CHEVROLET SILVERADO, NO REAR LICENSE PLATE (SAME AS THE DESCRIPTION), STICKER ON THE BUMPER (SAME AS THE DESCRIPTION).  THE OWNER OF UNIT 1 CLAIMED THAT HE WASN'T THE ONE DRIVING IT AND IT WASN'T THE SAME VEHICLE AND WASN'T BEING DRIVEN AT ALL.  
THIS VEHICLE WAS THE SAME VEHICLE INVOLVED IN THE CRASH.  THERE WAS DAMAGE ON THE REAR OF UNIT 2 THAT WAS CONSISTENT WITH THE OTHER VEHICLE HAVING PUSH BUMPERS.  
LAKES AREA PD ASSISTED WITH THE CRASH.  UNIT 1 OWNER WAS UNCOOPERATIVE THROUGHOUT THE CRASH.</t>
  </si>
  <si>
    <t>V1 was southbound highway 8, just north of Pioneer Rd. V1 dropped the bike while riding. The driver of V1 said the front wheel got wobbly and he lost control.
The driver of V1 reported minor injuries but was not transported. The bike was towed. No citations were issued in relation to this crash.</t>
  </si>
  <si>
    <t>Vehicle 1 and 2 EB Hwy 8.  Vehicle 1 stopped at red light for intersection at Hwy 8 and Pioneer Drive.  Driver of Vehicle 1 stated that he observed Vehicle 2 not stop and drive directly in to his vehicle.  Driver of Vehicle 2 stated that she was stopped at the stop sign behind Vehicle 1, the light turned green, she thought Vehicle 1 was proceeding, Vehicle 2 proceeded forward and then struck Vehicle 1.  No injuries were reported at the scene.</t>
  </si>
  <si>
    <t>V1 &amp; V2 INVOLVED IN REAR-END CRASH ON USTH 8 AT PIONEER RD.
V1 WAS EB ON HWY 8 WHEN V2 REAR-ENDED V1. D1 SAID HE WAS AT LIGHT, AND D1 DIDTN'T KNOW IF IT WAS STILL RED OR HAD JUST TURNED GREEN, BUT WHILE HE WAS STILL STATIONARY FROM WAITING FOR RED LIGHT HE WAS REAR-ENDED BY V2.
V2 WAS EB ON HWY 8 WHEN V2 REAR-ENDED V1. D2 SAID HE WAS DRIVING EB PRIOR TO CRASH, AND STATED "I KNOW I DOZED OFF". D2 SAID HE WORKS NIGHTS AND HAS A 72 MILE DAILY COMMUTE.
NO PICS, NO TOWS, NO APPARENT INJURIES.</t>
  </si>
  <si>
    <t>Both vehicles are eastbound Hwy 8/ Green Lake Trl. V2 is stopped at the red light. V1 crashes into the rear of V2 for an unknown reason. Driver stated he was going too fast. This does not explain why he didn't see the red light. No injuries, V2 towed by private tow, no airbags, no drugs/alcohol, driver V1 cited Due Care, all wearing seat belts.</t>
  </si>
  <si>
    <t>LAKE BLVD N/GREEN LAKE TRL</t>
  </si>
  <si>
    <t>V1 WAS STOPPED AT THE STOP LIGHT AT LAKE BLVD AND GREEN LAKE TRAIL. D1 STATED THE LIGHT HAD JUST TURNED GREEN AND SHE WAS STARTING TO ACCELERATE WHEN SHE WAS HIT FROM BEHIND BY V2. 
D2 STATED HE WAS SLOWING AND LOOKED AT HIS DOG IN THE CAR AND THOUGHT THAT V1 SLAMMED ON THEIR BRAKES TOO QUICK FOR HIM TO STOP. 
D2 CITED FOR DRIVING AFTER SUSPENSION AND FAIL TO USE TO DUE CARE. 
NO TOWS. NO INJURIES.</t>
  </si>
  <si>
    <t>All vehicles were stopped at a red light. Vehicle 1 was rear ended by an unknown vehicle causing a chain reaction which caused all vehicles to hit each other.</t>
  </si>
  <si>
    <t>PIONEER RD. / LAKE BLVD N</t>
  </si>
  <si>
    <t>4 WAY INTERSECTION AT PIONEER ROAD AND LAKE BLVD.
A BLUE SUV WAS NB TO WB FROM PIONEER ROAD TO LAKE BLVD. GOING THROUGH THE INTERSECTION, WHEN V1 WAS WB ON LAKE BLVD AT A SLOW TO STOP, V1 WAS THEN HIT BY V3 FROM THE REAR AND PUSHED INTO THE INTERSECTION HITTING V2 WHO WAS STOPPED AT THE RED LIGHT FACING EB. V1 THEN SLID INTO THE SW DITCH AT THE INTERSECTION.
V1 NEEDED TO BE TOWED BY DANS TOWING. NO INJURIES REPORTED... V3 STOPPED AT THE SCENE BUT THEN LEFT WITH OUT EXCHANGING INFORMATION WITH ANYONE. 
WITNESS: TOM HAUG (651)278-4259</t>
  </si>
  <si>
    <t>Both units are eastbound US 8 approaching Pioneer Rd. Unit 2 is starting to move at a fresh green light. Unit 1 crashes into the rear of unit 2 for an unknown reason. No injuries, both units towed, no citations, no drugs/alcohol, airbags deploy in unit 1, all wearing seat belts.</t>
  </si>
  <si>
    <t>On 04/17/2020 at approximately 1249 hours I trooper J. Watson responded to a personal injury rollover crash on Hwy 8 and Pioneer Road.  Upon arrival I saw a work van on it's passenger side and a Chevrolet Cruze with significant front end damage.  I was given the driver's license's for both drivers including a witness.
I later spoke with the witness Michael Weckman who stated he had been directly behind the Cruze as they were heading E/B on Hwy 8.  Weckman said the driver had not been erratic in her driving behavior at all, nor speeding prior to the crash.  As they approached the intersection for Pioneer the signal light was red and the driver of the Cruze never slowed, or touched her brakes as she entered the intersection and stuck the left rear of the Ford Van.  This caused the van to roll and the Cruze to rotate to the left.
I spoke with the driver of the Cruze, Andrea Barabas and she told me, "It was my fault I was spaced .   I wasn't paying attention. I was just driving."  Barabas admitted to talking on her phone but in the hands free mode.  Wen asked if that was the cause of her spacing out she adamantly denied that was the cause.  She also admitted that she went through the red light several times and that she was so sorry.  Barabas had an abrasion on her right lower leg that was turning colors and she denied medical attention at the scene.
I then spoke to Driver of the Ford van, Micheal Lamere.  He stated he was N/B on Pioneer with the green light and was slowing since the vehicle in front of him was making a left turn.  He was then struck in the left rear of his van and his van did a slow over turn according to him.  Lamere had to be extricated by non-mechanical means due to the position of the van.  When asked Lamere had a sore back and he too declined medical treatment at the scene.
Photos were taken at the scene and turned into District 2400.</t>
  </si>
  <si>
    <t>Both vehicles were traveling WB on Hwy 8 at Pioneer Road.  Driver of vehicle one stated she was the second vehicle back from the red light and was almost at a stop when she looked in her rear view mirror.  Driver one stated she saw driver two's face in a wide grimace like "Oh shit" and she was struck from behind.  
Driver two stated he was traveling WB on Hwy 8 and told the trooper "I was going too fast and I hit her on accident."  
No injuries reported and no tows were needed.</t>
  </si>
  <si>
    <t>THERE WAS ROAD CONSTRUCTION BEING DONE ON CO.23. THE ROAD CONSTRUCTION ON CO.23 EFFECTED TRAFFIC ON US8 DUE TO VEHICLES NOT BEING ABLE TO TURN ONTO CO.23 UNTIL THE GUIDE VEHICLE TOOK TRAFFIC THROUGH THE CONSTRUCTION. THERE WERE WARNING SIGNS OUT ON US8 NOTIFYING DRIVER'S THAT THERE WAS ROADWORK AHEAD. THERE WAS ALSO A WARNING SIGN OUT INDICATING A FLAG PERSON WAS AHEAD AS YOU APPROACHED THE WORK ZONE AT US8 AND CO.23. IT WAS DARK OUT AND THE LIGHTING AT THE INTERSECTION OF US8 AND CO.23 HAD MINIMAL STREET LIGHTING.
D1 EXPLAINED SHE WAS WEST ON US8. AS D1 APPROACHED THE INTERSECTION OF US8 AND CO.23 SHE STATED THE TRAFFIC SIGNAL FOR WESTBOUND TRAFFIC WAS GREEN. AS D1 GOT CLOSER TO THE INTERSECTION SHE SAW SOMEONE STANDING IN THE INTERSECTION OF US8 AND CO.23. D1 WASN'T EXPECTING SOMEONE TO BE STANDING IN THE ROADWAY SO SHE BRAKED SUDDENLY TO AVOID HITTING THE PERSON IN THE ROADWAY. AS D1 SLOWED V1 WAS REAR ENDED BY V2.
 D2 EXPLAINED THAT V1 SLOWED UNEXPECTEDLY. D2 "SLAMMED ON THE BRAKES" BUT WAS UNABLE TO STOP IN TIME, V2 REAR ENDED V1.
THE PERSON STANDING IN THE ROADWAY AT US8 AND CO.23 WAS THE FLAG PERSON. ALL OF THE CONSTRUCTION WORKERS WERE WEARING HIGH VISIBILITY GARMENTS. IT IS UNCLEAR WHERE EXACTLY THE FLAG PERSON WAS STANDING AS V1 APPROACHED THE INTERSECTION.
D1 NO REPORTED INJURIES.
D2 AND PASSENGER WERE TRANSPORTED BY AMBULANCE TO FAIRVIEW LAKES HOSPITAL FOR MINOR INJURIES.</t>
  </si>
  <si>
    <t>Vehicle 1 NB Pioneer making left turn to WB USTH 8 on a green light.  Vehicle 2 EB USTH 8.  Driver of Vehicle 2 admitted to driving through the red light for EB USTH 8.  Vehicle 2 struck Vehicle 1 in the EB lane of USTH 8.  No injuries were reported at the scene.</t>
  </si>
  <si>
    <t>Vehicle number one traveling north bound on Lake Blvd approaching the intersection with Green Lake Trail prior to the crash. Upon reaching the above mentioned intersection the driver of vehicle number one advised she thought she had the green light and made the right hand turn onto Green Lake trail (east bound) without stopping. Upon committing to the turn vehicle number one turned into vehicle number two which had also been in the intersection attempting to go east bound on Green Lake Trail.
Vehicle number two had been stopped for a traffic light on Lake Blvd at the intersection with Green Lake Trail, facing south bound waiting to make a left had turn onto Green Lake Trail east bound prior to the crash. The driver of Vehicle number two advised that when he received the green turn arrow he proceeded into the intersection and was struck by vehicle number one.
No injuries being reported and both vehicles were able to be driven away from the scene.</t>
  </si>
  <si>
    <t>Both Vehicle 1 and Bicycle NB CSAH 23 at intersection with USTH 8.  According to driver of Vehicle 1 and witness, Vehicle 1 slowly proceeded NB on green light and attempted to make a right turn on to EB USTH 8.  As Vehicle 1 was doing so, the Bicycle drove NB CSAH 23 and struck Vehicle 1 on the passenger side.  The Bicycle kept sustained contact with Vehicle 1 until reaching the rear/trunk area of the Vehicle 1 at which time both bicyclist and bicycle proceeded over the trunk, flipping on to the pavement.  Both bicyclist and bicycle came to final rest in the EB lane of USTH 8.  Bicyclist was not wearing a helmet or any other protective equipment at the time of the crash.  Initially the Bicyclist was breathing, but unresponsive and was not identifiable as there was no identification on her person.  Bicyclist was transported from scene by ground EMS to Regions Hospital in St. Paul.  Bicyclist was later identified by Lakes Area PD officer and again by husband that later came to the scene.
*Updated 10/29/21 0600 - 2400 Dispatch advised that Bicyclist died as a result of injuries sustained from crash at 1702 on 10/28/21 at Regions Hospital.
* Updated 10/31/21 1500 - After viewing the traffic camera video footage of the crash it is necessary to amend the report to more accurately reflect what occurred.  Bicycle NB CSAH 23 at intersection with USTH 8.  Video showed that the Bicycle entered the intersection within the vicinity of the crosswalk.  Vehicle 1 then proceeded to enter the intersection NB CSAH 23 coming up from behind the Bicycle.  Vehicle 1 passed the Bicycyle and made a right turn to EB USTH 8, directly in front of the Bicycle.  The collision occurred in the EB lane of USTH 8.  After being struck, the Bicycle and Bicyclist did not proceed over the trunk of Vehicle 1 as initially reported.  The Bicycle and Bicyclist went directly down on the pavement coming to rest in the EB lane of USTH 8.   Bicyclist was not wearing a helmet or any other protective equipment at the time of the crash.  Initially the Bicyclist was breathing, but unresponsive and was not identifiable as there was no identification on her person.  Bicyclist was transported from scene by ground EMS to Regions Hospital in St. Paul.  Bicyclist was later identified by Lakes Area PD officer and again by husband that later came to the scene.</t>
  </si>
  <si>
    <t>V1 was south on CSAH 23 with the right of way and green semaphore for him. V1 was approaching USTH 8 to cross it. V2, who was north on CSAH 23, turned onto west USTH 8 in front of V1. Both vehicles struck in intersection. D2 said she didn't see V1 until last minute. There are no obstructions at this location. Both vehicles were on CSAH 23 when I arrived. No injuries reported.</t>
  </si>
  <si>
    <t>V1 was west on USTH 8 and lost control on icy road after a fresh snow. V1 went across eastbound lane then rolled into the ditch on eastbound side of highway. No injuries reported.</t>
  </si>
  <si>
    <t>V1 was west on USTH 8 and lost control on icy road after a fresh snowfall. V1 then went into right ditch and rolled onto its left side. No injuries reported.</t>
  </si>
  <si>
    <t>Vehicle 1 was traveling eastbound Lake Blvd east of Green Lake Trl. It was actively snowing and the roadways were snow covered.  The driver noted a pickup across the lane of travel which she took action to avoid.  This caused vehicle 1 to spin in the roadway and then ran off the roadway to the left.  While leaving the roadway, vehicle 1 hit a metal post in the ditch which caused damage to the rear driver's side fender.</t>
  </si>
  <si>
    <t>VEHICLE 1 WESTBOUND HWY 8. 
VEHICLE 2 EASTBOUND HWY 8.
VEHICLE 1 MOVED INTO THE EASTBOUND LANE TO PASS A LINE OF CARS. VEHICLE 1 WAS COMING HEAD ON TOWARD VEHICLE 2. VEHICLE 2 BEGAN TO SLOW DOWN. VEHICLE 1 ATTEMPTED TO GO BACK INTO THE WESTBOUND LANE BUT LOST CONTROL OF HIS VEHICLE AND SLID SIDEWAYS. VEHICLE 1 AND VEHICLE 2 COLLIDED IN THE EASTBOUND LANE. VEHICLE 1 SPLIT IN HALF AND THE FRONT HALF OF THE VEHICLE (TO INCLUDE THE DRIVER) FLIPPED OVER ONTO ITS ROOF AND SLID INTO THE RIGHT DITCH. THE BACK HALF OF THE CAR FLEW INTO A FARMERS FIELD AND CAME TO FINAL REST APPROXIMATELY 100 FEET FROM THE FRONT HALF OF THE VEHICLE.</t>
  </si>
  <si>
    <t>UNIT 1 - WB US-8 APPROACHING GROUP OF CARS STOPPED IN WB LANES TO TRAFFIC TURNING TO GO SOUTH ON A ROAD.  
UNIT 2 - WAS VEHICLE IN FRONT OF UNIT 1.  UNIT 2 WAS STOPPED IN THE GROUP OF CARS WAITING FOR A CAR TO TURN.  UNIT 1 CLAIMED THAT HE SAW UNIT 2 IN FRONT OF HIM NOW STOPPED AND HE SLAMMED ON HIS BRAKES.  UNIT 1 SKIDDED INTO THE REAR OF UNIT 2 CAUSING THE DRIVER OF UNIT 2 TO SLIDE OFF OF THE BIKE.  THE DRIVER ADMITTED TO NOT SEEING TRAFFIC UNTIL IT WAS TOO LATE.  WAS UNSURE WHY.  
UNIT 2 DRIVER CLAIMED THAT HE COULD SEE UNIT 1 COMING UP BEHIND HIM AS HE WAS STOPPED AND IT LOOKED AS THOUGH HE WAS NOT GOING TO BE ABLE TO STOP IN TIME AND WOULD HIT HIM.  
LAKES AREA, CHISAGO COUNTY, AND WYOMIND PD ASSISTED.</t>
  </si>
  <si>
    <t>LAKE BLVD N/270TH ST.</t>
  </si>
  <si>
    <t>V1 WAS WB HWY 8 AT 270TH ST ATTEMPTING TO MAKE A LEFT TURN AND WAS SIDE SWIPED AND PUSHED INTO THE SOUTH DITCH FROM V2. 
V2 WAS WB HWY 8 AT 270TH ST AND STATED SHE WAS PASSING V1 IN THE "BYPASS LANE" WHICH WAS A RIGHT TURN ONLY TURN, AND SIDE SWIPED V1. 
BOTH TOWED BY DANS TOWING.
V2 HAD HER 4 YEAR OLD AND 11 YEAR OLD SON IN THE VEHICLE AND ALL THREE WERE ASSESSED ON SCENE BY EMS AND CLEARED AND NOT TRANSPORTED.</t>
  </si>
  <si>
    <t>CRASH LOCATION- US HIGHWAY 8 AT 270TH ST. VEHICLE#1 WAS EAST BOUND US HIGHWAY 8. VEHICLE#2 WAS ALSO EAST BOUND US HIGHWAY 8 BEHIND VEHICLE#1. VEHICLE#1 WAS STOPPED WAITING FOR ONCOMING TRAFFIC TO MAKE A LEFT HAND TURN TO GO WEST ON 270TH STREET. A VEHICLE IN FRONT OF VEHICLE#2 PASSED VEHICLE#1 ON THE SHOULDER. VEHICLE#2 REAR ENDED VEHICLE#1.VEHICLE#2 DID NOT SEE VEHICLE#1 UNTIL THE LAST MINUTE. VEHICLE#3 WAS WEST BOUND US HIGHWAY 8. VEHICLE#3 SWERVED TO THE RIGHT TO AVOID THE CRASH BETWEEN VEHICLE#1 AND VEHICLE#2. VEHICLE#3 WENT OFF THE ROADWAY RIGHT HITTING A GUIDE WIRE ON A TELEPHONE POLE. DRIVER AND PASSENGER OF VEHICLE#1 REPORTED POSSIBLE INJURIES AND DECLINED MEDICAL ATTENTION. DRIVER AND PASSENGER OF VEHICLE#2 HAD POSSIBLE INJURIES AND WENT TO THE HOSPITAL VIA PRIVATE PARTY. DRIVER OF VEHICLE#3 REPORTED NO INJURIES. ALL VEHICLES WERE TOWED BY DANS TOWING.</t>
  </si>
  <si>
    <t>LAKE BLVD N/HEATH AVE.</t>
  </si>
  <si>
    <t>V1 WAS WB HWY 8 AT HEATH AVE. D2 STATED SHE WAS DIRECTLY BEHIND V1, STATED THE SUN WAS IN HER EYES AND DIDNT SEE V1 UNTIL SHE HIT HIM. 
NO TOWS. NO INJURIES. D1 STATED HIS NECK WAS SORE.</t>
  </si>
  <si>
    <t>VEHICLE 1 EASTBOUND HWY 8. 
VEHICLE 2 WESTBOUND HWY 8. 
MNDOT IN THE AREA WORKING ON THE SHOULDERS OF THE ROADWAY. MNDOT HAD FLAGGERS ON EITHER SIDE OF THE WORK ZONE AREA. VEHICLE 1 CAME UP TO A LINE OF CARS WAITING FOR THE FLAGGER WHO HAD A STOP SIGN PRESENT. 
VEHICLE 2 WAS FOLLOWING A PILOT VEHICLE THROUGH THE WORK ZONE. 
VEHICLE 1 MOVED TO THE RIGHT SHOULDER AND BEGAN TO MAKE A U TURN TO GO BACK WESTBOUND ON HWY 8. 
VEHICLE 1 DID THIS JUST AS THE PILOT VEHICLE MOVED TO THE RIGHT SHOULDER TO LET TRAFFIC GO. V1 MADE THE U TURN DIRECTLY INTO THE PATH OF ONCOMING VEHICLE 2.</t>
  </si>
  <si>
    <t>All of these vehicles were traveling east on USTH 8 near Iris Ave. All three vehicles struck a bear that had wandered onto the roadway. V#3 rolled over as a result of attempting to avoid the bear in the roadway.
V#2 and V#3 were towed.
No photos, no citations, no injuries.</t>
  </si>
  <si>
    <t>Driver of vehicle one stated she had been on 273rd street and pulled out and went W/B on Hwy 8.  Driver one said she had heavy exhaust coming from her vehicle as she was accelerating at 45 mph due to the cold weather when she was struck from behind by vehicle two.
Driver two stated he was traveling W/B on Hwy 8 when he saw a cloud of smoke in front of him.  He never saw a vehicle pull out and he didn't slow down his vehicle when he saw the cloud of smoke he just kept traveling at the same speed.  He then rear ended vehicle one.  He said he didn't feel he did anything wrong since he wasn't speeding.  
No injuries and both drivers arranged for their own vehicles to be removed from Reflection parking lot.</t>
  </si>
  <si>
    <t>UNIT 1 - GRAVES - EASTBOUND US-8.
UNIT 2 - VANDEVEER - WESTBOUND US-8.
WITNESS 1 - JOHNSON - EASTBOUND US-8 TRAVELING DIRECTLY BEHIND UNIT 1.
WITNESS 2 - BANWARTH - WAS TRAVELING WESTBOUND US-8 DIRECTLY IN FRONT OF VANDEVEER.  
JOHNSON OBSERVED THAT UNIT 1 HAD BEEN WEAVING OVER THE FOG LINE APPROXIMATELY FOUR TIMES AND THEN CROSSED OVER THE CENTER LINE CAUSING IT TO CRASH INTO UNIT 2 TRAVELING WESTBOUND.  
BANWARTH WAS TRAVELING IN FRONT OF VANDEVEER AND OBSERVED UNIT 1 TRAVELING OVER THE CENTER LINE OVER HALF OF THE TRUCK WIDTH TOWARDS HIM.  BANWARTH STEERED TO THE RIGHT TO AVOID THE CRASH WITH UNIT 1 AND WITNESSED UNIT 1 CRASH INTO UNIT 2.  
JOHNSON STATED THAT SHE HAD OVERHEARD GRAVES SAY THAT HE THINKS HE FELL ASLEEP.  UPON MY ARRIVAL OF THE CRASH I SPOKE WITH GRAVES WHO ALSO STATED THAT HE THOUGHT THAT HE FELL ASLEEP.  
I OBSERVED THERE WAS DEBRIS SCATTERED THROUGHOUT US-8 AND OBSERVED THE INITIAL POINT OF IMPACT WAS IN THE WESTBOUND LANES OF US-8.  A CRASH RECONSTRUCTION WAS CONDUCTED THAT NIGHT.  
WEATHER CONDITIONS WERE APPROXIMATELY 1 DEGREE WITH LIGHT WIND.  ROAD CONDITIONS WERE DRY.</t>
  </si>
  <si>
    <t>BOTH VEHICLES WERE WESTBOUND ON USTH 8. VEHICLE 1 WAS SLOWING TO TURN LEFT ON 273RD AVE. VEHICLE 2 STATED SHE DID NOT HAVE ENOUGH REACTION TIME AND REAR ENDED VEHICLE 1. EMS CLEARED BOTH DRIVERS WITH MINOR NON LIFE THREATENING INJURIES. BOTH VEHICLES WERE TOWED BY DANS TOWING.</t>
  </si>
  <si>
    <t>V#1 was WB Hwy 8.  V#1 was going too fast for the Icy, slippery conditions and lost control crossing the lanes of traffic going into the SB ditch rolling on its side.  
3 pass all in seatbelts. no inj, no pics, Dan's tow
cloudy, very light snow, icy roads, 29 degrees</t>
  </si>
  <si>
    <t>VEHICLE 1 AND VEHICLE 2 WESTBOUND HWY 8 JUST EAST OF 275TH ST. 
VEHICLE 1 SLOWING DOWN FOR A LINE OF TRAFFIC AHEAD OF HIM THAT WAS STOPPED OR SLOW FOR A CAR MAKING A LEFT TURN ONTO 275TH. 
VEHICLE 1 SAID HE HEARD VEHICLE 2 COMING UP FROM BEHIND HIM SO HE LET OFF THE BRAKES AND COASTED AHEAD TO GIVE VEHICLE 2 TIME TO STOP BEFORE BEING HIT BY VEHICLE 2. 
VEHICLE 2 CRASHED INTO THE REAR OF VEHICLE 1. 
DRIVER OF VEHICLE 1 SAID THE ROADWAY WAS MOSTLY DRY. 
DRIVER OF VEHICLE 2 SAID THE ROADWAY WAS WET AND HIS VEHICLE SLID INTO VEHICLE 1 DUE TO BAD TREAD ON TIRES. THE TIRES LOOKED GOOD TO MY EYE WITH PLENTY OF TREAD DEPTH.</t>
  </si>
  <si>
    <t>273 RD ST</t>
  </si>
  <si>
    <t>Both vehicles were west on USTH 8. V1 was slowing to turn south onto 273rd St. D2 was behind V1 and didn't notice that it was slowing to turn then struck rear of V1.  There is a bypass lane for west bound traffic to use in cases like this. No injuries reported.</t>
  </si>
  <si>
    <t>Driver traveling WB Lake Blvd approaching the intersection with 276th Street prior to crash. Upon nearing the intersection a deer ran out of the west ditch and into the traffic lane. Driver was unable to avoid the animal. Upon striking the animal a portion of the animal smashed out the drivers side of the windshield and entered the passenger compartment. No injuries reported</t>
  </si>
  <si>
    <t>LAKE BLVD/VIKING BLVD</t>
  </si>
  <si>
    <t>V1 WAS EAST BOUND ON HIGHWAY 8 JUST PAST VIKING BLVD. V1 WAS HIT HEAD ON IN THE EAST BOUND LANE BY V2. 
D2 WAS ARRESTED ON DWI-CVO- WARRANT OBTAINED FOR LEGAL BLOOD DRAW. 
D1 WAS TRANSPORTED TO HOSPITAL FOR INJURIES, AND D2 WAS TRANSPORTED TO HOSPITAL FOR INJURIES.
BOTH VEHICLES TOWED BY DANS TOWING</t>
  </si>
  <si>
    <t>Vehicle 1 was west bound on Lake Blvd. Vehicle 1 lost control on the icy roadway due to freezing rain. Vehicle 1 fish tailed and crossed over center line. Vehicle 1 struck vehicle 2 on the drivers side with vehicle 1's rear drivers side. Vehicle 1 then went off the roadway and into the ditch on the north or right side of Lake Blvd. No injuries reported. Vehicle 2 was able to come to a stop on the shoulder of east bound lake blvd.</t>
  </si>
  <si>
    <t>LAKE BLVD/DEER GARDEN LN.</t>
  </si>
  <si>
    <t>EB HWY 8 (LAKE BLVD) AT DEER GARDEN LANE
D1 STATED HE STARTED TO FEEL DIZZY AND THEN BLACK OUT.. RAN OFF THE ROAD TO THE RIGHT SIDE, DOWN THE DITCH AND INTO TREES. 
TRANSPORTED TO HOSPITAL VIA AMBULANCE AND VEHICLE TOWED BY DANS TOWING.</t>
  </si>
  <si>
    <t>GARDEN</t>
  </si>
  <si>
    <t>Vehicle 1 EB USTH 8.  Vehicle 1 lost control on poor road conditions.  Vehicle 1 slid across the WB lane of USTH 8 and collided with a light pole, knocking it over.  No injuries were reported at the scene.</t>
  </si>
  <si>
    <t>Vehicle 1 WB USTH 8.  Vehicle 1 lost control on poor road conditions and ran of the road to the right.  Upon entering the ditch, Vehicle 1 rolled on to its side.  No injuries were reported at the scene.</t>
  </si>
  <si>
    <t>Vehicle 1 EB USTH 8.  Vehicle 1 lost control on poor road conditions.  Vehicle 1 began to slide, striking the guard rail.  Vehicle 1 was able to drive out of the roadway on its own and park in a business parking lot.  No injuries were reported at the scene.</t>
  </si>
  <si>
    <t>Vehicle 1 WB USTH 8.  Vehicle 1 lost control on poor road conditions.  Vehicle 1 slid across the EB lane of USTH 8 and struck the guard rail.  Vehicle 1 then proceeded to slide across the WB lane of USTH 8 and in to the ditch on the N side of the roadway. No injuries were reported at the scene.</t>
  </si>
  <si>
    <t>VEHICLE 1 WESTBOUND HWY 8. 
VEHICLE 2 EASTBOUND HWY 8. 
VEHICLE 1 SPUN OUT ON THE SLIPPERY ROADWAY, CROSSED OVER THE CENTER STRIPE AND CRASHED INTO ONCOMING VEHICLE 2. 
VEHICLE 2 SAW VEHICLE 1 SPIN OUT AND ATTEMPTED TO MOVE OUT OF THE PATH OF VEHICLE 1 BUT COULD NOT AS VEHICLE 1 CRASHED INTO VEHICLE 2. VEHICLE 2 THEN PUSHED DOWN INTO SOME TREES. ALONG THE RIGHT EASTBOUND DITCH. THE TREES STOPPED VEHICLE 2 FROM GOING INTO A LAKE. 
DRIVER OF VEHICLE 1 WAS CITED FOR DRIVING AFTER REVOCATION.</t>
  </si>
  <si>
    <t>LAKE BLVD/SHOQUIST LANE</t>
  </si>
  <si>
    <t>EB HWY 8 JUST PRIOR TO SHOQUIST AVE.
V1 AND V2 WAS STOPPED IN EAST BOUND HIGHWAY 8 TRAFFIC, V3 REARENDED V2, V2 THEN REARENDED V1. 
V3 WAS TOWED BY LEAFS TOWING 
V2 HAD DANS TOWING HELP REMOVE BUMPER FROM HITTING TIRES ON THE BACK PRIOR TO DRIVING. 
V1 NO TOWS.
D2 STATED HIS BACK WAS SORE, BUT DECLINED AMBULANCE SERVICE. 
D3 STATED SHE WAS SPEAKING WITH THE PASSENGER, AND WHEN SHE LOOKED UP, SHE WAS UNABLE TO STOP IN TIME. SHE STATED SHE DOESNT KNOW WHAT HAPPENED.</t>
  </si>
  <si>
    <t>Vehicle 1 WB USTH 8, W of Greenway Ave.  Vehicle 1 lost control on poor road conditions, slid across EB lane of USTH 8 and entered the ditch on the S side of the roadway.  Upon entering the ditch, Vehicle 1 struck a reflector sign.  No injuries were reported at the scene.</t>
  </si>
  <si>
    <t>Dry road conditions, traffic backup on eastbound lane due to prior crash at Hwy 8 and Greenway Ave. 
Both Units eastbound in the traffic back up on Hwy 8. Unit 2 was directly in front of Unit 1. Driver of Unit 2 stated he was at a complete stop in the backup. Unit 1 failed to stop for Unit 2 as it was slowly approaching from the rear. Unit 1 hit Unit 2 front to rear. Driver of Unit 1 stated he was trying to look ahead to see what the backup was from when he hit Unit 2. 
Unit 1 had moderate damage to the front end and front airbag deployment. Not towed.
Unit 2 had moderate damage to the rear end. Not towed.</t>
  </si>
  <si>
    <t>Vehicle 1 WB USTH 8, west of Greenway Ave.  Driver of Vehicle 1 stated that he didn't know what happened, that he may have "hit black ice", but lost control on poor conditions and went off the road to the right.  Upon entering the ditch, Vehicle 1 struck a MPH sign and bent one of the standard posts.  No injuries were reported at the scene.</t>
  </si>
  <si>
    <t>UNIT 1 - TRAVELING EASTBOUND ON US-8.  CLAIMED TO BE ONLY GOING 15 MPH.   
UNIT 2 - ADMITTED TO JUST GETTING THE GREEN FOR EASTBOUND US-8 BUT TRAFFIC WAS CRAWLING FORWARD ONLY A FEW MILES AN HOUR.  UNIT 2 AHEAD OF UNIT 1.  
UNIT 3 - ADMITTED TO ALSO BEING EASTBOUND ON US-8.   UNIT 3 ALSO CONFIRMED THAT TRAFFIC FOR US-8 HAD JUST TURNED GREEN AND TRAFFIC WAS CRAWLING FORWARD SLOWLY.  
UNIT 1 DRIVER CLAIMED THAT TRAFFIC AHEAD OF HIM HAD SLAMMED ON THEIR BRAKES.  UNIT 1 UNABLE TO STOP IN TIME.  UNIT 1 STRUCK UNIT 2.  UNIT 2 ATTEMPTED TO STEER TO THE RIGHT TO AVOID THE CRASH.  UNIT 2 WAS THEN PUSHED FORWARD INTO UNIT 3.  UNIT 3 WAS DAMAGED ON THE RIGHT SIDE OF THE TRAILER AND COSMETIC DAMAGE TO THE BOAT.  
UNIT 3 DRIVER STATED THAT UNIT 1 WAS TRAVELING EXTREMELY FAST GIVEN THAT TRAFFIC WAS NEARLY STOPPED.  
WYOMING PD ASSISTED WITH TEH CRASH.  NO FIRE RESPONDED.  MEDICAL ARRIVED ON SCENE BUT THERE WERE NO INJURIES REPORTED BY ANY OF THE PARTIES INVOLVED IN THE CRASH.  
UNIT 1 DRIVER WAS CITED FOR DUTY TO DRIVE WITH DUE CARE, DRIVING AFTER REVOCATION, AND NO INSURANCE (DRIVER).</t>
  </si>
  <si>
    <t>Vehicle 1 EB USTH 8.  Vehicle 1 lost control and drove in to ditch on right side of roadway.  Upon entering the ditch, Vehicle 1 struck a road sign.  Vehicle was abandoned and unoccupied.  Custody tow on Vehicle 1.</t>
  </si>
  <si>
    <t>Unit 1 is leaving a business on the south side of US 8. Unit 1 turned right onto US 8 and his foot got stuck under the accelerator and he spun out crashing into a sign on the westbound ditch. No injuries, no tows, no citations, no drugs/alcohol, no airbags, not equipped with seat belt.</t>
  </si>
  <si>
    <t>BOTH VEHICLES WERE EASTBOUND ON USTH 8. VEHICLE 1 WAS TURNING LEFT INTO 71112 USTH 8. VEHICLE 2 STATED THERE WERE FIVE OTHER VEHICLES AHEAD STOPPED AND WENT TO PASS ON THE LEFT IN THE WESTBOUND LANE WHICH WAS CLEAR. THE DRIVER OF VEHICLE 2 STATED HE DID NOT SEE A TURN SIGNAL ON VEHICLE 1. THE VEHICLES CRASHED IN THE WESTBOUND LANE. BOTH VEHICLES WERE TOWED BY DANS TOWING. NO INJURIES WERE REPORTED.</t>
  </si>
  <si>
    <t>Light rain fall with slightly wet roadways.
Unit 1 eastbound on Hwy 8 beginning left hand turn for Hazel Ave. Unit 2 westbound on Hwy 8 approaching Hazel Ave. Unit 1 failed to yield the right away and made the left hand turn directly in front of Unit 2. Unit 2 hit then hit Unit 1 at an angle with its front end impacting directly behind the rear passengers side door. Unit 1 did a 180 due to the impact and struck a stop sign before it came to a rest facing south on the west side of Hazel Ave. Unit 2 came to a rest on the north side of Hwy 8 roughly 150 ft from the point of impact. Unit 1 had severe disabling damage to the passengers side. Unit 2 had severe disabling damage to the front end with combination airbag deployment. Driver and Passenger 1 of Unit 2 were evaluated for suspected minor injuries at the scene of the crash. They were not transported.
Driver of Unit 2 stated she had no time to react when Unit 1 pulled in front of her to make the left hand turn. Driver of Unit 1 stated that she had to make the left hand turn due to traffic that was behind her, and about to rear-end her. Driver of Unit 1 was advised she still needed to yield the right of way when making a left hand turn across a traffic lane. Driver of Unit 1 was issued a citation at the scene for Failure to Yield Right Away(Making Left Turn) .</t>
  </si>
  <si>
    <t>CRASH LOCATION- US HIGHWAY 8 AT HAZEL AVE N. VEHICLE#1 WAS EAST BOUND US HIGHWAY 8. VEHICLE#2 WAS TRAVELING WEST BOUND US HIGHWAY 8. VEHICLE#3 WAS ALSO TRAVELING WEST BOUND US HIGHWAY 8. VEHICLE#1 BEGAN TO PASS MULTIPLE VEHICLES. VEHICLE#1 LOST CONTROL AND TRAVELED INTO ONCOMING TRAFFIC CRASHING HEAD ON INTO VEHICLE#2. VEHICLE#2 THEN WENT OFF ROAD RIGHT. VEHICLE#1 SPUN AROUND AND THE BACK END OF VEHICLE#1 CRASHED INTO THE FRONT OF VEHICLE#3. DRIVER OF VEHICLE#2 HAD MODERATE INJURIES AND WAS TRANSPORTED TO FAIRVIEW M HEALTH IN WYOMING BY M HEALTH AMBULANCE. DRIVER OF VEHICLE#3 REPORTED POSSIBLE INJURIES BUT WAS NOT TRANSPORTED. NO OTHER INJURIES REPORTED. DANS TOWING TOWED VEHICLE#1 AND VEHICLE#2. CRASH WAS CAUGHT ON MNDOT TRAFFIC CAMERAS.</t>
  </si>
  <si>
    <t>250TH ST</t>
  </si>
  <si>
    <t>Both vehicles were west on USTH 8. D2 was ahead of V1 and claimed V1 was tailgating him so he hit the brakes. V2 then slid sideways. V1 veered to the right shoulder to avoid V2. V2 then drove into V1 either on purpose or momentum took V2 towards V1. V2 right center struck left front of V1 and both went into right ditch.
Passenger in V1 was checked by medics on scene but not transported.
D2 was cited for careless driving. D2 current address: 546 Nelson Ct, Center City, MN 55012</t>
  </si>
  <si>
    <t>THE DRIVER OF VEHICLE 2 WAS OPERATING A FULLY MARKED WYOMING PD SQUAD CAR ON USTH 8 AND CONDUCTED A TRAFFIC STOP NEAR HEATH AVE IN THE CITY OF WYOMING. THE WYOMING POLICE OFFICER CONDUCTED A TRAFFIC STOP ON VEHICLE 1. THE DRIVER OF VEHICLE 1 PULLED OVER TO THE RIGHT SHOULDER AND THOUGHT HE PUT THE VEHICLE IN PARK, BUT IT WAS NOT AND ROLLED BACK INTO VEHICLE 2. NO INJURIES WERE REPORTED. MINOR DAMAGE OCCURRED TO BOTH VEHICLES. NO VEHICLES WERE TOWED.</t>
  </si>
  <si>
    <t>PIONEER AVE</t>
  </si>
  <si>
    <t>V2 AND V1 EASTBOUND HWY 8 ABOUT TO CROSS OVER THE BRIDGE AT LAKE COMFORT. 
V2 WAS OFF THE GAS AND ENGINE BRAKING, THEN SAID SHE MAY HAVE TAPPED THE BRAKES FOR VEHICLES AHEAD OF HER. 
V1 SAID HE RAN INTO THE BACK OF VEHICLE 2.</t>
  </si>
  <si>
    <t>CRASH LOCATION- US HIGHWAY 8 EAST BOUND MILE POST 4. VEHICLE#1 WAS EAST BOUND US HIGHWAY 8 SLOWING FOR TRAFFIC AHEAD. VEHICLE#2 WAS EAST BOUND US HIGHWAY 8 BEHIND VEHICLE#1 SLOWING FOR TRAFFIC AHEAD. VEHICLE#3 WAS EAST BOUND US HIGHWAY 8 BEHIND VEHICLE#2. VEHICLE#3 REAR ENDED VEHICLE#2. VEHICLE#2 WAS PUSHED INTO VEHICLE#1. NO INJURIES REPORTED, NO TOWS.</t>
  </si>
  <si>
    <t>Both vehicles were east on USTH 8. V1 was stopped in a line of traffic at red light at CSAH 23. The light had turned green but traffic hadn't started yet. D2 said she thought V1 was starting but misjudged that and tried to veer right but struck right rear of V1. D1 was thrown from the motorcycle and it landed on his leg. No injuries reported.
D2 was cited for fail to use due care.</t>
  </si>
  <si>
    <t>GREEN LAKE TRL</t>
  </si>
  <si>
    <t>On 12/21/2022, at approximaltey 1106 hrs, I, Officer Baumann, was dispatched to a property damage crash at the intersection of Lake Blvd and Pioneer Rd. Dispatch advised they transferred the complainant, Janna Lynn Swenson (DOB: 07/23/1983), to MN State Patrol, but she called back and requested the other driver get checked on as he was stuck in the snowbank. Jana advised she left after talking to MN State Patrol. I responded and met with the other driver, who had been pulled out of the snowbank by a passerby.
The driver identified himself as Carson Thomas Minnichsoffer (DOB: 03/19/2003). Carson told me he was not injured and believed his vehicle was drivable. Carson told me he had not spoken with MN State Patrol, but did exchange information with Jana. Carson showed me photos of Jana's insurance and he provided me his DL and insurance information. Carson was driving a 2008 Silver Chevrolet Impala with MN license plates 9NE858. Carson's vehicle was insured through State Farm and had the policy number 427 9996-E03-23. Carson told me he was EB on Lake Blvd and went into the right turn lane to turn onto Green Lake Trl. Carson told me Jana was stopped in front of him at the red light and he slid into the back of her vehicle. Carson's vehicle had damage to the front driver's headlight area. I photographed his vehicle.
I then called Jana and spoke with her over the phone. Jana told me she was not injured and told me she was in the right turn lane to turn onto Green Lake Trl from Lake Blvd and was stopped for the light. Jana told me Carson rear ended her and her rear bumper was now hanging loose. Jana told me it looked like it was going to fall off. Jana told me she spoke with MN State Patrol who told her a trooper was over two hours out. Jana told me State Patrol Dispatch told her she could leave since they exchanged information. I advised Jana I would write the crash report as I was there already. Jana told me she was driving a 2019 Silver Toyota Highlander with MN license plates EZA673. Jana's vehicle was insured through State Farm with the policy number 445 3560-B07-23B. 
I then completed a driver exchange form and provided a copy to Carson. I returned to the police department and emailed a copy to Jana. I then completed a MNCrash report that was successfully submitted to the state. 
End of Report. 
Jonathan Baumann #311
Lakes Area Police Dept.</t>
  </si>
  <si>
    <t>VEHICLE 1 WAS EASTBOUND USTH 8. VEHICLE 2 WAS NORTHBOUND ON PIONEER IN THE LEFT TURN LANE TO GO WEST. VEHICLE 1 DID NOT STOP FOR A TRAFFIC CONTROL SIGNAL TURNING RED. BOTH VEHICLES WERE TOWED. THE PASSENGER OF VEHICLE 2 WAS CHECKED AND CLEARED BY MEDICS FOR MINOR NON LIFE THREATENING INJURIES.</t>
  </si>
  <si>
    <t>GOODVIEW CIR N</t>
  </si>
  <si>
    <t>1000023947890374-I</t>
  </si>
  <si>
    <t>UNIT #1 WAS STOPPED AT THE STOP SIGN ON GOODVIEW CIR N WAITING TO TURN ONTO HWY 8.
UNIT #2 WAS STOPPED BEHIND UNIT #1. DRIVER #2 ADVISED HE OBSERVED UNIT #1 BEGIN TO PROCEED FORWARD OUT TOWARD HWY 8 AND TURNED HIS ATTENTION TOWARD ONCOMING VEHICLES. UNIT #2 THEN PROCEEDED FORWARD WITH DRIVER #2 BELIEVING UNIT #1 HAD PULLED AWAY. 
UNIT #2 REAR-ENDED UNIT #1 WHICH HAD IN FACT STOPPED. THE COLLISION RESULTED IN MINOR DAMAGE TO UNIT #1 TO INCLUDE DAMAGE TO THE REAR BUMPER AND HATCHBACK DOOR. NO DAMAGE WAS OBSERVED TO UNIT #2.</t>
  </si>
  <si>
    <t>Dry road conditions. Unit 1 Hit and Run vehicle, no information.
All Units westbound on Hwy 8 approaching the traffic signal at the intersection for Pioneer Dr. Crash did not occur in intersection. 
Unit 3 stopped in traffic due to the red light at the intersection. Unit 2 stopped behind Unit 3. Unit 1 failed to stop/ slow down for Unit 2 and hit it front to rear. Driver of Unit 1 then kept his foot on the gas and pushed Unit 2 into the rear of Unit 3 front to rear. Unit 1 then fled the scene driving recklessly on the shoulder. Unit 1 was described as a red/ maroon Dodge Magnum, only partial digit of plate provided was "N". Units 2 and 3 were able to pull to the shoulder. Unit 2 had moderate damage to the rear and front end. Unit 3 had minor damage to the rear bumper. No vehicles towed.</t>
  </si>
  <si>
    <t>At the time of the crash the road surface was dry. Unit 1 was east on USTH 8 near 270th St. Witness to the crash was behind Unit 1. Unit 2 was going west on USTH 8 and Unit 3 was following behind. 
Driver of Unit 1 stated she fell asleep while driving and woke up after hitting another car. Witness to the crash stated Unit 1 slowly started to drift into the oncoming traffic lane. Unit 1 sideswiped the trailer of Unit 2. Unit 1 continued on into the westbound lane and hit Unit 3 on the driver door. Unit 3 was pushed into the ditch and rolled one time. Unit 1 came across the westbound lane and went into the ditch. 
Driver of Unit 1 was given field sobriety tests however to clues of impairment were detected. Driver of Unit 1 was given a citation for "Duty to drive with due care."
Unit 2 did not have any damage to the pickup. The trailer had to be towed due to the damage to the wheels, side and trailer hitch braking. 
Driver of Unit 3 had a cut to the arm and was treated on scene.
A few days later, the mother of Unit 3 driver emailed me to report he had stable fracture of the 3rd and 4th rib and a small pneumothorax.</t>
  </si>
  <si>
    <t>JAMES AVE</t>
  </si>
  <si>
    <t>All Vehicles were west on USTH 8. Roads were full of slush/snow/ice. V3 lost control and spun out and now was in the path of V2. V2 tried to stop to avoid V3 but wasn't able to and struck V3. Both V2 and V3 were now in the path of V1. V1 also tried to avoid them but wasn't able to and struck V2. 
V2 passenger was transported for injuries.
D3 was cited for No MN DL, fail to use due care and no insurance</t>
  </si>
  <si>
    <t>JASPER CT</t>
  </si>
  <si>
    <t>Vehcles 1,2 and 4 were west bound on USTH 8. V3 was east bound. V1 was stopped waiting for east bound traffic so she could turn south on Jenson Ct. V2 was slowing behind V1. D4 said the sun was in his eyes and wasn't able to see traffic ahead of him slowing. V4 struck rear of V2 then pushed it into rear on V1. V2 was also pushed into east bound lane after striking V1 and was now in the path of V3 where V2 was struck by V3. 
D4 cited for fail to use due care.</t>
  </si>
  <si>
    <t>Unit 3 is westbound US 8 near 275th, slowing to stop behind a vehicle making a left turn onto 275th.Unit 1 crashes into the rear of unit 3 and pushes unit 3 into the westbound lanes. Unit 2 is westbound US 8 and is unable to avoid unit 3 as it was pushed into the westbound lane. No injuries, unit 3 towed by Dan's, no citations, no drugs/alcohol, no airbags, all wearing seat belts.</t>
  </si>
  <si>
    <t>VEHICLE 1 WAS EASTBOUND ON USTH 8. VEHICLE 2 WAS WESTBOUND. VEHICLE 1 CROSSED OVER THE CENTER LINE FOR AN UNKNOWN REASON. VEHICLE 1 STRUCK THE FRONT OF VEHICLE 2. VEHICLE 1 CAUGHT ON FIRE. THE DRIVER OF VEHICLE 1 IS IN CRITICAL CONDITION. THE DRIVER OF VEHICLE 2 HAD MINOR INJURIES. BOTH VEHICLES WERE TOWED BY DAN'S TOWING.</t>
  </si>
  <si>
    <t>Vehicle 1 was east bound on Lake Blvd west of Johnson Lane. Vehicle had moved toward shoulder of roadway as a second large vehicle was west bound. Vehicle then got hung up in the slush/ice on the shoulder of Lake Blvd and began to slide. Driver was unable to correct vehicle direction and vehicle left roadway to the right. Vehicle went down into ditch and struck a street sign causing minor damage to vehicle and minor damage to sign. The sign struck was junction sign for CR 22/36 coming up at the next intersection.</t>
  </si>
  <si>
    <t>UNIT 2 - STOPPED AT THE EASTBOUND US-8 INTERSECTION WITH JOHNSON LANE AT A RED LIGHT.  UNIT 2 DRIVER ADVISED THAT SHE WAS STOPPED AT THE RED LIGHT FOR 5-10 SECONDS.  
UNIT 1 - DRIVING EASTBOUND ON US-8 APPROACHING JOHNSON LANE AND UNIT 2.  UNIT 1 DRIVER ADVISED THAT SHE WAS APPLYING HER BRAKES BUT WAS UNABLE TO STOP IN TIME.  UNIT 1 REAR ENDED UNIT 2.  BOTH VEHICLES STOPPED IN THE RIGHT TURN LANE OF US-8.  
THE CRASH WAS CAUGHT ON CAMERA.  THE CAMERA WAS FACING EASTBOUND ON US-8 TOWARDS THE INTERSECTION OF JOHNSON LANE.  THE CAMERAS OBSERVED THAT UNIT 1 DRIVER DID NOT APPLY HER BRAKES UNTIL APPROXIMATELY FIVE FEET BEFORE UNIT 2.  
NO MEDICAL OR FIRE RESPONDED.  NO OTHER ASSISTING AGENCIES.  UNIT 1 DRIVER CITED FOR DUTY TO DRIVE WITH DUE CARE.</t>
  </si>
  <si>
    <t>Vehicle 2 was approaching Johnson Ln on Lake Blvd and slowing for a red light. Vehicle 1 didn't stop in time and rear ended vehicle 2</t>
  </si>
  <si>
    <t>Both units are westbound US 8 approaching Johnson Ln. Unit 2 is stopped at a red light behind two other vehicles. Unit 1 crashes into the rear of unit 2. Driver of unit 1 states she was looking to her right, definitely not her phone, when she crashed. No injuries, no tows, no citations, no airbags, all wearing seat belts, no drugs/alcohol.</t>
  </si>
  <si>
    <t>On 02/23/2022 I, Officer Anderson, responded to a report of a vehicle in the ditch near the intersection of Lake Blvd and East Viking Blvd.  I arrived and spoke with the driver Scot Keith Scheldorf 03/06/1960.  
SCHELDORF said he was westbound on Lake Blvd and the vehicle in front of him began stopping.  SCHELDORF tried to stop but his vehicle slide on the ice and went down into the north ditch.  I saw that he had hit a road sign while he was going into the ditch.  This caused moderate damage to the driver side rear door and quarter panel.  
SCHELDORF and his son DJS 03/06/2006 sat in the back of my squad car while PLC towing came to pull the car out of the ditch.</t>
  </si>
  <si>
    <t>Cloudy with previous rain fall. Roadways slightly wet. 
Both Units east on Hwy 8 near E Viking Blvd. Unit 2 in front of Unit 1. Unit 2 began to slow for traffic coming to a stop ahead of it. Unit 1 did not stop/ slow for Unit 2 and struck them front to rear. Both Units pulled to the right shoulder. Unit 1 had disabling front end damage and was towed by Dans Towing. Unit 2 had moderate damage, but was functional. 
Driver of Unit 1 stated his phone was ringing in his pocket, and he looked down to try and mute the ring. as he looked up Unit 2 was stopped. Driver of Unit 2 stated she was slowing, and almost at a complete stop when Unit 1 hit her.</t>
  </si>
  <si>
    <t>VEHICLE 1 WAS SOUTHBOUND IN THE LEFT TURN LANE TO GO EAST ON USTH 8. VEHICLE 2 WAS WESTBOUND ON USTH 8. THE DRIVER OF VEHICLE 1 STATED VEHICLE 2 RAN THE RED LIGHT AND THE DRIVER OF VEHICLE 2 STATED THAT VEHICLE 1 RAN THE RED LIGHT. THE DRIVER OF VEHICLE 1 REQUESTED TO BE TRANSPORTED VIA AMBULANCE DUE TO HITTING HIS HEAD. VEHICLE 2 WAS TOWED BY DANS TOWING. AFTER VIDEO REVIEW VEHICLE 2 RAN THE RED LIGHT AND HIT VEHICLE 1.</t>
  </si>
  <si>
    <t>BOTH VEHICLES WERE EASTBOUND ON USTH 8. VEHICLE 1 WAS STOPPED FOR TRAFFIC AHEAD. VEHICLE 2 STATED HIS BRAKES DID NOT WORK AND REAR ENDED VEHICLE 1. NO INJURIES WERE REPORTED. VEHICLE 2 WAS TOWED BY DANS TOWING.</t>
  </si>
  <si>
    <t>UNIT 2 - EASTBOUND ON US-8 COMING TO A STOP FOR TRAFFIC AHEAD. 
UNIT 1 - EASTBOUND ON US-8 GOING APPROXIMATELY 20-30 MPH BEHIND UNIT 2.  
UNIT 1 DRIVER STATED HE WAS GOING 20-30 MPH AND LOOKED DOWN AT THE RADIO FOR A SECOND AND WHEN HE LOOKED UP TRAFFIC AHEAD OF HIM WAS STOPPED.  UNIT 1 WAS UNABLE TO STOP IN TIME.  UNIT 1 CRASHED INTO THE REAR OF UNIT 2.  BOTH VEHICLES WERE ABLE TO GET PULLED OFF OF US-8.  UNIT 1 DRIVER CLAIMED TO HAVE NECK PAIN BUT DENIED ANY AMBULANCE.  UNIT 2 DRIVER ADVISED NO INJURIES.  UNIT 1 AND 2 DRIVER BOTH ADMITTED TRAFFIC WAS STOP AND GO.  
NO OTHER ASSISTING AGENCIES.  NO MEDICAL OR FIRE RESPONDED.</t>
  </si>
  <si>
    <t>CRASH LOCATION- US HIGHWAY 8 AT KARMEL AVE. VEHICLE#1 WAS EAST BOUND US HIGHWAY 8 STOPPED IN THE TRAFFIC BACKUP. VEHICLE#2 WAS EAST BOUND US HIGHWAY 8. VEHICLE#2 REAR ENDED VEHICLE#1. DRIVER OF VEHICLE#2 STATED HE WAS STARTING TO DOZE OFF. PASSENGER IN VEHICLE#2 REPORTED POSSIBLE INJURY AND WAS TRANSPORTED TO ST CROIX HOSPITAL BY LAKES REGION EMS. NO OTHER INJURIES REPORTED. DANS TOWING TOWED VEHICLE#1.</t>
  </si>
  <si>
    <r>
      <t>Build Annual Operation and Maintenance Savings ($)</t>
    </r>
    <r>
      <rPr>
        <vertAlign val="superscript"/>
        <sz val="9"/>
        <color theme="1"/>
        <rFont val="Calibri"/>
        <family val="2"/>
        <scheme val="minor"/>
      </rPr>
      <t>1</t>
    </r>
  </si>
  <si>
    <t>No Build Maintenance Costs</t>
  </si>
  <si>
    <t>Results</t>
  </si>
  <si>
    <t>Other Emissions Cost Savings</t>
  </si>
  <si>
    <t>Total (CO2 + Other Emissions)</t>
  </si>
  <si>
    <r>
      <t xml:space="preserve">Yearly CO2 Emissions Savings in Current Dollars ($) </t>
    </r>
    <r>
      <rPr>
        <vertAlign val="superscript"/>
        <sz val="9"/>
        <color theme="1"/>
        <rFont val="Calibri"/>
        <family val="2"/>
        <scheme val="minor"/>
      </rPr>
      <t>2</t>
    </r>
  </si>
  <si>
    <t>CO2 Yearly Carbon Emissions Savings
(3% Discount)</t>
  </si>
  <si>
    <t>Change in Annual Network VMT</t>
  </si>
  <si>
    <r>
      <t>Change in NOx 
(metric tons)</t>
    </r>
    <r>
      <rPr>
        <vertAlign val="superscript"/>
        <sz val="9"/>
        <color theme="1"/>
        <rFont val="Calibri"/>
        <family val="2"/>
        <scheme val="minor"/>
      </rPr>
      <t>1</t>
    </r>
  </si>
  <si>
    <r>
      <t>Change in SO2
(metric tons)</t>
    </r>
    <r>
      <rPr>
        <vertAlign val="superscript"/>
        <sz val="9"/>
        <color theme="1"/>
        <rFont val="Calibri"/>
        <family val="2"/>
        <scheme val="minor"/>
      </rPr>
      <t>1</t>
    </r>
  </si>
  <si>
    <r>
      <t>Change in PM
(metric tons)</t>
    </r>
    <r>
      <rPr>
        <vertAlign val="superscript"/>
        <sz val="9"/>
        <color theme="1"/>
        <rFont val="Calibri"/>
        <family val="2"/>
        <scheme val="minor"/>
      </rPr>
      <t>1</t>
    </r>
  </si>
  <si>
    <r>
      <t>Change in NOx 
($)</t>
    </r>
    <r>
      <rPr>
        <vertAlign val="superscript"/>
        <sz val="9"/>
        <color theme="1"/>
        <rFont val="Calibri"/>
        <family val="2"/>
        <scheme val="minor"/>
      </rPr>
      <t>(2)</t>
    </r>
  </si>
  <si>
    <r>
      <t>Change in SO2
($)</t>
    </r>
    <r>
      <rPr>
        <vertAlign val="superscript"/>
        <sz val="9"/>
        <color theme="1"/>
        <rFont val="Calibri"/>
        <family val="2"/>
        <scheme val="minor"/>
      </rPr>
      <t>(2)</t>
    </r>
  </si>
  <si>
    <r>
      <t>Change in PM
($)</t>
    </r>
    <r>
      <rPr>
        <vertAlign val="superscript"/>
        <sz val="9"/>
        <color theme="1"/>
        <rFont val="Calibri"/>
        <family val="2"/>
        <scheme val="minor"/>
      </rPr>
      <t>(2)</t>
    </r>
  </si>
  <si>
    <r>
      <t xml:space="preserve">Yearly Emissions Savings in Current Dollars Non-CO2 Emissions ($) </t>
    </r>
    <r>
      <rPr>
        <vertAlign val="superscript"/>
        <sz val="9"/>
        <color theme="1"/>
        <rFont val="Calibri"/>
        <family val="2"/>
        <scheme val="minor"/>
      </rPr>
      <t>(2)</t>
    </r>
  </si>
  <si>
    <t xml:space="preserve"> 7% Discounted</t>
  </si>
  <si>
    <r>
      <t xml:space="preserve">Table 1 - Pollution Emission by Mode (g/VMT) </t>
    </r>
    <r>
      <rPr>
        <b/>
        <vertAlign val="superscript"/>
        <sz val="11"/>
        <color theme="1"/>
        <rFont val="Calibri"/>
        <family val="2"/>
        <scheme val="minor"/>
      </rPr>
      <t>(1)</t>
    </r>
  </si>
  <si>
    <t>MOVES Model Output (grams per VMT)</t>
  </si>
  <si>
    <t>Mode</t>
  </si>
  <si>
    <t>Source Type</t>
  </si>
  <si>
    <t>HPMS Description</t>
  </si>
  <si>
    <t>Auto/Truck</t>
  </si>
  <si>
    <t>Automobile</t>
  </si>
  <si>
    <t>Motorcycle</t>
  </si>
  <si>
    <t>Auto</t>
  </si>
  <si>
    <t>Trucks</t>
  </si>
  <si>
    <t>Light-Duty Vehicle</t>
  </si>
  <si>
    <r>
      <t xml:space="preserve">Table 2 - Damage Costs for Emissions per metric ton </t>
    </r>
    <r>
      <rPr>
        <b/>
        <vertAlign val="superscript"/>
        <sz val="11"/>
        <color theme="1"/>
        <rFont val="Calibri"/>
        <family val="2"/>
        <scheme val="minor"/>
      </rPr>
      <t>(2)</t>
    </r>
  </si>
  <si>
    <t>Buses</t>
  </si>
  <si>
    <t>Truck</t>
  </si>
  <si>
    <t>Single-Unit Truck</t>
  </si>
  <si>
    <t>Combination Truck</t>
  </si>
  <si>
    <t>Average emission rates per vehicle type were obtained from the Environmental Protection Agency’s Motor Vehicle Emission Simulator (MOVES) version 3. The change in VMT between No Build and Build conditions was applied to emission rates by vehicle type.</t>
  </si>
  <si>
    <t>Emission Type</t>
  </si>
  <si>
    <t>Reduction</t>
  </si>
  <si>
    <t>CO2 (metric tons)</t>
  </si>
  <si>
    <t>NOx (kg)</t>
  </si>
  <si>
    <t>SO2 (kg)</t>
  </si>
  <si>
    <t>PM2.5 (kg)</t>
  </si>
  <si>
    <r>
      <t>Present Value in (7%)</t>
    </r>
    <r>
      <rPr>
        <vertAlign val="superscript"/>
        <sz val="9"/>
        <color theme="1"/>
        <rFont val="Calibri"/>
        <family val="2"/>
        <scheme val="minor"/>
      </rPr>
      <t>2</t>
    </r>
  </si>
  <si>
    <t>Build Capital Costs</t>
  </si>
  <si>
    <t>Analysis Period (years)</t>
  </si>
  <si>
    <t>Table 2 - Construction Costs and Remaining Capital Value</t>
  </si>
  <si>
    <t>Table 1 - Years of Construction</t>
  </si>
  <si>
    <t>Convert year 2022 to 2021</t>
  </si>
  <si>
    <t>Table 4 - Existing Crashes by Severity from January 2018 - December 2022</t>
  </si>
  <si>
    <t xml:space="preserve"> Convert 2006$ to 2021$</t>
  </si>
  <si>
    <t xml:space="preserve"> Convert 2018$ to 2021$</t>
  </si>
  <si>
    <t>Benefit Categories</t>
  </si>
  <si>
    <t>Benefit (2021 dollars)</t>
  </si>
  <si>
    <t>Travel Time</t>
  </si>
  <si>
    <t>Vehicle Operating Costs</t>
  </si>
  <si>
    <t>Air Quality</t>
  </si>
  <si>
    <t>Quality of Life</t>
  </si>
  <si>
    <t>Maintenance</t>
  </si>
  <si>
    <r>
      <t>Annual cycling savings per induced trip (2021)</t>
    </r>
    <r>
      <rPr>
        <vertAlign val="superscript"/>
        <sz val="11"/>
        <color theme="1"/>
        <rFont val="Calibri"/>
        <family val="2"/>
        <scheme val="minor"/>
      </rPr>
      <t>6</t>
    </r>
  </si>
  <si>
    <t>Base Year</t>
  </si>
  <si>
    <t>RAISE 2023 BCA SUMMARY - US Highway 8 Reconstruction Project</t>
  </si>
  <si>
    <t>This analysis assumed that the Build Alternative would be constructed would begin in year 2025 (right-of-way acquisition takes place in years 2023 and 2024) and be completed in year 2027. The analysis focused on the estimated benefits for the twenty-year period from 2027 to 2046.</t>
  </si>
  <si>
    <t>Recommended crash values were obtained from Benefit-Cost Analysis Guidance for Discretionary Grant Programs - January 2023.</t>
  </si>
  <si>
    <t>Recommended values were obtained from Benefit-Cost Analysis Guidance for Discretionary Grant Programs - January 2023.</t>
  </si>
  <si>
    <t xml:space="preserve">The analysis also considered a change in crashes on other corridors in the network where traffic volumes are expected to change between alternatives. VMT by facility type (e.g. collector, expressway, freeway, etc.) was extracted from the regional travel demand model to capture the level of diversion on adjacent corridors in the network. Metro district average crash rates by facility type and severity were obtained from the MnDOT Section Toolkit. Model VMT by facility type was applied to facility crash rates to project a weighted crash rate by severity for each scenario. The number of crashes by severity for each scenario were then estimated by applying scenario VMT to the weighted crash rates by severity. VMT for the project extents of US 8 was excluded from the regional crash analysis to isolate impacts of VMT shifts to other facilities and to avoid double counting US 8 crashes. </t>
  </si>
  <si>
    <t>The value of emissions costs were obtained from the Benefit Cost Analysis Guidance for Discretionary Grant Programs, dated January 2023.</t>
  </si>
  <si>
    <t xml:space="preserve">Vehicle travel time costs for autos and trucks and occupancy ratios were consistent with the Benefit-Cost Analysis Guidance for Discretionary Grant Programs - January 2023. The recommended values were provided in year 2021 dollars. </t>
  </si>
  <si>
    <t>User operating costs for all-purpose vehicle travel and truck drivers were valued in accordance with Recommended standard values for use in cost-effectiveness and benefit-cost analysis in SFY2022 from MnDOT Office of Transportation System Management, August 2022  (https://www.dot.state.mn.us/planning/program/pdf/Table%20A.1%20SV%20L-ML-H%2031-Aug-2022.pdf) The recommended values for operative cost were deflated back to year 2020 dollars from year 2021 dollars.</t>
  </si>
  <si>
    <t>Benefit-Cost Analysis Guidance for RAISE Applications, January 2023 &amp; Implicit Price Deflators for Gross Domestic Product (Bureau of Economic Analysis). The recommended values for operative cost were inflated to year 2021 dollars from year 2018 dollars.</t>
  </si>
  <si>
    <t>This analysis assumed that the Build Alternative would be constructed would begin in year 2025 (right-of-way acquisition takes place in years 2023 and 2024) and be completed in year 2027. The analysis focused on the estimated benefits for the twenty-year period from 2027 to 2046. Initial capital cost were provided in 2021 dollars.</t>
  </si>
  <si>
    <t>Annual maintenance cost savings were computed by determining the net lane-miles added to the network under the Build Alternative compared to the No Build. A value of $8,100 pe lane-mile (expressway) was applied in calculating the yearly cost. It was also assumed that the existing roadway would have a mill and overlay completed in year 2026 that would not be necessary under the Build reconstruction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</si>
</sst>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quot;$&quot;#,##0\ ;\(&quot;$&quot;#,##0\)"/>
    <numFmt numFmtId="167" formatCode="_(* #,##0_);_(* \(#,##0\);_(* &quot;-&quot;??_);_(@_)"/>
    <numFmt numFmtId="168" formatCode="0.0%"/>
    <numFmt numFmtId="169" formatCode="&quot;$&quot;#,##0.00"/>
    <numFmt numFmtId="170" formatCode="0.000"/>
    <numFmt numFmtId="171" formatCode="#,##0_);\(#,##0_)"/>
    <numFmt numFmtId="172" formatCode="0.0"/>
    <numFmt numFmtId="173" formatCode="#,##0.000"/>
    <numFmt numFmtId="174" formatCode="_(* #,##0.0_);_(* \(#,##0.0\);_(* &quot;-&quot;??_);_(@_)"/>
    <numFmt numFmtId="175" formatCode="_(&quot;$&quot;* #,##0.000_);_(&quot;$&quot;* \(#,##0.000\);_(&quot;$&quot;* &quot;-&quot;??_);_(@_)"/>
    <numFmt numFmtId="176" formatCode="_(&quot;$&quot;* #,##0.0_);_(&quot;$&quot;* \(#,##0.0\);_(&quot;$&quot;* &quot;-&quot;?_);_(@_)"/>
    <numFmt numFmtId="177" formatCode="0.0000"/>
  </numFmts>
  <fonts count="47"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vertAlign val="superscript"/>
      <sz val="9"/>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sz val="12"/>
      <color theme="1"/>
      <name val="Calibri"/>
      <family val="2"/>
      <scheme val="minor"/>
    </font>
    <font>
      <sz val="11"/>
      <color theme="0" tint="-0.249977111117893"/>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vertAlign val="superscript"/>
      <sz val="11"/>
      <color theme="1"/>
      <name val="Calibri"/>
      <family val="2"/>
      <scheme val="minor"/>
    </font>
    <font>
      <sz val="11"/>
      <color indexed="8"/>
      <name val="Calibri"/>
      <family val="2"/>
      <scheme val="minor"/>
    </font>
    <font>
      <b/>
      <i/>
      <sz val="11"/>
      <color theme="1"/>
      <name val="Calibri"/>
      <family val="2"/>
      <scheme val="minor"/>
    </font>
    <font>
      <sz val="9"/>
      <color rgb="FF0070C0"/>
      <name val="Calibri"/>
      <family val="2"/>
      <scheme val="minor"/>
    </font>
    <font>
      <b/>
      <sz val="16"/>
      <color theme="1"/>
      <name val="Calibri"/>
      <family val="2"/>
      <scheme val="minor"/>
    </font>
    <font>
      <u/>
      <sz val="11"/>
      <color theme="10"/>
      <name val="Calibri"/>
      <family val="2"/>
      <scheme val="minor"/>
    </font>
    <font>
      <sz val="11"/>
      <color rgb="FFFF0000"/>
      <name val="Calibri"/>
      <family val="2"/>
      <scheme val="minor"/>
    </font>
    <font>
      <sz val="9"/>
      <name val="Arial"/>
      <family val="2"/>
    </font>
    <font>
      <b/>
      <sz val="9"/>
      <name val="Arial"/>
      <family val="2"/>
    </font>
    <font>
      <b/>
      <sz val="8"/>
      <name val="Arial"/>
      <family val="2"/>
    </font>
    <font>
      <b/>
      <sz val="14"/>
      <color theme="1"/>
      <name val="Calibri"/>
      <family val="2"/>
      <scheme val="minor"/>
    </font>
    <font>
      <sz val="11"/>
      <color rgb="FF00B050"/>
      <name val="Calibri"/>
      <family val="2"/>
      <scheme val="minor"/>
    </font>
    <font>
      <sz val="9"/>
      <color theme="0" tint="-0.34998626667073579"/>
      <name val="Calibri"/>
      <family val="2"/>
      <scheme val="minor"/>
    </font>
    <font>
      <sz val="11"/>
      <color theme="0"/>
      <name val="Calibri"/>
      <family val="2"/>
      <scheme val="minor"/>
    </font>
    <font>
      <sz val="11"/>
      <color theme="5"/>
      <name val="Calibri"/>
      <family val="2"/>
      <scheme val="minor"/>
    </font>
    <font>
      <i/>
      <sz val="11"/>
      <name val="Calibri"/>
      <family val="2"/>
      <scheme val="minor"/>
    </font>
    <font>
      <sz val="10"/>
      <color theme="1"/>
      <name val="Arial"/>
      <family val="2"/>
    </font>
    <font>
      <sz val="10"/>
      <color theme="0" tint="-0.249977111117893"/>
      <name val="Calibri"/>
      <family val="2"/>
      <scheme val="minor"/>
    </font>
    <font>
      <sz val="8"/>
      <name val="Calibri"/>
      <family val="2"/>
      <scheme val="minor"/>
    </font>
    <font>
      <vertAlign val="subscript"/>
      <sz val="9"/>
      <color theme="1"/>
      <name val="Calibri"/>
      <family val="2"/>
      <scheme val="minor"/>
    </font>
    <font>
      <sz val="11"/>
      <color theme="10"/>
      <name val="Calibri"/>
      <family val="2"/>
      <scheme val="minor"/>
    </font>
    <font>
      <b/>
      <sz val="11"/>
      <color rgb="FFFF0000"/>
      <name val="Calibri"/>
      <family val="2"/>
      <scheme val="minor"/>
    </font>
    <font>
      <b/>
      <sz val="14"/>
      <color rgb="FFFF0000"/>
      <name val="Calibri"/>
      <family val="2"/>
      <scheme val="minor"/>
    </font>
    <font>
      <vertAlign val="superscript"/>
      <sz val="11"/>
      <color theme="1"/>
      <name val="Calibri"/>
      <family val="2"/>
      <scheme val="minor"/>
    </font>
    <font>
      <i/>
      <sz val="11"/>
      <color theme="0" tint="-0.499984740745262"/>
      <name val="Calibri"/>
      <family val="2"/>
      <scheme val="minor"/>
    </font>
    <font>
      <sz val="10"/>
      <color theme="0" tint="-0.499984740745262"/>
      <name val="Calibri"/>
      <family val="2"/>
      <scheme val="minor"/>
    </font>
    <font>
      <i/>
      <sz val="9.35"/>
      <color theme="0" tint="-0.499984740745262"/>
      <name val="Calibri"/>
      <family val="2"/>
    </font>
    <font>
      <b/>
      <sz val="16"/>
      <color rgb="FFFF0000"/>
      <name val="Calibri"/>
      <family val="2"/>
      <scheme val="minor"/>
    </font>
    <font>
      <sz val="10"/>
      <color rgb="FFFF0000"/>
      <name val="Times"/>
      <family val="1"/>
    </font>
    <font>
      <i/>
      <sz val="11"/>
      <color theme="1"/>
      <name val="Calibri"/>
      <family val="2"/>
      <scheme val="minor"/>
    </font>
    <font>
      <sz val="9"/>
      <color rgb="FFFF0000"/>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theme="1" tint="0.499984740745262"/>
        <bgColor indexed="64"/>
      </patternFill>
    </fill>
    <fill>
      <patternFill patternType="solid">
        <fgColor theme="0" tint="-0.34998626667073579"/>
        <bgColor indexed="64"/>
      </patternFill>
    </fill>
  </fills>
  <borders count="88">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right style="medium">
        <color auto="1"/>
      </right>
      <top/>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right style="thin">
        <color auto="1"/>
      </right>
      <top style="thin">
        <color auto="1"/>
      </top>
      <bottom/>
      <diagonal/>
    </border>
    <border>
      <left/>
      <right style="thin">
        <color indexed="64"/>
      </right>
      <top/>
      <bottom style="medium">
        <color indexed="64"/>
      </bottom>
      <diagonal/>
    </border>
    <border>
      <left style="thin">
        <color indexed="64"/>
      </left>
      <right/>
      <top style="thin">
        <color indexed="64"/>
      </top>
      <bottom/>
      <diagonal/>
    </border>
  </borders>
  <cellStyleXfs count="19">
    <xf numFmtId="0" fontId="0"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 fillId="0" borderId="0"/>
    <xf numFmtId="0" fontId="13"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 fillId="0" borderId="0"/>
    <xf numFmtId="0" fontId="21" fillId="0" borderId="0" applyNumberFormat="0" applyFill="0" applyBorder="0" applyAlignment="0" applyProtection="0"/>
  </cellStyleXfs>
  <cellXfs count="666">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164" fontId="2" fillId="0" borderId="0" xfId="0" applyNumberFormat="1" applyFont="1" applyAlignment="1">
      <alignment horizontal="center"/>
    </xf>
    <xf numFmtId="0" fontId="4" fillId="0" borderId="0" xfId="0" applyFont="1"/>
    <xf numFmtId="0" fontId="0" fillId="0" borderId="0" xfId="0" applyAlignment="1">
      <alignment horizontal="right"/>
    </xf>
    <xf numFmtId="0" fontId="9" fillId="0" borderId="28" xfId="0" applyFont="1" applyBorder="1" applyAlignment="1">
      <alignment vertical="center"/>
    </xf>
    <xf numFmtId="0" fontId="2" fillId="0" borderId="0" xfId="0" applyFont="1" applyAlignment="1">
      <alignment horizontal="center"/>
    </xf>
    <xf numFmtId="1" fontId="2" fillId="0" borderId="0" xfId="0" applyNumberFormat="1" applyFont="1" applyAlignment="1">
      <alignment horizontal="center"/>
    </xf>
    <xf numFmtId="0" fontId="10" fillId="0" borderId="0" xfId="0" applyFont="1" applyAlignment="1">
      <alignment horizontal="center"/>
    </xf>
    <xf numFmtId="0" fontId="11" fillId="0" borderId="0" xfId="0" applyFont="1"/>
    <xf numFmtId="164" fontId="12" fillId="0" borderId="0" xfId="0" applyNumberFormat="1" applyFont="1" applyAlignment="1">
      <alignment horizontal="center"/>
    </xf>
    <xf numFmtId="0" fontId="0" fillId="0" borderId="41" xfId="0" applyBorder="1"/>
    <xf numFmtId="0" fontId="4" fillId="2" borderId="46" xfId="0" applyFont="1" applyFill="1" applyBorder="1"/>
    <xf numFmtId="0" fontId="4" fillId="2" borderId="45" xfId="0" applyFont="1" applyFill="1" applyBorder="1"/>
    <xf numFmtId="0" fontId="3" fillId="0" borderId="0" xfId="0" applyFont="1"/>
    <xf numFmtId="0" fontId="0" fillId="0" borderId="0" xfId="0" applyAlignment="1">
      <alignment wrapText="1"/>
    </xf>
    <xf numFmtId="0" fontId="0" fillId="0" borderId="0" xfId="0" applyAlignment="1">
      <alignment horizontal="center"/>
    </xf>
    <xf numFmtId="0" fontId="0" fillId="0" borderId="0" xfId="0" applyAlignment="1">
      <alignment vertical="top" wrapText="1"/>
    </xf>
    <xf numFmtId="0" fontId="4" fillId="0" borderId="0" xfId="0" applyFont="1" applyAlignment="1">
      <alignment horizontal="left"/>
    </xf>
    <xf numFmtId="6" fontId="0" fillId="0" borderId="0" xfId="0" applyNumberFormat="1" applyAlignment="1">
      <alignment horizontal="center"/>
    </xf>
    <xf numFmtId="0" fontId="0" fillId="0" borderId="28" xfId="0" applyBorder="1" applyAlignment="1">
      <alignment horizontal="center"/>
    </xf>
    <xf numFmtId="0" fontId="15" fillId="0" borderId="0" xfId="0" applyFont="1"/>
    <xf numFmtId="165" fontId="8" fillId="0" borderId="28" xfId="1" applyNumberFormat="1" applyFont="1" applyFill="1" applyBorder="1" applyAlignment="1">
      <alignment horizontal="center"/>
    </xf>
    <xf numFmtId="0" fontId="9" fillId="0" borderId="28" xfId="1" applyNumberFormat="1" applyFont="1" applyFill="1" applyBorder="1" applyAlignment="1">
      <alignment horizontal="center"/>
    </xf>
    <xf numFmtId="0" fontId="0" fillId="0" borderId="35" xfId="0" applyBorder="1"/>
    <xf numFmtId="167" fontId="4" fillId="0" borderId="0" xfId="15" applyNumberFormat="1" applyFont="1"/>
    <xf numFmtId="164" fontId="3" fillId="0" borderId="4" xfId="0" applyNumberFormat="1" applyFont="1" applyBorder="1"/>
    <xf numFmtId="0" fontId="10" fillId="0" borderId="0" xfId="0" applyFont="1" applyAlignment="1">
      <alignment horizontal="left"/>
    </xf>
    <xf numFmtId="167" fontId="0" fillId="0" borderId="0" xfId="15" applyNumberFormat="1" applyFont="1" applyBorder="1"/>
    <xf numFmtId="164" fontId="0" fillId="0" borderId="0" xfId="0" applyNumberFormat="1" applyAlignment="1">
      <alignment horizontal="center"/>
    </xf>
    <xf numFmtId="2" fontId="0" fillId="0" borderId="0" xfId="0" applyNumberFormat="1" applyAlignment="1">
      <alignment horizontal="center"/>
    </xf>
    <xf numFmtId="9" fontId="4" fillId="0" borderId="0" xfId="0" applyNumberFormat="1" applyFont="1" applyAlignment="1">
      <alignment horizontal="center"/>
    </xf>
    <xf numFmtId="0" fontId="4" fillId="0" borderId="0" xfId="0" applyFont="1" applyAlignment="1">
      <alignment horizontal="center"/>
    </xf>
    <xf numFmtId="0" fontId="0" fillId="0" borderId="0" xfId="0" applyAlignment="1">
      <alignment vertical="center"/>
    </xf>
    <xf numFmtId="0" fontId="10" fillId="0" borderId="0" xfId="0" applyFont="1" applyAlignment="1">
      <alignment horizontal="center" vertical="center"/>
    </xf>
    <xf numFmtId="0" fontId="0" fillId="0" borderId="0" xfId="0" applyAlignment="1">
      <alignment horizontal="center" vertical="top" wrapText="1"/>
    </xf>
    <xf numFmtId="0" fontId="0" fillId="0" borderId="0" xfId="0" applyAlignment="1">
      <alignment vertical="top"/>
    </xf>
    <xf numFmtId="164" fontId="19" fillId="0" borderId="0" xfId="0" applyNumberFormat="1" applyFont="1" applyAlignment="1">
      <alignment horizontal="center"/>
    </xf>
    <xf numFmtId="0" fontId="0" fillId="0" borderId="28" xfId="0" applyBorder="1"/>
    <xf numFmtId="164" fontId="3" fillId="0" borderId="0" xfId="0" applyNumberFormat="1" applyFont="1"/>
    <xf numFmtId="164" fontId="2" fillId="0" borderId="0" xfId="0" applyNumberFormat="1" applyFont="1" applyAlignment="1">
      <alignment horizontal="left"/>
    </xf>
    <xf numFmtId="165" fontId="2" fillId="0" borderId="0" xfId="1" applyNumberFormat="1" applyFont="1" applyBorder="1" applyAlignment="1">
      <alignment horizontal="center"/>
    </xf>
    <xf numFmtId="0" fontId="20" fillId="0" borderId="0" xfId="0" applyFont="1" applyAlignment="1">
      <alignment horizontal="center" vertical="center"/>
    </xf>
    <xf numFmtId="9" fontId="20" fillId="0" borderId="0" xfId="16" applyFont="1" applyBorder="1" applyAlignment="1">
      <alignment horizontal="center" vertical="center"/>
    </xf>
    <xf numFmtId="37" fontId="2" fillId="0" borderId="0" xfId="0" applyNumberFormat="1" applyFont="1"/>
    <xf numFmtId="0" fontId="18" fillId="0" borderId="0" xfId="0" applyFont="1" applyAlignment="1">
      <alignment horizontal="center"/>
    </xf>
    <xf numFmtId="0" fontId="0" fillId="0" borderId="0" xfId="0" applyAlignment="1">
      <alignment horizontal="left"/>
    </xf>
    <xf numFmtId="167" fontId="0" fillId="0" borderId="0" xfId="0" applyNumberFormat="1" applyAlignment="1">
      <alignment horizontal="center"/>
    </xf>
    <xf numFmtId="167" fontId="0" fillId="0" borderId="0" xfId="0" applyNumberFormat="1" applyAlignment="1">
      <alignment horizontal="center" vertical="top" wrapText="1"/>
    </xf>
    <xf numFmtId="44" fontId="0" fillId="0" borderId="0" xfId="1" applyFont="1" applyFill="1" applyBorder="1"/>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1" fillId="0" borderId="0" xfId="18" applyFill="1"/>
    <xf numFmtId="0" fontId="3" fillId="0" borderId="11" xfId="0" applyFont="1" applyBorder="1" applyAlignment="1">
      <alignment horizontal="center" vertical="center"/>
    </xf>
    <xf numFmtId="1" fontId="0" fillId="0" borderId="0" xfId="0" applyNumberFormat="1"/>
    <xf numFmtId="169" fontId="0" fillId="0" borderId="0" xfId="1" applyNumberFormat="1" applyFont="1" applyFill="1" applyBorder="1" applyAlignment="1">
      <alignment horizontal="center"/>
    </xf>
    <xf numFmtId="0" fontId="4" fillId="0" borderId="28" xfId="0" applyFont="1" applyBorder="1"/>
    <xf numFmtId="168" fontId="0" fillId="0" borderId="28" xfId="16" applyNumberFormat="1" applyFont="1" applyFill="1" applyBorder="1" applyAlignment="1">
      <alignment horizontal="center"/>
    </xf>
    <xf numFmtId="0" fontId="23" fillId="0" borderId="0" xfId="0" applyFont="1"/>
    <xf numFmtId="167" fontId="2" fillId="0" borderId="13" xfId="15" applyNumberFormat="1" applyFont="1" applyFill="1" applyBorder="1" applyAlignment="1">
      <alignment horizontal="right" indent="1"/>
    </xf>
    <xf numFmtId="167" fontId="0" fillId="0" borderId="0" xfId="0" applyNumberFormat="1"/>
    <xf numFmtId="0" fontId="0" fillId="0" borderId="28" xfId="0" applyBorder="1" applyAlignment="1">
      <alignment horizontal="left"/>
    </xf>
    <xf numFmtId="6" fontId="3" fillId="0" borderId="0" xfId="0" applyNumberFormat="1" applyFont="1"/>
    <xf numFmtId="169" fontId="0" fillId="0" borderId="28" xfId="1" applyNumberFormat="1" applyFont="1" applyFill="1" applyBorder="1" applyAlignment="1">
      <alignment horizontal="center"/>
    </xf>
    <xf numFmtId="0" fontId="2" fillId="0" borderId="15" xfId="0" applyFont="1" applyBorder="1" applyAlignment="1">
      <alignment horizontal="center" vertical="center" wrapText="1"/>
    </xf>
    <xf numFmtId="164" fontId="2" fillId="0" borderId="5" xfId="0" applyNumberFormat="1" applyFont="1" applyBorder="1" applyAlignment="1">
      <alignment horizontal="center" vertical="center" wrapText="1"/>
    </xf>
    <xf numFmtId="167" fontId="2" fillId="0" borderId="20" xfId="15" applyNumberFormat="1" applyFont="1" applyFill="1" applyBorder="1" applyAlignment="1">
      <alignment horizontal="right" indent="1"/>
    </xf>
    <xf numFmtId="167" fontId="2" fillId="0" borderId="18" xfId="15" applyNumberFormat="1" applyFont="1" applyFill="1" applyBorder="1" applyAlignment="1">
      <alignment horizontal="right" indent="1"/>
    </xf>
    <xf numFmtId="0" fontId="4" fillId="0" borderId="28" xfId="0" applyFont="1" applyBorder="1" applyAlignment="1">
      <alignment horizontal="center"/>
    </xf>
    <xf numFmtId="170" fontId="0" fillId="0" borderId="0" xfId="0" applyNumberFormat="1"/>
    <xf numFmtId="6" fontId="11" fillId="0" borderId="0" xfId="0" applyNumberFormat="1" applyFont="1" applyAlignment="1">
      <alignment horizontal="center"/>
    </xf>
    <xf numFmtId="164" fontId="2" fillId="0" borderId="13" xfId="0" applyNumberFormat="1" applyFont="1" applyBorder="1" applyAlignment="1">
      <alignment horizontal="center" vertical="center"/>
    </xf>
    <xf numFmtId="0" fontId="2" fillId="0" borderId="33" xfId="0" applyFont="1" applyBorder="1" applyAlignment="1">
      <alignment horizontal="center" vertical="center"/>
    </xf>
    <xf numFmtId="0" fontId="4" fillId="0" borderId="0" xfId="0" applyFont="1" applyAlignment="1">
      <alignment horizontal="right"/>
    </xf>
    <xf numFmtId="165" fontId="9" fillId="0" borderId="28" xfId="1" applyNumberFormat="1" applyFont="1" applyFill="1" applyBorder="1" applyAlignment="1">
      <alignment vertical="center"/>
    </xf>
    <xf numFmtId="0" fontId="9" fillId="0" borderId="0" xfId="2" applyFont="1" applyAlignment="1">
      <alignment horizontal="left"/>
    </xf>
    <xf numFmtId="0" fontId="9" fillId="0" borderId="28" xfId="2" applyFont="1" applyBorder="1" applyAlignment="1">
      <alignment horizontal="left" vertical="center"/>
    </xf>
    <xf numFmtId="0" fontId="9" fillId="0" borderId="28" xfId="2" applyFont="1" applyBorder="1" applyAlignment="1">
      <alignment horizontal="center" vertical="center"/>
    </xf>
    <xf numFmtId="0" fontId="4" fillId="0" borderId="28" xfId="0" applyFont="1" applyBorder="1" applyAlignment="1">
      <alignment horizontal="left"/>
    </xf>
    <xf numFmtId="164" fontId="4" fillId="0" borderId="28" xfId="0" applyNumberFormat="1" applyFont="1" applyBorder="1" applyAlignment="1">
      <alignment horizontal="center"/>
    </xf>
    <xf numFmtId="37" fontId="0" fillId="0" borderId="0" xfId="15" applyNumberFormat="1" applyFont="1" applyFill="1" applyBorder="1" applyAlignment="1">
      <alignment horizontal="center"/>
    </xf>
    <xf numFmtId="0" fontId="24" fillId="0" borderId="28" xfId="0" applyFont="1" applyBorder="1" applyAlignment="1">
      <alignment horizontal="center"/>
    </xf>
    <xf numFmtId="0" fontId="25" fillId="0" borderId="28" xfId="0" applyFont="1" applyBorder="1" applyAlignment="1">
      <alignment horizontal="right"/>
    </xf>
    <xf numFmtId="0" fontId="24" fillId="0" borderId="28" xfId="0" applyFont="1" applyBorder="1" applyAlignment="1">
      <alignment horizontal="right"/>
    </xf>
    <xf numFmtId="0" fontId="21" fillId="0" borderId="0" xfId="18"/>
    <xf numFmtId="0" fontId="0" fillId="0" borderId="0" xfId="0" applyAlignment="1">
      <alignment horizontal="left" vertical="top" wrapText="1"/>
    </xf>
    <xf numFmtId="0" fontId="22" fillId="0" borderId="0" xfId="0" applyFont="1"/>
    <xf numFmtId="0" fontId="22" fillId="0" borderId="0" xfId="0" quotePrefix="1" applyFont="1"/>
    <xf numFmtId="6" fontId="2" fillId="0" borderId="12" xfId="0" applyNumberFormat="1" applyFont="1" applyBorder="1" applyAlignment="1">
      <alignment horizontal="right" indent="1"/>
    </xf>
    <xf numFmtId="0" fontId="27" fillId="0" borderId="0" xfId="0" quotePrefix="1" applyFont="1"/>
    <xf numFmtId="37" fontId="2" fillId="0" borderId="28" xfId="15" applyNumberFormat="1" applyFont="1" applyBorder="1" applyAlignment="1">
      <alignment horizontal="center"/>
    </xf>
    <xf numFmtId="0" fontId="2" fillId="0" borderId="14" xfId="0" applyFont="1" applyBorder="1" applyAlignment="1">
      <alignment horizontal="center" vertical="center" wrapText="1"/>
    </xf>
    <xf numFmtId="37" fontId="2" fillId="0" borderId="55" xfId="15" applyNumberFormat="1" applyFont="1" applyBorder="1" applyAlignment="1">
      <alignment horizontal="center"/>
    </xf>
    <xf numFmtId="169" fontId="0" fillId="0" borderId="0" xfId="0" applyNumberFormat="1" applyAlignment="1">
      <alignment horizontal="center"/>
    </xf>
    <xf numFmtId="5" fontId="0" fillId="0" borderId="0" xfId="0" applyNumberFormat="1"/>
    <xf numFmtId="9" fontId="0" fillId="0" borderId="0" xfId="16" applyFont="1"/>
    <xf numFmtId="164" fontId="2" fillId="0" borderId="35" xfId="0" applyNumberFormat="1" applyFont="1" applyBorder="1" applyAlignment="1">
      <alignment horizontal="center" vertical="center"/>
    </xf>
    <xf numFmtId="164" fontId="2" fillId="0" borderId="40" xfId="0" applyNumberFormat="1" applyFont="1" applyBorder="1" applyAlignment="1">
      <alignment horizontal="center" vertical="center"/>
    </xf>
    <xf numFmtId="164" fontId="2" fillId="0" borderId="36" xfId="0" applyNumberFormat="1" applyFont="1" applyBorder="1" applyAlignment="1">
      <alignment horizontal="center" vertical="center"/>
    </xf>
    <xf numFmtId="164" fontId="2" fillId="0" borderId="7" xfId="0" applyNumberFormat="1" applyFont="1" applyBorder="1" applyAlignment="1">
      <alignment horizontal="center" vertical="center" wrapText="1"/>
    </xf>
    <xf numFmtId="164" fontId="2" fillId="0" borderId="14" xfId="0" applyNumberFormat="1" applyFont="1" applyBorder="1" applyAlignment="1">
      <alignment horizontal="center" vertical="center"/>
    </xf>
    <xf numFmtId="167" fontId="2" fillId="0" borderId="19" xfId="15" applyNumberFormat="1" applyFont="1" applyFill="1" applyBorder="1" applyAlignment="1">
      <alignment horizontal="right" indent="1"/>
    </xf>
    <xf numFmtId="167" fontId="2" fillId="0" borderId="14" xfId="15" applyNumberFormat="1" applyFont="1" applyFill="1" applyBorder="1" applyAlignment="1">
      <alignment horizontal="right" indent="1"/>
    </xf>
    <xf numFmtId="167" fontId="2" fillId="0" borderId="48" xfId="15" applyNumberFormat="1" applyFont="1" applyFill="1" applyBorder="1" applyAlignment="1">
      <alignment horizontal="right" indent="1"/>
    </xf>
    <xf numFmtId="167" fontId="2" fillId="0" borderId="15" xfId="15" applyNumberFormat="1" applyFont="1" applyFill="1" applyBorder="1" applyAlignment="1">
      <alignment horizontal="right" indent="1"/>
    </xf>
    <xf numFmtId="167" fontId="2" fillId="0" borderId="57" xfId="15" applyNumberFormat="1" applyFont="1" applyFill="1" applyBorder="1" applyAlignment="1">
      <alignment horizontal="right" indent="1"/>
    </xf>
    <xf numFmtId="0" fontId="24" fillId="0" borderId="28" xfId="0" applyFont="1" applyBorder="1"/>
    <xf numFmtId="37" fontId="2" fillId="0" borderId="35" xfId="15" applyNumberFormat="1" applyFont="1" applyBorder="1" applyAlignment="1">
      <alignment horizontal="center"/>
    </xf>
    <xf numFmtId="37" fontId="2" fillId="0" borderId="40" xfId="15" applyNumberFormat="1" applyFont="1" applyBorder="1" applyAlignment="1">
      <alignment horizontal="center"/>
    </xf>
    <xf numFmtId="37" fontId="2" fillId="0" borderId="49" xfId="15" applyNumberFormat="1" applyFont="1" applyBorder="1" applyAlignment="1">
      <alignment horizontal="center"/>
    </xf>
    <xf numFmtId="37" fontId="2" fillId="0" borderId="36" xfId="15" applyNumberFormat="1" applyFont="1" applyBorder="1" applyAlignment="1">
      <alignment horizontal="center"/>
    </xf>
    <xf numFmtId="38" fontId="3" fillId="0" borderId="0" xfId="0" applyNumberFormat="1" applyFont="1"/>
    <xf numFmtId="38" fontId="2" fillId="0" borderId="12" xfId="0" applyNumberFormat="1" applyFont="1" applyBorder="1" applyAlignment="1">
      <alignment horizontal="right" indent="1"/>
    </xf>
    <xf numFmtId="37" fontId="2" fillId="0" borderId="13" xfId="15" applyNumberFormat="1" applyFont="1" applyBorder="1" applyAlignment="1">
      <alignment horizontal="center"/>
    </xf>
    <xf numFmtId="37" fontId="2" fillId="0" borderId="14" xfId="15" applyNumberFormat="1" applyFont="1" applyBorder="1" applyAlignment="1">
      <alignment horizontal="center"/>
    </xf>
    <xf numFmtId="37" fontId="2" fillId="0" borderId="15" xfId="15" applyNumberFormat="1" applyFont="1" applyBorder="1" applyAlignment="1">
      <alignment horizontal="center"/>
    </xf>
    <xf numFmtId="6" fontId="2" fillId="0" borderId="40" xfId="0" applyNumberFormat="1" applyFont="1" applyBorder="1" applyAlignment="1">
      <alignment horizontal="center"/>
    </xf>
    <xf numFmtId="6" fontId="2" fillId="0" borderId="19" xfId="0" applyNumberFormat="1" applyFont="1" applyBorder="1" applyAlignment="1">
      <alignment horizontal="center"/>
    </xf>
    <xf numFmtId="6" fontId="2" fillId="0" borderId="8" xfId="0" applyNumberFormat="1" applyFont="1" applyBorder="1" applyAlignment="1">
      <alignment horizontal="center"/>
    </xf>
    <xf numFmtId="6" fontId="2" fillId="0" borderId="36" xfId="0" applyNumberFormat="1" applyFont="1" applyBorder="1" applyAlignment="1">
      <alignment horizontal="center"/>
    </xf>
    <xf numFmtId="6" fontId="2" fillId="0" borderId="20" xfId="0" applyNumberFormat="1" applyFont="1" applyBorder="1" applyAlignment="1">
      <alignment horizontal="center"/>
    </xf>
    <xf numFmtId="6" fontId="2" fillId="0" borderId="10" xfId="0" applyNumberFormat="1" applyFont="1" applyBorder="1" applyAlignment="1">
      <alignment horizontal="center"/>
    </xf>
    <xf numFmtId="164" fontId="28" fillId="0" borderId="0" xfId="0" applyNumberFormat="1" applyFont="1" applyAlignment="1">
      <alignment horizontal="center"/>
    </xf>
    <xf numFmtId="0" fontId="26" fillId="0" borderId="4" xfId="0" applyFont="1" applyBorder="1"/>
    <xf numFmtId="164" fontId="2" fillId="0" borderId="9" xfId="0" applyNumberFormat="1" applyFont="1" applyBorder="1" applyAlignment="1">
      <alignment horizontal="center" vertical="center" wrapText="1"/>
    </xf>
    <xf numFmtId="0" fontId="4" fillId="2" borderId="62" xfId="0" applyFont="1" applyFill="1" applyBorder="1"/>
    <xf numFmtId="2" fontId="4" fillId="0" borderId="63" xfId="0" applyNumberFormat="1" applyFont="1" applyBorder="1" applyAlignment="1">
      <alignment horizontal="center"/>
    </xf>
    <xf numFmtId="0" fontId="4" fillId="2" borderId="36" xfId="0" applyFont="1" applyFill="1" applyBorder="1"/>
    <xf numFmtId="164" fontId="0" fillId="0" borderId="20" xfId="0" applyNumberFormat="1" applyBorder="1" applyAlignment="1">
      <alignment horizontal="center"/>
    </xf>
    <xf numFmtId="0" fontId="2" fillId="0" borderId="9" xfId="0" applyFont="1" applyBorder="1" applyAlignment="1">
      <alignment horizontal="center" vertical="center"/>
    </xf>
    <xf numFmtId="164" fontId="2" fillId="0" borderId="20" xfId="0" applyNumberFormat="1" applyFont="1" applyBorder="1" applyAlignment="1">
      <alignment horizontal="center"/>
    </xf>
    <xf numFmtId="164" fontId="2" fillId="0" borderId="12" xfId="0" applyNumberFormat="1" applyFont="1" applyBorder="1" applyAlignment="1">
      <alignment horizontal="center"/>
    </xf>
    <xf numFmtId="164" fontId="2" fillId="0" borderId="15" xfId="0" applyNumberFormat="1" applyFont="1" applyBorder="1" applyAlignment="1">
      <alignment horizontal="center" vertical="center"/>
    </xf>
    <xf numFmtId="164" fontId="0" fillId="0" borderId="0" xfId="0" applyNumberFormat="1"/>
    <xf numFmtId="0" fontId="29" fillId="0" borderId="0" xfId="0" applyFont="1" applyAlignment="1">
      <alignment horizontal="center"/>
    </xf>
    <xf numFmtId="0" fontId="29" fillId="0" borderId="0" xfId="0" applyFont="1"/>
    <xf numFmtId="0" fontId="2" fillId="0" borderId="28" xfId="0" applyFont="1" applyBorder="1"/>
    <xf numFmtId="0" fontId="0" fillId="0" borderId="0" xfId="0" applyAlignment="1">
      <alignment horizontal="right" vertical="top"/>
    </xf>
    <xf numFmtId="0" fontId="21" fillId="0" borderId="28" xfId="18" applyBorder="1"/>
    <xf numFmtId="9" fontId="4" fillId="2" borderId="38" xfId="0" applyNumberFormat="1" applyFont="1" applyFill="1" applyBorder="1" applyAlignment="1">
      <alignment horizontal="center"/>
    </xf>
    <xf numFmtId="164" fontId="0" fillId="0" borderId="64" xfId="0" applyNumberFormat="1" applyBorder="1" applyAlignment="1">
      <alignment horizontal="center"/>
    </xf>
    <xf numFmtId="164" fontId="0" fillId="0" borderId="44" xfId="0" applyNumberFormat="1" applyBorder="1" applyAlignment="1">
      <alignment horizontal="center"/>
    </xf>
    <xf numFmtId="9" fontId="4" fillId="2" borderId="31" xfId="0" applyNumberFormat="1" applyFont="1" applyFill="1" applyBorder="1" applyAlignment="1">
      <alignment horizontal="center"/>
    </xf>
    <xf numFmtId="0" fontId="0" fillId="0" borderId="59" xfId="0" applyBorder="1"/>
    <xf numFmtId="0" fontId="4" fillId="2" borderId="65" xfId="0" applyFont="1" applyFill="1" applyBorder="1"/>
    <xf numFmtId="0" fontId="4" fillId="2" borderId="43" xfId="0" applyFont="1" applyFill="1" applyBorder="1"/>
    <xf numFmtId="0" fontId="4" fillId="2" borderId="66" xfId="0" applyFont="1" applyFill="1" applyBorder="1"/>
    <xf numFmtId="164" fontId="0" fillId="0" borderId="18" xfId="0" applyNumberFormat="1" applyBorder="1" applyAlignment="1">
      <alignment horizontal="center"/>
    </xf>
    <xf numFmtId="0" fontId="30" fillId="0" borderId="0" xfId="0" applyFont="1"/>
    <xf numFmtId="0" fontId="30"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14" fillId="0" borderId="0" xfId="0" applyFont="1" applyAlignment="1">
      <alignment horizontal="right"/>
    </xf>
    <xf numFmtId="0" fontId="6" fillId="0" borderId="0" xfId="0" applyFont="1" applyAlignment="1">
      <alignment horizontal="left" vertical="center" wrapText="1"/>
    </xf>
    <xf numFmtId="0" fontId="6" fillId="0" borderId="0" xfId="2" applyFont="1" applyAlignment="1">
      <alignment horizontal="right"/>
    </xf>
    <xf numFmtId="0" fontId="9" fillId="0" borderId="0" xfId="2" applyFont="1" applyAlignment="1">
      <alignment horizontal="right"/>
    </xf>
    <xf numFmtId="0" fontId="6" fillId="0" borderId="0" xfId="2" applyFont="1" applyAlignment="1">
      <alignment horizontal="center" vertical="top" wrapText="1"/>
    </xf>
    <xf numFmtId="0" fontId="6" fillId="0" borderId="0" xfId="0" applyFont="1" applyAlignment="1">
      <alignment vertical="center" wrapText="1"/>
    </xf>
    <xf numFmtId="0" fontId="6" fillId="0" borderId="0" xfId="2" applyFont="1" applyAlignment="1">
      <alignment horizontal="left" vertical="top"/>
    </xf>
    <xf numFmtId="171" fontId="31" fillId="0" borderId="0" xfId="2" applyNumberFormat="1" applyFont="1" applyAlignment="1">
      <alignment horizontal="left" vertical="top"/>
    </xf>
    <xf numFmtId="0" fontId="0" fillId="0" borderId="4" xfId="0" applyBorder="1"/>
    <xf numFmtId="0" fontId="6" fillId="0" borderId="28" xfId="0" applyFont="1" applyBorder="1" applyAlignment="1">
      <alignment horizontal="left"/>
    </xf>
    <xf numFmtId="37" fontId="6" fillId="0" borderId="28" xfId="15" applyNumberFormat="1" applyFont="1" applyFill="1" applyBorder="1" applyAlignment="1">
      <alignment horizontal="center"/>
    </xf>
    <xf numFmtId="2" fontId="6" fillId="0" borderId="28" xfId="16" applyNumberFormat="1" applyFont="1" applyFill="1" applyBorder="1" applyAlignment="1">
      <alignment horizontal="center"/>
    </xf>
    <xf numFmtId="0" fontId="6" fillId="0" borderId="0" xfId="0" applyFont="1" applyAlignment="1">
      <alignment vertical="top" wrapText="1"/>
    </xf>
    <xf numFmtId="6" fontId="33" fillId="0" borderId="0" xfId="0" applyNumberFormat="1" applyFont="1" applyAlignment="1">
      <alignment horizontal="center"/>
    </xf>
    <xf numFmtId="0" fontId="0" fillId="0" borderId="36" xfId="0" applyBorder="1"/>
    <xf numFmtId="38" fontId="0" fillId="0" borderId="0" xfId="0" applyNumberFormat="1"/>
    <xf numFmtId="0" fontId="2" fillId="0" borderId="54" xfId="0" applyFont="1" applyBorder="1" applyAlignment="1">
      <alignment horizontal="center"/>
    </xf>
    <xf numFmtId="164" fontId="2" fillId="0" borderId="68" xfId="0" applyNumberFormat="1" applyFont="1" applyBorder="1" applyAlignment="1">
      <alignment horizontal="center" vertical="center" wrapText="1"/>
    </xf>
    <xf numFmtId="164" fontId="2" fillId="0" borderId="54" xfId="0" applyNumberFormat="1" applyFont="1" applyBorder="1" applyAlignment="1">
      <alignment horizontal="center" vertical="center"/>
    </xf>
    <xf numFmtId="6" fontId="2" fillId="0" borderId="35" xfId="0" applyNumberFormat="1" applyFont="1" applyBorder="1" applyAlignment="1">
      <alignment horizontal="center"/>
    </xf>
    <xf numFmtId="6" fontId="2" fillId="0" borderId="18" xfId="0" applyNumberFormat="1" applyFont="1" applyBorder="1" applyAlignment="1">
      <alignment horizontal="center"/>
    </xf>
    <xf numFmtId="6" fontId="2" fillId="0" borderId="6" xfId="0" applyNumberFormat="1" applyFont="1" applyBorder="1" applyAlignment="1">
      <alignment horizontal="center"/>
    </xf>
    <xf numFmtId="0" fontId="14" fillId="0" borderId="0" xfId="0" applyFont="1"/>
    <xf numFmtId="0" fontId="21" fillId="0" borderId="60" xfId="18" applyBorder="1"/>
    <xf numFmtId="0" fontId="0" fillId="0" borderId="19" xfId="0" applyBorder="1" applyAlignment="1">
      <alignment horizontal="center"/>
    </xf>
    <xf numFmtId="0" fontId="4" fillId="0" borderId="69" xfId="0" applyFont="1" applyBorder="1" applyAlignment="1">
      <alignment horizontal="center"/>
    </xf>
    <xf numFmtId="0" fontId="4" fillId="0" borderId="70" xfId="0" applyFont="1" applyBorder="1" applyAlignment="1">
      <alignment horizontal="center"/>
    </xf>
    <xf numFmtId="0" fontId="4" fillId="0" borderId="52" xfId="0" applyFont="1" applyBorder="1"/>
    <xf numFmtId="0" fontId="4" fillId="0" borderId="5" xfId="0" applyFont="1" applyBorder="1"/>
    <xf numFmtId="0" fontId="4" fillId="0" borderId="59" xfId="0" applyFont="1" applyBorder="1" applyAlignment="1">
      <alignment horizontal="center"/>
    </xf>
    <xf numFmtId="0" fontId="4" fillId="0" borderId="38" xfId="0" applyFont="1" applyBorder="1" applyAlignment="1">
      <alignment horizontal="center"/>
    </xf>
    <xf numFmtId="0" fontId="4" fillId="0" borderId="36" xfId="0" applyFont="1" applyBorder="1" applyAlignment="1">
      <alignment horizontal="center"/>
    </xf>
    <xf numFmtId="0" fontId="4" fillId="0" borderId="71" xfId="0" applyFont="1" applyBorder="1" applyAlignment="1">
      <alignment horizontal="center"/>
    </xf>
    <xf numFmtId="0" fontId="4" fillId="0" borderId="11" xfId="0" applyFont="1" applyBorder="1"/>
    <xf numFmtId="0" fontId="4" fillId="0" borderId="65" xfId="0" applyFont="1" applyBorder="1" applyAlignment="1">
      <alignment horizontal="center"/>
    </xf>
    <xf numFmtId="0" fontId="2" fillId="0" borderId="67" xfId="0" applyFont="1" applyBorder="1" applyAlignment="1">
      <alignment horizontal="center" vertical="center" wrapText="1"/>
    </xf>
    <xf numFmtId="164" fontId="2" fillId="0" borderId="46" xfId="0" applyNumberFormat="1" applyFont="1" applyBorder="1" applyAlignment="1">
      <alignment horizontal="center" vertical="center"/>
    </xf>
    <xf numFmtId="164" fontId="2" fillId="0" borderId="7" xfId="0" applyNumberFormat="1" applyFont="1" applyBorder="1" applyAlignment="1">
      <alignment horizontal="center" vertical="center"/>
    </xf>
    <xf numFmtId="164" fontId="2" fillId="0" borderId="9" xfId="0" applyNumberFormat="1" applyFont="1" applyBorder="1" applyAlignment="1">
      <alignment horizontal="center" vertical="center"/>
    </xf>
    <xf numFmtId="44" fontId="2" fillId="0" borderId="7" xfId="1" applyFont="1" applyBorder="1" applyAlignment="1">
      <alignment horizontal="center"/>
    </xf>
    <xf numFmtId="164" fontId="2" fillId="0" borderId="71" xfId="0" applyNumberFormat="1" applyFont="1" applyBorder="1" applyAlignment="1">
      <alignment horizontal="center"/>
    </xf>
    <xf numFmtId="164" fontId="2" fillId="0" borderId="48" xfId="0" applyNumberFormat="1" applyFont="1" applyBorder="1" applyAlignment="1">
      <alignment horizontal="center"/>
    </xf>
    <xf numFmtId="164" fontId="2" fillId="0" borderId="57" xfId="0" applyNumberFormat="1" applyFont="1" applyBorder="1" applyAlignment="1">
      <alignment horizontal="center"/>
    </xf>
    <xf numFmtId="164" fontId="2" fillId="0" borderId="72" xfId="0" applyNumberFormat="1" applyFont="1" applyBorder="1" applyAlignment="1">
      <alignment horizontal="center"/>
    </xf>
    <xf numFmtId="164" fontId="2" fillId="0" borderId="9" xfId="0" applyNumberFormat="1" applyFont="1" applyBorder="1" applyAlignment="1">
      <alignment horizontal="center"/>
    </xf>
    <xf numFmtId="0" fontId="9" fillId="0" borderId="0" xfId="0" applyFont="1" applyAlignment="1">
      <alignment horizontal="center" vertical="center"/>
    </xf>
    <xf numFmtId="0" fontId="9" fillId="0" borderId="0" xfId="1" applyNumberFormat="1" applyFont="1" applyFill="1" applyBorder="1" applyAlignment="1">
      <alignment horizontal="center"/>
    </xf>
    <xf numFmtId="2" fontId="9" fillId="0" borderId="0" xfId="1" applyNumberFormat="1" applyFont="1" applyFill="1" applyBorder="1" applyAlignment="1">
      <alignment horizontal="center"/>
    </xf>
    <xf numFmtId="169" fontId="6" fillId="0" borderId="28" xfId="0" applyNumberFormat="1" applyFont="1" applyBorder="1" applyAlignment="1">
      <alignment horizontal="center"/>
    </xf>
    <xf numFmtId="169" fontId="6" fillId="0" borderId="28" xfId="1" applyNumberFormat="1" applyFont="1" applyFill="1" applyBorder="1" applyAlignment="1">
      <alignment horizontal="center"/>
    </xf>
    <xf numFmtId="164" fontId="6" fillId="0" borderId="28" xfId="0" applyNumberFormat="1" applyFont="1" applyBorder="1" applyAlignment="1">
      <alignment horizontal="center"/>
    </xf>
    <xf numFmtId="0" fontId="2" fillId="0" borderId="28" xfId="0" applyFont="1" applyBorder="1" applyAlignment="1">
      <alignment horizontal="center"/>
    </xf>
    <xf numFmtId="0" fontId="6" fillId="0" borderId="0" xfId="0" applyFont="1" applyAlignment="1">
      <alignment horizontal="center"/>
    </xf>
    <xf numFmtId="0" fontId="6" fillId="0" borderId="0" xfId="0" applyFont="1"/>
    <xf numFmtId="2" fontId="0" fillId="0" borderId="0" xfId="0" applyNumberFormat="1"/>
    <xf numFmtId="0" fontId="4" fillId="0" borderId="29" xfId="0" applyFont="1" applyBorder="1" applyAlignment="1">
      <alignment horizontal="left"/>
    </xf>
    <xf numFmtId="6" fontId="2" fillId="0" borderId="76" xfId="0" applyNumberFormat="1" applyFont="1" applyBorder="1" applyAlignment="1">
      <alignment horizontal="center"/>
    </xf>
    <xf numFmtId="173" fontId="2" fillId="0" borderId="35" xfId="0" applyNumberFormat="1" applyFont="1" applyBorder="1" applyAlignment="1">
      <alignment horizontal="center"/>
    </xf>
    <xf numFmtId="173" fontId="2" fillId="0" borderId="49" xfId="0" applyNumberFormat="1" applyFont="1" applyBorder="1" applyAlignment="1">
      <alignment horizontal="center"/>
    </xf>
    <xf numFmtId="6" fontId="2" fillId="0" borderId="49" xfId="0" applyNumberFormat="1" applyFont="1" applyBorder="1" applyAlignment="1">
      <alignment horizontal="center"/>
    </xf>
    <xf numFmtId="6" fontId="2" fillId="0" borderId="5" xfId="0" applyNumberFormat="1" applyFont="1" applyBorder="1" applyAlignment="1">
      <alignment horizontal="center"/>
    </xf>
    <xf numFmtId="0" fontId="2" fillId="0" borderId="7" xfId="0" applyFont="1" applyBorder="1" applyAlignment="1">
      <alignment horizontal="center"/>
    </xf>
    <xf numFmtId="173" fontId="2" fillId="0" borderId="40" xfId="0" applyNumberFormat="1" applyFont="1" applyBorder="1" applyAlignment="1">
      <alignment horizontal="center"/>
    </xf>
    <xf numFmtId="173" fontId="2" fillId="0" borderId="28" xfId="0" applyNumberFormat="1" applyFont="1" applyBorder="1" applyAlignment="1">
      <alignment horizontal="center"/>
    </xf>
    <xf numFmtId="6" fontId="2" fillId="0" borderId="60" xfId="0" applyNumberFormat="1" applyFont="1" applyBorder="1" applyAlignment="1">
      <alignment horizontal="center"/>
    </xf>
    <xf numFmtId="6" fontId="2" fillId="0" borderId="28" xfId="0" applyNumberFormat="1" applyFont="1" applyBorder="1" applyAlignment="1">
      <alignment horizontal="center"/>
    </xf>
    <xf numFmtId="6" fontId="2" fillId="0" borderId="7" xfId="0" applyNumberFormat="1" applyFont="1" applyBorder="1" applyAlignment="1">
      <alignment horizontal="center"/>
    </xf>
    <xf numFmtId="0" fontId="4" fillId="0" borderId="28" xfId="0" applyFont="1" applyBorder="1" applyAlignment="1">
      <alignment horizontal="center" vertical="center"/>
    </xf>
    <xf numFmtId="0" fontId="4" fillId="0" borderId="28" xfId="0" applyFont="1" applyBorder="1" applyAlignment="1">
      <alignment vertical="center"/>
    </xf>
    <xf numFmtId="0" fontId="0" fillId="0" borderId="28" xfId="0" applyBorder="1" applyAlignment="1">
      <alignment horizontal="center" vertical="center"/>
    </xf>
    <xf numFmtId="0" fontId="2" fillId="0" borderId="9" xfId="0" applyFont="1" applyBorder="1" applyAlignment="1">
      <alignment horizontal="center"/>
    </xf>
    <xf numFmtId="173" fontId="2" fillId="0" borderId="36" xfId="0" applyNumberFormat="1" applyFont="1" applyBorder="1" applyAlignment="1">
      <alignment horizontal="center"/>
    </xf>
    <xf numFmtId="173" fontId="2" fillId="0" borderId="55" xfId="0" applyNumberFormat="1" applyFont="1" applyBorder="1" applyAlignment="1">
      <alignment horizontal="center"/>
    </xf>
    <xf numFmtId="6" fontId="2" fillId="0" borderId="61" xfId="0" applyNumberFormat="1" applyFont="1" applyBorder="1" applyAlignment="1">
      <alignment horizontal="center"/>
    </xf>
    <xf numFmtId="6" fontId="2" fillId="0" borderId="55" xfId="0" applyNumberFormat="1" applyFont="1" applyBorder="1" applyAlignment="1">
      <alignment horizontal="center"/>
    </xf>
    <xf numFmtId="6" fontId="2" fillId="0" borderId="9" xfId="0" applyNumberFormat="1" applyFont="1" applyBorder="1" applyAlignment="1">
      <alignment horizontal="center"/>
    </xf>
    <xf numFmtId="6" fontId="2" fillId="0" borderId="0" xfId="0" applyNumberFormat="1" applyFont="1" applyAlignment="1">
      <alignment horizontal="center"/>
    </xf>
    <xf numFmtId="0" fontId="4" fillId="0" borderId="58" xfId="0" applyFont="1" applyBorder="1" applyAlignment="1">
      <alignment horizontal="center"/>
    </xf>
    <xf numFmtId="0" fontId="4" fillId="0" borderId="51" xfId="0" applyFont="1" applyBorder="1" applyAlignment="1">
      <alignment horizontal="center" vertical="center"/>
    </xf>
    <xf numFmtId="0" fontId="4" fillId="0" borderId="16" xfId="0" applyFont="1" applyBorder="1" applyAlignment="1">
      <alignment horizontal="center" vertical="center"/>
    </xf>
    <xf numFmtId="0" fontId="0" fillId="0" borderId="49" xfId="0" applyBorder="1" applyAlignment="1">
      <alignment horizontal="center"/>
    </xf>
    <xf numFmtId="0" fontId="0" fillId="0" borderId="18" xfId="0" applyBorder="1" applyAlignment="1">
      <alignment horizontal="center"/>
    </xf>
    <xf numFmtId="164" fontId="6" fillId="0" borderId="0" xfId="0" applyNumberFormat="1" applyFont="1"/>
    <xf numFmtId="0" fontId="6" fillId="0" borderId="35" xfId="0" applyFont="1" applyBorder="1"/>
    <xf numFmtId="0" fontId="6" fillId="0" borderId="40" xfId="0" applyFont="1" applyBorder="1"/>
    <xf numFmtId="0" fontId="4" fillId="0" borderId="25" xfId="0" applyFont="1" applyBorder="1" applyAlignment="1">
      <alignment horizontal="center"/>
    </xf>
    <xf numFmtId="9" fontId="6" fillId="0" borderId="25" xfId="16" applyFont="1" applyBorder="1" applyAlignment="1">
      <alignment horizontal="center"/>
    </xf>
    <xf numFmtId="10" fontId="6" fillId="0" borderId="0" xfId="16" applyNumberFormat="1" applyFont="1" applyBorder="1" applyAlignment="1">
      <alignment horizontal="center"/>
    </xf>
    <xf numFmtId="9" fontId="0" fillId="0" borderId="0" xfId="16" applyFont="1" applyBorder="1" applyAlignment="1">
      <alignment horizontal="center"/>
    </xf>
    <xf numFmtId="10" fontId="6" fillId="0" borderId="0" xfId="16" applyNumberFormat="1" applyFont="1" applyBorder="1"/>
    <xf numFmtId="0" fontId="6" fillId="0" borderId="0" xfId="2" applyFont="1" applyAlignment="1">
      <alignment vertical="top" wrapText="1"/>
    </xf>
    <xf numFmtId="0" fontId="4" fillId="0" borderId="39" xfId="0" applyFont="1" applyBorder="1" applyAlignment="1">
      <alignment horizontal="center"/>
    </xf>
    <xf numFmtId="0" fontId="4" fillId="0" borderId="51" xfId="0" applyFont="1" applyBorder="1" applyAlignment="1">
      <alignment horizontal="center"/>
    </xf>
    <xf numFmtId="0" fontId="6" fillId="0" borderId="40" xfId="0" applyFont="1" applyBorder="1" applyAlignment="1">
      <alignment wrapText="1"/>
    </xf>
    <xf numFmtId="0" fontId="36" fillId="0" borderId="60" xfId="18" applyFont="1" applyBorder="1"/>
    <xf numFmtId="0" fontId="14" fillId="0" borderId="34" xfId="0" applyFont="1" applyBorder="1" applyAlignment="1">
      <alignment horizontal="center"/>
    </xf>
    <xf numFmtId="164" fontId="0" fillId="0" borderId="27" xfId="0" applyNumberFormat="1" applyBorder="1" applyAlignment="1">
      <alignment horizontal="center"/>
    </xf>
    <xf numFmtId="164" fontId="0" fillId="0" borderId="28" xfId="0" applyNumberFormat="1" applyBorder="1" applyAlignment="1">
      <alignment horizontal="center"/>
    </xf>
    <xf numFmtId="164" fontId="0" fillId="0" borderId="19" xfId="0" applyNumberFormat="1" applyBorder="1" applyAlignment="1">
      <alignment horizontal="center"/>
    </xf>
    <xf numFmtId="164" fontId="0" fillId="0" borderId="55" xfId="0" applyNumberFormat="1" applyBorder="1" applyAlignment="1">
      <alignment horizontal="center"/>
    </xf>
    <xf numFmtId="164" fontId="0" fillId="0" borderId="48" xfId="0" applyNumberFormat="1" applyBorder="1" applyAlignment="1">
      <alignment horizontal="center"/>
    </xf>
    <xf numFmtId="164" fontId="0" fillId="0" borderId="57" xfId="0" applyNumberFormat="1" applyBorder="1" applyAlignment="1">
      <alignment horizontal="center"/>
    </xf>
    <xf numFmtId="0" fontId="32" fillId="3" borderId="5" xfId="0" applyFont="1" applyFill="1" applyBorder="1"/>
    <xf numFmtId="0" fontId="6" fillId="3" borderId="35" xfId="0" applyFont="1" applyFill="1" applyBorder="1" applyAlignment="1">
      <alignment horizontal="center"/>
    </xf>
    <xf numFmtId="0" fontId="6" fillId="3" borderId="49" xfId="0" applyFont="1" applyFill="1" applyBorder="1" applyAlignment="1">
      <alignment horizontal="center"/>
    </xf>
    <xf numFmtId="0" fontId="6" fillId="3" borderId="18" xfId="0" applyFont="1" applyFill="1" applyBorder="1" applyAlignment="1">
      <alignment horizontal="center"/>
    </xf>
    <xf numFmtId="0" fontId="32" fillId="3" borderId="7" xfId="0" applyFont="1" applyFill="1" applyBorder="1"/>
    <xf numFmtId="0" fontId="6" fillId="3" borderId="40" xfId="0" applyFont="1" applyFill="1" applyBorder="1" applyAlignment="1">
      <alignment horizontal="center"/>
    </xf>
    <xf numFmtId="0" fontId="6" fillId="3" borderId="28" xfId="0" applyFont="1" applyFill="1" applyBorder="1" applyAlignment="1">
      <alignment horizontal="center"/>
    </xf>
    <xf numFmtId="0" fontId="6" fillId="3" borderId="19" xfId="0" applyFont="1" applyFill="1" applyBorder="1" applyAlignment="1">
      <alignment horizontal="center"/>
    </xf>
    <xf numFmtId="0" fontId="7" fillId="3" borderId="7" xfId="0" applyFont="1" applyFill="1" applyBorder="1"/>
    <xf numFmtId="0" fontId="0" fillId="3" borderId="40" xfId="0" applyFill="1" applyBorder="1" applyAlignment="1">
      <alignment horizontal="center"/>
    </xf>
    <xf numFmtId="0" fontId="0" fillId="3" borderId="28" xfId="0" applyFill="1" applyBorder="1" applyAlignment="1">
      <alignment horizontal="center"/>
    </xf>
    <xf numFmtId="0" fontId="0" fillId="3" borderId="19" xfId="0" applyFill="1" applyBorder="1" applyAlignment="1">
      <alignment horizontal="center"/>
    </xf>
    <xf numFmtId="0" fontId="32" fillId="3" borderId="13" xfId="0" applyFont="1" applyFill="1" applyBorder="1"/>
    <xf numFmtId="0" fontId="7" fillId="4" borderId="7" xfId="0" applyFont="1" applyFill="1" applyBorder="1"/>
    <xf numFmtId="0" fontId="6" fillId="4" borderId="40" xfId="0" applyFont="1" applyFill="1" applyBorder="1" applyAlignment="1">
      <alignment horizontal="center"/>
    </xf>
    <xf numFmtId="0" fontId="6" fillId="4" borderId="28" xfId="0" applyFont="1" applyFill="1" applyBorder="1" applyAlignment="1">
      <alignment horizontal="center"/>
    </xf>
    <xf numFmtId="0" fontId="6" fillId="4" borderId="19" xfId="0" applyFont="1" applyFill="1" applyBorder="1" applyAlignment="1">
      <alignment horizontal="center"/>
    </xf>
    <xf numFmtId="0" fontId="32" fillId="4" borderId="14" xfId="0" applyFont="1" applyFill="1" applyBorder="1"/>
    <xf numFmtId="0" fontId="32" fillId="5" borderId="7" xfId="0" applyFont="1" applyFill="1" applyBorder="1"/>
    <xf numFmtId="0" fontId="6" fillId="5" borderId="40" xfId="0" applyFont="1" applyFill="1" applyBorder="1" applyAlignment="1">
      <alignment horizontal="center"/>
    </xf>
    <xf numFmtId="0" fontId="6" fillId="5" borderId="28" xfId="0" applyFont="1" applyFill="1" applyBorder="1" applyAlignment="1">
      <alignment horizontal="center"/>
    </xf>
    <xf numFmtId="0" fontId="6" fillId="5" borderId="19" xfId="0" applyFont="1" applyFill="1" applyBorder="1" applyAlignment="1">
      <alignment horizontal="center"/>
    </xf>
    <xf numFmtId="0" fontId="32" fillId="5" borderId="9" xfId="0" applyFont="1" applyFill="1" applyBorder="1"/>
    <xf numFmtId="0" fontId="6" fillId="5" borderId="36" xfId="0" applyFont="1" applyFill="1" applyBorder="1" applyAlignment="1">
      <alignment horizontal="center"/>
    </xf>
    <xf numFmtId="0" fontId="6" fillId="5" borderId="55" xfId="0" applyFont="1" applyFill="1" applyBorder="1" applyAlignment="1">
      <alignment horizontal="center"/>
    </xf>
    <xf numFmtId="0" fontId="6" fillId="5" borderId="20" xfId="0" applyFont="1" applyFill="1" applyBorder="1" applyAlignment="1">
      <alignment horizontal="center"/>
    </xf>
    <xf numFmtId="0" fontId="32" fillId="5" borderId="15" xfId="0" applyFont="1" applyFill="1" applyBorder="1"/>
    <xf numFmtId="164" fontId="0" fillId="5" borderId="65" xfId="0" applyNumberFormat="1" applyFill="1" applyBorder="1" applyAlignment="1">
      <alignment horizontal="center"/>
    </xf>
    <xf numFmtId="164" fontId="0" fillId="5" borderId="30" xfId="0" applyNumberFormat="1" applyFill="1" applyBorder="1" applyAlignment="1">
      <alignment horizontal="center"/>
    </xf>
    <xf numFmtId="164" fontId="6" fillId="5" borderId="14" xfId="0" applyNumberFormat="1" applyFont="1" applyFill="1" applyBorder="1" applyAlignment="1">
      <alignment horizontal="center"/>
    </xf>
    <xf numFmtId="164" fontId="0" fillId="5" borderId="37" xfId="0" applyNumberFormat="1" applyFill="1" applyBorder="1" applyAlignment="1">
      <alignment horizontal="center"/>
    </xf>
    <xf numFmtId="164" fontId="0" fillId="5" borderId="77" xfId="0" applyNumberFormat="1" applyFill="1" applyBorder="1" applyAlignment="1">
      <alignment horizontal="center"/>
    </xf>
    <xf numFmtId="164" fontId="6" fillId="5" borderId="15" xfId="0" applyNumberFormat="1" applyFont="1" applyFill="1" applyBorder="1" applyAlignment="1">
      <alignment horizontal="center"/>
    </xf>
    <xf numFmtId="164" fontId="0" fillId="3" borderId="35" xfId="0" applyNumberFormat="1" applyFill="1" applyBorder="1" applyAlignment="1">
      <alignment horizontal="center"/>
    </xf>
    <xf numFmtId="164" fontId="0" fillId="3" borderId="21" xfId="0" applyNumberFormat="1" applyFill="1" applyBorder="1" applyAlignment="1">
      <alignment horizontal="center"/>
    </xf>
    <xf numFmtId="164" fontId="6" fillId="3" borderId="13" xfId="0" applyNumberFormat="1" applyFont="1" applyFill="1" applyBorder="1" applyAlignment="1">
      <alignment horizontal="center"/>
    </xf>
    <xf numFmtId="164" fontId="0" fillId="3" borderId="65" xfId="0" applyNumberFormat="1" applyFill="1" applyBorder="1" applyAlignment="1">
      <alignment horizontal="center"/>
    </xf>
    <xf numFmtId="164" fontId="0" fillId="3" borderId="30" xfId="0" applyNumberFormat="1" applyFill="1" applyBorder="1" applyAlignment="1">
      <alignment horizontal="center"/>
    </xf>
    <xf numFmtId="164" fontId="6" fillId="3" borderId="14" xfId="0" applyNumberFormat="1" applyFont="1" applyFill="1" applyBorder="1" applyAlignment="1">
      <alignment horizontal="center"/>
    </xf>
    <xf numFmtId="0" fontId="32" fillId="3" borderId="67" xfId="0" applyFont="1" applyFill="1" applyBorder="1"/>
    <xf numFmtId="164" fontId="6" fillId="3" borderId="67" xfId="0" applyNumberFormat="1" applyFont="1" applyFill="1" applyBorder="1" applyAlignment="1">
      <alignment horizontal="center"/>
    </xf>
    <xf numFmtId="164" fontId="0" fillId="4" borderId="65" xfId="0" applyNumberFormat="1" applyFill="1" applyBorder="1" applyAlignment="1">
      <alignment horizontal="center"/>
    </xf>
    <xf numFmtId="164" fontId="0" fillId="4" borderId="30" xfId="0" applyNumberFormat="1" applyFill="1" applyBorder="1" applyAlignment="1">
      <alignment horizontal="center"/>
    </xf>
    <xf numFmtId="164" fontId="6" fillId="4" borderId="14" xfId="0" applyNumberFormat="1" applyFont="1" applyFill="1" applyBorder="1" applyAlignment="1">
      <alignment horizontal="center"/>
    </xf>
    <xf numFmtId="164" fontId="6" fillId="4" borderId="67" xfId="0" applyNumberFormat="1" applyFont="1" applyFill="1" applyBorder="1" applyAlignment="1">
      <alignment horizontal="center"/>
    </xf>
    <xf numFmtId="0" fontId="7" fillId="5" borderId="7" xfId="0" applyFont="1" applyFill="1" applyBorder="1"/>
    <xf numFmtId="1" fontId="0" fillId="0" borderId="28" xfId="0" applyNumberFormat="1" applyBorder="1" applyAlignment="1">
      <alignment horizontal="center"/>
    </xf>
    <xf numFmtId="2" fontId="6" fillId="0" borderId="0" xfId="16" applyNumberFormat="1" applyFont="1" applyBorder="1" applyAlignment="1">
      <alignment horizontal="center"/>
    </xf>
    <xf numFmtId="0" fontId="6" fillId="0" borderId="0" xfId="0" applyFont="1" applyAlignment="1">
      <alignment vertical="top"/>
    </xf>
    <xf numFmtId="164" fontId="0" fillId="5" borderId="36" xfId="0" applyNumberFormat="1" applyFill="1" applyBorder="1" applyAlignment="1">
      <alignment horizontal="center"/>
    </xf>
    <xf numFmtId="164" fontId="0" fillId="5" borderId="23" xfId="0" applyNumberFormat="1" applyFill="1" applyBorder="1" applyAlignment="1">
      <alignment horizontal="center"/>
    </xf>
    <xf numFmtId="0" fontId="0" fillId="0" borderId="0" xfId="0" applyAlignment="1">
      <alignment vertical="center" textRotation="90"/>
    </xf>
    <xf numFmtId="0" fontId="32" fillId="0" borderId="2" xfId="0" applyFont="1" applyBorder="1"/>
    <xf numFmtId="0" fontId="0" fillId="0" borderId="47" xfId="0" applyBorder="1" applyAlignment="1">
      <alignment vertical="center" textRotation="90"/>
    </xf>
    <xf numFmtId="165" fontId="0" fillId="0" borderId="0" xfId="1" applyNumberFormat="1" applyFont="1"/>
    <xf numFmtId="170" fontId="9" fillId="0" borderId="0" xfId="0" applyNumberFormat="1" applyFont="1" applyAlignment="1">
      <alignment horizontal="center" vertical="center"/>
    </xf>
    <xf numFmtId="167" fontId="23" fillId="6" borderId="28" xfId="7" applyNumberFormat="1" applyFont="1" applyFill="1" applyBorder="1" applyAlignment="1">
      <alignment horizontal="center"/>
    </xf>
    <xf numFmtId="10" fontId="23" fillId="6" borderId="28" xfId="16" applyNumberFormat="1" applyFont="1" applyFill="1" applyBorder="1" applyAlignment="1">
      <alignment horizontal="center"/>
    </xf>
    <xf numFmtId="0" fontId="38" fillId="0" borderId="0" xfId="0" applyFont="1"/>
    <xf numFmtId="0" fontId="37" fillId="0" borderId="0" xfId="0" applyFont="1"/>
    <xf numFmtId="164" fontId="2" fillId="0" borderId="40" xfId="0" applyNumberFormat="1" applyFont="1" applyBorder="1" applyAlignment="1">
      <alignment horizontal="center"/>
    </xf>
    <xf numFmtId="164" fontId="2" fillId="0" borderId="28" xfId="0" applyNumberFormat="1" applyFont="1" applyBorder="1" applyAlignment="1">
      <alignment horizontal="center"/>
    </xf>
    <xf numFmtId="164" fontId="2" fillId="0" borderId="19" xfId="0" applyNumberFormat="1" applyFont="1" applyBorder="1" applyAlignment="1">
      <alignment horizontal="center"/>
    </xf>
    <xf numFmtId="0" fontId="18" fillId="0" borderId="28" xfId="0" applyFont="1" applyBorder="1"/>
    <xf numFmtId="0" fontId="18" fillId="0" borderId="0" xfId="0" applyFont="1"/>
    <xf numFmtId="3" fontId="0" fillId="0" borderId="0" xfId="15" applyNumberFormat="1" applyFont="1"/>
    <xf numFmtId="10" fontId="0" fillId="0" borderId="28" xfId="0" applyNumberFormat="1" applyBorder="1"/>
    <xf numFmtId="9" fontId="0" fillId="0" borderId="0" xfId="0" applyNumberFormat="1"/>
    <xf numFmtId="0" fontId="40" fillId="0" borderId="0" xfId="0" applyFont="1"/>
    <xf numFmtId="174" fontId="0" fillId="0" borderId="0" xfId="15" applyNumberFormat="1" applyFont="1"/>
    <xf numFmtId="0" fontId="18" fillId="0" borderId="28" xfId="0" applyFont="1" applyBorder="1" applyAlignment="1">
      <alignment horizontal="center"/>
    </xf>
    <xf numFmtId="3" fontId="0" fillId="0" borderId="0" xfId="0" applyNumberFormat="1" applyAlignment="1">
      <alignment horizontal="center"/>
    </xf>
    <xf numFmtId="0" fontId="41" fillId="0" borderId="0" xfId="0" applyFont="1" applyAlignment="1">
      <alignment horizontal="center"/>
    </xf>
    <xf numFmtId="164" fontId="2" fillId="0" borderId="36" xfId="0" applyNumberFormat="1" applyFont="1" applyBorder="1" applyAlignment="1">
      <alignment horizontal="center"/>
    </xf>
    <xf numFmtId="0" fontId="3" fillId="0" borderId="0" xfId="0" applyFont="1" applyAlignment="1">
      <alignment horizontal="right"/>
    </xf>
    <xf numFmtId="164" fontId="2" fillId="0" borderId="59" xfId="0" applyNumberFormat="1" applyFont="1" applyBorder="1" applyAlignment="1">
      <alignment horizontal="center"/>
    </xf>
    <xf numFmtId="164" fontId="2" fillId="0" borderId="69" xfId="0" applyNumberFormat="1" applyFont="1" applyBorder="1" applyAlignment="1">
      <alignment horizontal="center"/>
    </xf>
    <xf numFmtId="164" fontId="2" fillId="0" borderId="37" xfId="0" applyNumberFormat="1" applyFont="1" applyBorder="1" applyAlignment="1">
      <alignment horizontal="center"/>
    </xf>
    <xf numFmtId="164" fontId="2" fillId="0" borderId="17" xfId="0" applyNumberFormat="1" applyFont="1" applyBorder="1" applyAlignment="1">
      <alignment horizontal="center"/>
    </xf>
    <xf numFmtId="164" fontId="3" fillId="0" borderId="0" xfId="0" applyNumberFormat="1" applyFont="1" applyAlignment="1">
      <alignment horizontal="center"/>
    </xf>
    <xf numFmtId="3" fontId="0" fillId="0" borderId="0" xfId="0" applyNumberFormat="1"/>
    <xf numFmtId="0" fontId="0" fillId="0" borderId="84" xfId="0" applyBorder="1"/>
    <xf numFmtId="0" fontId="40" fillId="0" borderId="0" xfId="0" applyFont="1" applyAlignment="1">
      <alignment horizontal="left"/>
    </xf>
    <xf numFmtId="165" fontId="0" fillId="0" borderId="28" xfId="1" applyNumberFormat="1" applyFont="1" applyBorder="1"/>
    <xf numFmtId="1" fontId="0" fillId="0" borderId="28" xfId="0" applyNumberFormat="1" applyBorder="1"/>
    <xf numFmtId="0" fontId="40" fillId="0" borderId="0" xfId="0" applyFont="1" applyAlignment="1">
      <alignment wrapText="1"/>
    </xf>
    <xf numFmtId="0" fontId="43" fillId="0" borderId="0" xfId="0" applyFont="1"/>
    <xf numFmtId="168" fontId="6" fillId="0" borderId="28" xfId="16" applyNumberFormat="1" applyFont="1" applyFill="1" applyBorder="1" applyAlignment="1">
      <alignment horizontal="center"/>
    </xf>
    <xf numFmtId="170" fontId="6" fillId="0" borderId="0" xfId="0" applyNumberFormat="1" applyFont="1" applyAlignment="1">
      <alignment horizontal="center" vertical="center"/>
    </xf>
    <xf numFmtId="0" fontId="22" fillId="0" borderId="28" xfId="0" applyFont="1" applyBorder="1"/>
    <xf numFmtId="165" fontId="22" fillId="0" borderId="0" xfId="1" applyNumberFormat="1" applyFont="1" applyBorder="1"/>
    <xf numFmtId="3" fontId="22" fillId="0" borderId="0" xfId="15" applyNumberFormat="1" applyFont="1"/>
    <xf numFmtId="3" fontId="22" fillId="0" borderId="0" xfId="0" applyNumberFormat="1" applyFont="1" applyAlignment="1">
      <alignment horizontal="center"/>
    </xf>
    <xf numFmtId="3" fontId="22" fillId="0" borderId="0" xfId="0" applyNumberFormat="1" applyFont="1" applyAlignment="1">
      <alignment horizontal="left"/>
    </xf>
    <xf numFmtId="174" fontId="22" fillId="0" borderId="0" xfId="15" applyNumberFormat="1" applyFont="1" applyFill="1" applyBorder="1"/>
    <xf numFmtId="3" fontId="0" fillId="0" borderId="28" xfId="15" applyNumberFormat="1" applyFont="1" applyFill="1" applyBorder="1"/>
    <xf numFmtId="9" fontId="0" fillId="0" borderId="28" xfId="0" applyNumberFormat="1" applyBorder="1"/>
    <xf numFmtId="0" fontId="21" fillId="0" borderId="0" xfId="18" applyAlignment="1">
      <alignment vertical="top" wrapText="1"/>
    </xf>
    <xf numFmtId="43" fontId="0" fillId="0" borderId="28" xfId="15" applyFont="1" applyFill="1" applyBorder="1"/>
    <xf numFmtId="44" fontId="0" fillId="0" borderId="28" xfId="1" applyFont="1" applyBorder="1"/>
    <xf numFmtId="6" fontId="2" fillId="0" borderId="71" xfId="0" applyNumberFormat="1" applyFont="1" applyBorder="1" applyAlignment="1">
      <alignment horizontal="center" vertical="center"/>
    </xf>
    <xf numFmtId="6" fontId="2" fillId="0" borderId="48" xfId="0" applyNumberFormat="1" applyFont="1" applyBorder="1" applyAlignment="1">
      <alignment horizontal="center" vertical="center"/>
    </xf>
    <xf numFmtId="6" fontId="2" fillId="0" borderId="57" xfId="0" applyNumberFormat="1" applyFont="1" applyBorder="1" applyAlignment="1">
      <alignment horizontal="center" vertical="center"/>
    </xf>
    <xf numFmtId="175" fontId="0" fillId="7" borderId="28" xfId="1" applyNumberFormat="1" applyFont="1" applyFill="1" applyBorder="1"/>
    <xf numFmtId="3" fontId="22" fillId="0" borderId="0" xfId="0" applyNumberFormat="1" applyFont="1" applyAlignment="1">
      <alignment horizontal="center" wrapText="1"/>
    </xf>
    <xf numFmtId="0" fontId="6" fillId="0" borderId="0" xfId="18" applyFont="1" applyAlignment="1">
      <alignment horizontal="left" vertical="top" wrapText="1"/>
    </xf>
    <xf numFmtId="168" fontId="0" fillId="0" borderId="28" xfId="0" applyNumberFormat="1" applyBorder="1"/>
    <xf numFmtId="3" fontId="0" fillId="0" borderId="28" xfId="0" applyNumberFormat="1" applyBorder="1" applyAlignment="1">
      <alignment horizontal="center"/>
    </xf>
    <xf numFmtId="1" fontId="0" fillId="0" borderId="0" xfId="0" applyNumberFormat="1" applyAlignment="1">
      <alignment horizontal="center"/>
    </xf>
    <xf numFmtId="2" fontId="0" fillId="7" borderId="28" xfId="1" applyNumberFormat="1" applyFont="1" applyFill="1" applyBorder="1" applyAlignment="1">
      <alignment horizontal="center"/>
    </xf>
    <xf numFmtId="44" fontId="0" fillId="0" borderId="28" xfId="1" applyFont="1" applyBorder="1" applyAlignment="1">
      <alignment horizontal="right"/>
    </xf>
    <xf numFmtId="3" fontId="0" fillId="0" borderId="28" xfId="0" applyNumberFormat="1" applyBorder="1" applyAlignment="1">
      <alignment horizontal="right"/>
    </xf>
    <xf numFmtId="1" fontId="0" fillId="0" borderId="28" xfId="0" applyNumberFormat="1" applyBorder="1" applyAlignment="1">
      <alignment horizontal="right"/>
    </xf>
    <xf numFmtId="170" fontId="0" fillId="7" borderId="28" xfId="0" applyNumberFormat="1" applyFill="1" applyBorder="1" applyAlignment="1">
      <alignment horizontal="center"/>
    </xf>
    <xf numFmtId="44" fontId="1" fillId="7" borderId="28" xfId="1" applyFont="1" applyFill="1" applyBorder="1" applyAlignment="1">
      <alignment horizontal="center"/>
    </xf>
    <xf numFmtId="2" fontId="0" fillId="0" borderId="28" xfId="0" applyNumberFormat="1" applyBorder="1" applyAlignment="1">
      <alignment horizontal="center"/>
    </xf>
    <xf numFmtId="0" fontId="2" fillId="0" borderId="68" xfId="0" applyFont="1" applyBorder="1" applyAlignment="1">
      <alignment horizontal="center" vertical="center"/>
    </xf>
    <xf numFmtId="164" fontId="2" fillId="0" borderId="55" xfId="0" applyNumberFormat="1" applyFont="1" applyBorder="1" applyAlignment="1">
      <alignment horizontal="center"/>
    </xf>
    <xf numFmtId="164" fontId="2" fillId="7" borderId="49" xfId="0" applyNumberFormat="1" applyFont="1" applyFill="1" applyBorder="1" applyAlignment="1">
      <alignment horizontal="center"/>
    </xf>
    <xf numFmtId="164" fontId="2" fillId="7" borderId="76" xfId="0" applyNumberFormat="1" applyFont="1" applyFill="1" applyBorder="1" applyAlignment="1">
      <alignment horizontal="center"/>
    </xf>
    <xf numFmtId="164" fontId="2" fillId="7" borderId="18" xfId="0" applyNumberFormat="1" applyFont="1" applyFill="1" applyBorder="1" applyAlignment="1">
      <alignment horizontal="center"/>
    </xf>
    <xf numFmtId="164" fontId="2" fillId="7" borderId="28" xfId="0" applyNumberFormat="1" applyFont="1" applyFill="1" applyBorder="1" applyAlignment="1">
      <alignment horizontal="center"/>
    </xf>
    <xf numFmtId="164" fontId="2" fillId="7" borderId="60" xfId="0" applyNumberFormat="1" applyFont="1" applyFill="1" applyBorder="1" applyAlignment="1">
      <alignment horizontal="center"/>
    </xf>
    <xf numFmtId="164" fontId="2" fillId="7" borderId="19" xfId="0" applyNumberFormat="1" applyFont="1" applyFill="1" applyBorder="1" applyAlignment="1">
      <alignment horizontal="center"/>
    </xf>
    <xf numFmtId="164" fontId="2" fillId="7" borderId="24" xfId="0" applyNumberFormat="1" applyFont="1" applyFill="1" applyBorder="1" applyAlignment="1">
      <alignment horizontal="center"/>
    </xf>
    <xf numFmtId="164" fontId="2" fillId="7" borderId="85" xfId="0" applyNumberFormat="1" applyFont="1" applyFill="1" applyBorder="1" applyAlignment="1">
      <alignment horizontal="center"/>
    </xf>
    <xf numFmtId="164" fontId="2" fillId="7" borderId="56" xfId="0" applyNumberFormat="1" applyFont="1" applyFill="1" applyBorder="1" applyAlignment="1">
      <alignment horizontal="center"/>
    </xf>
    <xf numFmtId="0" fontId="6" fillId="7" borderId="40" xfId="0" applyFont="1" applyFill="1" applyBorder="1" applyAlignment="1">
      <alignment wrapText="1"/>
    </xf>
    <xf numFmtId="2" fontId="0" fillId="7" borderId="28" xfId="0" applyNumberFormat="1" applyFill="1" applyBorder="1" applyAlignment="1">
      <alignment horizontal="center"/>
    </xf>
    <xf numFmtId="2" fontId="0" fillId="7" borderId="19" xfId="0" applyNumberFormat="1" applyFill="1" applyBorder="1" applyAlignment="1">
      <alignment horizontal="center"/>
    </xf>
    <xf numFmtId="0" fontId="6" fillId="7" borderId="75" xfId="0" applyFont="1" applyFill="1" applyBorder="1" applyAlignment="1">
      <alignment wrapText="1"/>
    </xf>
    <xf numFmtId="2" fontId="0" fillId="7" borderId="24" xfId="0" applyNumberFormat="1" applyFill="1" applyBorder="1" applyAlignment="1">
      <alignment horizontal="center"/>
    </xf>
    <xf numFmtId="2" fontId="0" fillId="7" borderId="56" xfId="0" applyNumberFormat="1" applyFill="1" applyBorder="1" applyAlignment="1">
      <alignment horizontal="center"/>
    </xf>
    <xf numFmtId="0" fontId="6" fillId="7" borderId="36" xfId="0" applyFont="1" applyFill="1" applyBorder="1"/>
    <xf numFmtId="0" fontId="0" fillId="7" borderId="55" xfId="0" applyFill="1" applyBorder="1" applyAlignment="1">
      <alignment horizontal="center"/>
    </xf>
    <xf numFmtId="0" fontId="0" fillId="7" borderId="20" xfId="0" applyFill="1" applyBorder="1" applyAlignment="1">
      <alignment horizontal="center"/>
    </xf>
    <xf numFmtId="0" fontId="0" fillId="7" borderId="0" xfId="0" applyFill="1"/>
    <xf numFmtId="172" fontId="0" fillId="7" borderId="18" xfId="0" applyNumberFormat="1" applyFill="1" applyBorder="1"/>
    <xf numFmtId="170" fontId="6" fillId="0" borderId="28" xfId="0" applyNumberFormat="1" applyFont="1" applyBorder="1" applyAlignment="1">
      <alignment horizontal="center" vertical="center"/>
    </xf>
    <xf numFmtId="3" fontId="0" fillId="0" borderId="28" xfId="0" applyNumberFormat="1" applyBorder="1"/>
    <xf numFmtId="3" fontId="0" fillId="0" borderId="80" xfId="0" applyNumberFormat="1" applyBorder="1" applyAlignment="1">
      <alignment horizontal="center"/>
    </xf>
    <xf numFmtId="3" fontId="0" fillId="0" borderId="83" xfId="0" applyNumberFormat="1" applyBorder="1" applyAlignment="1">
      <alignment horizontal="center"/>
    </xf>
    <xf numFmtId="0" fontId="0" fillId="0" borderId="22" xfId="0" applyBorder="1"/>
    <xf numFmtId="9" fontId="0" fillId="0" borderId="60" xfId="16" applyFont="1" applyFill="1" applyBorder="1"/>
    <xf numFmtId="44" fontId="2" fillId="0" borderId="46" xfId="1" applyFont="1" applyBorder="1" applyAlignment="1">
      <alignment horizontal="center"/>
    </xf>
    <xf numFmtId="44" fontId="2" fillId="0" borderId="35" xfId="1" applyFont="1" applyBorder="1" applyAlignment="1">
      <alignment horizontal="center"/>
    </xf>
    <xf numFmtId="44" fontId="2" fillId="0" borderId="40" xfId="1" applyFont="1" applyBorder="1" applyAlignment="1">
      <alignment horizontal="center"/>
    </xf>
    <xf numFmtId="44" fontId="2" fillId="0" borderId="36" xfId="1" applyFont="1" applyBorder="1" applyAlignment="1">
      <alignment horizontal="center"/>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176" fontId="18" fillId="0" borderId="0" xfId="0" applyNumberFormat="1" applyFont="1" applyAlignment="1">
      <alignment horizontal="center"/>
    </xf>
    <xf numFmtId="16" fontId="0" fillId="0" borderId="0" xfId="0" applyNumberFormat="1"/>
    <xf numFmtId="164" fontId="2" fillId="0" borderId="60" xfId="0" applyNumberFormat="1" applyFont="1" applyBorder="1" applyAlignment="1">
      <alignment horizontal="center"/>
    </xf>
    <xf numFmtId="164" fontId="2" fillId="0" borderId="61" xfId="0" applyNumberFormat="1" applyFont="1" applyBorder="1" applyAlignment="1">
      <alignment horizontal="center"/>
    </xf>
    <xf numFmtId="164" fontId="2" fillId="7" borderId="35" xfId="0" applyNumberFormat="1" applyFont="1" applyFill="1" applyBorder="1" applyAlignment="1">
      <alignment horizontal="center"/>
    </xf>
    <xf numFmtId="164" fontId="2" fillId="7" borderId="40" xfId="0" applyNumberFormat="1" applyFont="1" applyFill="1" applyBorder="1" applyAlignment="1">
      <alignment horizontal="center"/>
    </xf>
    <xf numFmtId="164" fontId="2" fillId="7" borderId="75" xfId="0" applyNumberFormat="1" applyFont="1" applyFill="1" applyBorder="1" applyAlignment="1">
      <alignment horizontal="center"/>
    </xf>
    <xf numFmtId="3" fontId="2" fillId="7" borderId="35" xfId="15" applyNumberFormat="1" applyFont="1" applyFill="1" applyBorder="1" applyAlignment="1">
      <alignment horizontal="center"/>
    </xf>
    <xf numFmtId="3" fontId="2" fillId="7" borderId="18" xfId="0" applyNumberFormat="1" applyFont="1" applyFill="1" applyBorder="1" applyAlignment="1">
      <alignment horizontal="center"/>
    </xf>
    <xf numFmtId="3" fontId="2" fillId="7" borderId="40" xfId="15" applyNumberFormat="1" applyFont="1" applyFill="1" applyBorder="1" applyAlignment="1">
      <alignment horizontal="center"/>
    </xf>
    <xf numFmtId="3" fontId="2" fillId="7" borderId="19" xfId="0" applyNumberFormat="1" applyFont="1" applyFill="1" applyBorder="1" applyAlignment="1">
      <alignment horizontal="center"/>
    </xf>
    <xf numFmtId="3" fontId="2" fillId="7" borderId="75" xfId="15" applyNumberFormat="1" applyFont="1" applyFill="1" applyBorder="1" applyAlignment="1">
      <alignment horizontal="center"/>
    </xf>
    <xf numFmtId="3" fontId="2" fillId="7" borderId="56" xfId="0" applyNumberFormat="1" applyFont="1" applyFill="1" applyBorder="1" applyAlignment="1">
      <alignment horizontal="center"/>
    </xf>
    <xf numFmtId="3" fontId="2" fillId="0" borderId="40" xfId="15" applyNumberFormat="1" applyFont="1" applyBorder="1" applyAlignment="1">
      <alignment horizontal="center"/>
    </xf>
    <xf numFmtId="3" fontId="2" fillId="0" borderId="19" xfId="0" applyNumberFormat="1" applyFont="1" applyBorder="1" applyAlignment="1">
      <alignment horizontal="center"/>
    </xf>
    <xf numFmtId="3" fontId="2" fillId="0" borderId="36" xfId="15" applyNumberFormat="1" applyFont="1" applyBorder="1" applyAlignment="1">
      <alignment horizontal="center"/>
    </xf>
    <xf numFmtId="3" fontId="2" fillId="0" borderId="20" xfId="0" applyNumberFormat="1" applyFont="1" applyBorder="1" applyAlignment="1">
      <alignment horizontal="center"/>
    </xf>
    <xf numFmtId="3" fontId="2" fillId="0" borderId="19" xfId="15" applyNumberFormat="1" applyFont="1" applyBorder="1" applyAlignment="1">
      <alignment horizontal="center"/>
    </xf>
    <xf numFmtId="3" fontId="2" fillId="0" borderId="20" xfId="15" applyNumberFormat="1" applyFont="1" applyBorder="1" applyAlignment="1">
      <alignment horizontal="center"/>
    </xf>
    <xf numFmtId="164" fontId="2" fillId="0" borderId="38" xfId="0" applyNumberFormat="1" applyFont="1" applyBorder="1" applyAlignment="1">
      <alignment horizontal="center"/>
    </xf>
    <xf numFmtId="0" fontId="40" fillId="0" borderId="0" xfId="0" applyFont="1" applyAlignment="1">
      <alignment vertical="top" wrapText="1"/>
    </xf>
    <xf numFmtId="0" fontId="40" fillId="0" borderId="0" xfId="0" applyFont="1" applyAlignment="1">
      <alignment vertical="top"/>
    </xf>
    <xf numFmtId="0" fontId="45" fillId="0" borderId="28" xfId="0" applyFont="1" applyBorder="1" applyAlignment="1">
      <alignment horizontal="center"/>
    </xf>
    <xf numFmtId="0" fontId="0" fillId="0" borderId="67" xfId="0" applyBorder="1"/>
    <xf numFmtId="170" fontId="0" fillId="0" borderId="35" xfId="0" applyNumberFormat="1" applyBorder="1" applyAlignment="1">
      <alignment horizontal="center"/>
    </xf>
    <xf numFmtId="170" fontId="0" fillId="0" borderId="18" xfId="0" applyNumberFormat="1" applyBorder="1" applyAlignment="1">
      <alignment horizontal="center"/>
    </xf>
    <xf numFmtId="0" fontId="0" fillId="0" borderId="14" xfId="0" applyBorder="1"/>
    <xf numFmtId="170" fontId="0" fillId="0" borderId="40" xfId="0" applyNumberFormat="1" applyBorder="1" applyAlignment="1">
      <alignment horizontal="center"/>
    </xf>
    <xf numFmtId="170" fontId="0" fillId="0" borderId="19" xfId="0" applyNumberFormat="1" applyBorder="1" applyAlignment="1">
      <alignment horizontal="center"/>
    </xf>
    <xf numFmtId="0" fontId="0" fillId="0" borderId="15" xfId="0" applyBorder="1"/>
    <xf numFmtId="170" fontId="0" fillId="0" borderId="36" xfId="0" applyNumberFormat="1" applyBorder="1" applyAlignment="1">
      <alignment horizontal="center"/>
    </xf>
    <xf numFmtId="170" fontId="0" fillId="0" borderId="20" xfId="0" applyNumberFormat="1" applyBorder="1" applyAlignment="1">
      <alignment horizontal="center"/>
    </xf>
    <xf numFmtId="0" fontId="4" fillId="0" borderId="13" xfId="0" applyFont="1" applyBorder="1"/>
    <xf numFmtId="0" fontId="4" fillId="0" borderId="15" xfId="0" applyFont="1" applyBorder="1"/>
    <xf numFmtId="0" fontId="4" fillId="0" borderId="61" xfId="0" applyFont="1" applyBorder="1" applyAlignment="1">
      <alignment horizontal="center"/>
    </xf>
    <xf numFmtId="0" fontId="4" fillId="0" borderId="20" xfId="0" applyFont="1" applyBorder="1" applyAlignment="1">
      <alignment horizontal="center"/>
    </xf>
    <xf numFmtId="170" fontId="0" fillId="0" borderId="53" xfId="0" applyNumberFormat="1" applyBorder="1" applyAlignment="1">
      <alignment horizontal="center"/>
    </xf>
    <xf numFmtId="170" fontId="0" fillId="0" borderId="64" xfId="0" applyNumberFormat="1" applyBorder="1" applyAlignment="1">
      <alignment horizontal="center"/>
    </xf>
    <xf numFmtId="170" fontId="0" fillId="0" borderId="60" xfId="0" applyNumberFormat="1" applyBorder="1" applyAlignment="1">
      <alignment horizontal="center"/>
    </xf>
    <xf numFmtId="170" fontId="0" fillId="0" borderId="61" xfId="0" applyNumberFormat="1" applyBorder="1" applyAlignment="1">
      <alignment horizontal="center"/>
    </xf>
    <xf numFmtId="2" fontId="0" fillId="7" borderId="20" xfId="0" applyNumberFormat="1" applyFill="1" applyBorder="1"/>
    <xf numFmtId="40" fontId="0" fillId="0" borderId="28" xfId="0" applyNumberFormat="1" applyBorder="1" applyAlignment="1">
      <alignment horizontal="center"/>
    </xf>
    <xf numFmtId="6" fontId="2" fillId="0" borderId="13" xfId="0" applyNumberFormat="1" applyFont="1" applyBorder="1" applyAlignment="1">
      <alignment horizontal="center"/>
    </xf>
    <xf numFmtId="6" fontId="2" fillId="0" borderId="14" xfId="0" applyNumberFormat="1" applyFont="1" applyBorder="1" applyAlignment="1">
      <alignment horizontal="center"/>
    </xf>
    <xf numFmtId="6" fontId="2" fillId="0" borderId="15" xfId="0" applyNumberFormat="1" applyFont="1" applyBorder="1" applyAlignment="1">
      <alignment horizontal="center"/>
    </xf>
    <xf numFmtId="38" fontId="2" fillId="0" borderId="49" xfId="15" applyNumberFormat="1" applyFont="1" applyBorder="1" applyAlignment="1">
      <alignment horizontal="center"/>
    </xf>
    <xf numFmtId="38" fontId="2" fillId="0" borderId="18" xfId="0" applyNumberFormat="1" applyFont="1" applyBorder="1" applyAlignment="1">
      <alignment horizontal="center"/>
    </xf>
    <xf numFmtId="38" fontId="2" fillId="0" borderId="28" xfId="15" applyNumberFormat="1" applyFont="1" applyBorder="1" applyAlignment="1">
      <alignment horizontal="center"/>
    </xf>
    <xf numFmtId="38" fontId="2" fillId="0" borderId="19" xfId="15" applyNumberFormat="1" applyFont="1" applyBorder="1" applyAlignment="1">
      <alignment horizontal="center"/>
    </xf>
    <xf numFmtId="38" fontId="2" fillId="0" borderId="55" xfId="15" applyNumberFormat="1" applyFont="1" applyBorder="1" applyAlignment="1">
      <alignment horizontal="center"/>
    </xf>
    <xf numFmtId="38" fontId="2" fillId="0" borderId="20" xfId="15" applyNumberFormat="1" applyFont="1" applyBorder="1" applyAlignment="1">
      <alignment horizontal="center"/>
    </xf>
    <xf numFmtId="170" fontId="6" fillId="0" borderId="28" xfId="0" applyNumberFormat="1" applyFont="1" applyBorder="1" applyAlignment="1">
      <alignment horizontal="left" vertical="center"/>
    </xf>
    <xf numFmtId="164" fontId="2" fillId="0" borderId="35" xfId="15" applyNumberFormat="1" applyFont="1" applyBorder="1" applyAlignment="1">
      <alignment horizontal="center"/>
    </xf>
    <xf numFmtId="6" fontId="2" fillId="0" borderId="18" xfId="1" applyNumberFormat="1" applyFont="1" applyFill="1" applyBorder="1" applyAlignment="1">
      <alignment horizontal="center"/>
    </xf>
    <xf numFmtId="164" fontId="2" fillId="0" borderId="40" xfId="15" applyNumberFormat="1" applyFont="1" applyBorder="1" applyAlignment="1">
      <alignment horizontal="center"/>
    </xf>
    <xf numFmtId="6" fontId="2" fillId="0" borderId="19" xfId="1" applyNumberFormat="1" applyFont="1" applyFill="1" applyBorder="1" applyAlignment="1">
      <alignment horizontal="center"/>
    </xf>
    <xf numFmtId="164" fontId="2" fillId="0" borderId="36" xfId="15" applyNumberFormat="1" applyFont="1" applyBorder="1" applyAlignment="1">
      <alignment horizontal="center"/>
    </xf>
    <xf numFmtId="6" fontId="2" fillId="0" borderId="20" xfId="1" applyNumberFormat="1" applyFont="1" applyFill="1" applyBorder="1" applyAlignment="1">
      <alignment horizontal="center"/>
    </xf>
    <xf numFmtId="164" fontId="2" fillId="0" borderId="49" xfId="15" applyNumberFormat="1" applyFont="1" applyBorder="1" applyAlignment="1">
      <alignment horizontal="center"/>
    </xf>
    <xf numFmtId="164" fontId="2" fillId="0" borderId="18" xfId="0" applyNumberFormat="1" applyFont="1" applyBorder="1" applyAlignment="1">
      <alignment horizontal="center"/>
    </xf>
    <xf numFmtId="164" fontId="2" fillId="0" borderId="28" xfId="15" applyNumberFormat="1" applyFont="1" applyBorder="1" applyAlignment="1">
      <alignment horizontal="center"/>
    </xf>
    <xf numFmtId="164" fontId="2" fillId="0" borderId="19" xfId="15" applyNumberFormat="1" applyFont="1" applyBorder="1" applyAlignment="1">
      <alignment horizontal="center"/>
    </xf>
    <xf numFmtId="164" fontId="2" fillId="0" borderId="55" xfId="15" applyNumberFormat="1" applyFont="1" applyBorder="1" applyAlignment="1">
      <alignment horizontal="center"/>
    </xf>
    <xf numFmtId="164" fontId="2" fillId="0" borderId="20" xfId="15" applyNumberFormat="1" applyFont="1" applyBorder="1" applyAlignment="1">
      <alignment horizontal="center"/>
    </xf>
    <xf numFmtId="22" fontId="0" fillId="0" borderId="0" xfId="0" applyNumberFormat="1"/>
    <xf numFmtId="0" fontId="2" fillId="0" borderId="67" xfId="0" applyFont="1" applyBorder="1" applyAlignment="1">
      <alignment horizontal="center"/>
    </xf>
    <xf numFmtId="6" fontId="2" fillId="0" borderId="67" xfId="0" applyNumberFormat="1" applyFont="1" applyBorder="1" applyAlignment="1">
      <alignment horizontal="center"/>
    </xf>
    <xf numFmtId="172" fontId="2" fillId="0" borderId="5" xfId="0" applyNumberFormat="1" applyFont="1" applyBorder="1" applyAlignment="1">
      <alignment horizontal="center"/>
    </xf>
    <xf numFmtId="3" fontId="2" fillId="0" borderId="13" xfId="0" applyNumberFormat="1" applyFont="1" applyBorder="1" applyAlignment="1">
      <alignment horizontal="center"/>
    </xf>
    <xf numFmtId="173" fontId="2" fillId="0" borderId="18" xfId="0" applyNumberFormat="1" applyFont="1" applyBorder="1" applyAlignment="1">
      <alignment horizontal="center"/>
    </xf>
    <xf numFmtId="6" fontId="2" fillId="0" borderId="65" xfId="0" applyNumberFormat="1" applyFont="1" applyBorder="1" applyAlignment="1">
      <alignment horizontal="center"/>
    </xf>
    <xf numFmtId="6" fontId="2" fillId="0" borderId="64" xfId="0" applyNumberFormat="1" applyFont="1" applyBorder="1" applyAlignment="1">
      <alignment horizontal="center"/>
    </xf>
    <xf numFmtId="172" fontId="2" fillId="0" borderId="46" xfId="0" applyNumberFormat="1" applyFont="1" applyBorder="1" applyAlignment="1">
      <alignment horizontal="center"/>
    </xf>
    <xf numFmtId="3" fontId="2" fillId="0" borderId="14" xfId="0" applyNumberFormat="1" applyFont="1" applyBorder="1" applyAlignment="1">
      <alignment horizontal="center"/>
    </xf>
    <xf numFmtId="173" fontId="2" fillId="0" borderId="19" xfId="0" applyNumberFormat="1" applyFont="1" applyBorder="1" applyAlignment="1">
      <alignment horizontal="center"/>
    </xf>
    <xf numFmtId="177" fontId="0" fillId="0" borderId="28" xfId="0" applyNumberFormat="1" applyBorder="1" applyAlignment="1">
      <alignment horizontal="center" vertical="center"/>
    </xf>
    <xf numFmtId="177" fontId="0" fillId="0" borderId="28" xfId="0" applyNumberFormat="1" applyBorder="1"/>
    <xf numFmtId="0" fontId="14" fillId="0" borderId="0" xfId="0" applyFont="1" applyAlignment="1">
      <alignment horizontal="center"/>
    </xf>
    <xf numFmtId="0" fontId="6" fillId="0" borderId="0" xfId="0" applyFont="1" applyAlignment="1">
      <alignment horizontal="center" vertical="center"/>
    </xf>
    <xf numFmtId="6" fontId="0" fillId="0" borderId="28" xfId="0" applyNumberFormat="1" applyBorder="1"/>
    <xf numFmtId="172" fontId="2" fillId="0" borderId="9" xfId="0" applyNumberFormat="1" applyFont="1" applyBorder="1" applyAlignment="1">
      <alignment horizontal="center"/>
    </xf>
    <xf numFmtId="3" fontId="2" fillId="0" borderId="15" xfId="0" applyNumberFormat="1" applyFont="1" applyBorder="1" applyAlignment="1">
      <alignment horizontal="center"/>
    </xf>
    <xf numFmtId="173" fontId="2" fillId="0" borderId="20" xfId="0" applyNumberFormat="1" applyFont="1" applyBorder="1" applyAlignment="1">
      <alignment horizontal="center"/>
    </xf>
    <xf numFmtId="3" fontId="2" fillId="0" borderId="0" xfId="0" applyNumberFormat="1" applyFont="1"/>
    <xf numFmtId="0" fontId="46" fillId="0" borderId="0" xfId="0" applyFont="1"/>
    <xf numFmtId="173" fontId="2" fillId="0" borderId="0" xfId="0" applyNumberFormat="1" applyFont="1"/>
    <xf numFmtId="0" fontId="0" fillId="0" borderId="53" xfId="0" applyBorder="1" applyAlignment="1">
      <alignment vertical="top"/>
    </xf>
    <xf numFmtId="0" fontId="0" fillId="0" borderId="30" xfId="0" applyBorder="1" applyAlignment="1">
      <alignment horizontal="center" vertical="top"/>
    </xf>
    <xf numFmtId="0" fontId="4" fillId="0" borderId="0" xfId="0" applyFont="1" applyAlignment="1">
      <alignment horizontal="center" vertical="center" textRotation="90" wrapText="1"/>
    </xf>
    <xf numFmtId="0" fontId="0" fillId="0" borderId="60" xfId="0" applyBorder="1" applyAlignment="1">
      <alignment vertical="top"/>
    </xf>
    <xf numFmtId="3" fontId="0" fillId="0" borderId="22" xfId="0" applyNumberFormat="1" applyBorder="1" applyAlignment="1">
      <alignment horizontal="center" vertical="top"/>
    </xf>
    <xf numFmtId="0" fontId="0" fillId="0" borderId="85" xfId="0" applyBorder="1" applyAlignment="1">
      <alignment vertical="top"/>
    </xf>
    <xf numFmtId="3" fontId="0" fillId="0" borderId="87" xfId="0" applyNumberFormat="1" applyBorder="1" applyAlignment="1">
      <alignment horizontal="center" vertical="top"/>
    </xf>
    <xf numFmtId="164" fontId="2" fillId="0" borderId="19" xfId="1" applyNumberFormat="1" applyFont="1" applyBorder="1" applyAlignment="1">
      <alignment horizontal="center"/>
    </xf>
    <xf numFmtId="164" fontId="2" fillId="0" borderId="20" xfId="1" applyNumberFormat="1" applyFont="1" applyBorder="1" applyAlignment="1">
      <alignment horizontal="center"/>
    </xf>
    <xf numFmtId="164" fontId="2" fillId="0" borderId="64" xfId="1" applyNumberFormat="1" applyFont="1" applyBorder="1" applyAlignment="1">
      <alignment horizontal="center"/>
    </xf>
    <xf numFmtId="164" fontId="2" fillId="8" borderId="13" xfId="1" applyNumberFormat="1" applyFont="1" applyFill="1" applyBorder="1" applyAlignment="1">
      <alignment horizontal="center"/>
    </xf>
    <xf numFmtId="164" fontId="2" fillId="8" borderId="71" xfId="0" applyNumberFormat="1" applyFont="1" applyFill="1" applyBorder="1" applyAlignment="1">
      <alignment horizontal="center"/>
    </xf>
    <xf numFmtId="164" fontId="2" fillId="8" borderId="14" xfId="1" applyNumberFormat="1" applyFont="1" applyFill="1" applyBorder="1" applyAlignment="1">
      <alignment horizontal="center"/>
    </xf>
    <xf numFmtId="164" fontId="2" fillId="8" borderId="48" xfId="0" applyNumberFormat="1" applyFont="1" applyFill="1" applyBorder="1" applyAlignment="1">
      <alignment horizontal="center"/>
    </xf>
    <xf numFmtId="164" fontId="2" fillId="8" borderId="15" xfId="1" applyNumberFormat="1" applyFont="1" applyFill="1" applyBorder="1" applyAlignment="1">
      <alignment horizontal="center"/>
    </xf>
    <xf numFmtId="164" fontId="2" fillId="8" borderId="57" xfId="0" applyNumberFormat="1" applyFont="1" applyFill="1" applyBorder="1" applyAlignment="1">
      <alignment horizontal="center"/>
    </xf>
    <xf numFmtId="164" fontId="2" fillId="8" borderId="72" xfId="1" applyNumberFormat="1" applyFont="1" applyFill="1" applyBorder="1" applyAlignment="1">
      <alignment horizontal="center"/>
    </xf>
    <xf numFmtId="164" fontId="2" fillId="8" borderId="72" xfId="0" applyNumberFormat="1" applyFont="1" applyFill="1" applyBorder="1" applyAlignment="1">
      <alignment horizontal="center"/>
    </xf>
    <xf numFmtId="164" fontId="2" fillId="8" borderId="48" xfId="1" applyNumberFormat="1" applyFont="1" applyFill="1" applyBorder="1" applyAlignment="1">
      <alignment horizontal="center"/>
    </xf>
    <xf numFmtId="164" fontId="2" fillId="8" borderId="57" xfId="1" applyNumberFormat="1" applyFont="1" applyFill="1" applyBorder="1" applyAlignment="1">
      <alignment horizontal="center"/>
    </xf>
    <xf numFmtId="164" fontId="0" fillId="8" borderId="0" xfId="0" applyNumberFormat="1" applyFill="1" applyAlignment="1">
      <alignment horizontal="center"/>
    </xf>
    <xf numFmtId="164" fontId="0" fillId="0" borderId="28" xfId="0" applyNumberFormat="1" applyBorder="1"/>
    <xf numFmtId="0" fontId="0" fillId="0" borderId="60" xfId="0" applyBorder="1"/>
    <xf numFmtId="0" fontId="0" fillId="9" borderId="28" xfId="0" applyFill="1" applyBorder="1" applyAlignment="1">
      <alignment horizontal="center" vertical="center"/>
    </xf>
    <xf numFmtId="6" fontId="0" fillId="9" borderId="28" xfId="0" applyNumberFormat="1" applyFill="1" applyBorder="1"/>
    <xf numFmtId="170" fontId="0" fillId="0" borderId="28" xfId="0" applyNumberFormat="1" applyBorder="1" applyAlignment="1">
      <alignment horizontal="center"/>
    </xf>
    <xf numFmtId="0" fontId="4" fillId="0" borderId="53" xfId="0" applyFont="1" applyBorder="1"/>
    <xf numFmtId="0" fontId="4" fillId="0" borderId="30" xfId="0" applyFont="1" applyBorder="1"/>
    <xf numFmtId="6" fontId="0" fillId="0" borderId="22" xfId="0" applyNumberFormat="1" applyBorder="1"/>
    <xf numFmtId="0" fontId="0" fillId="0" borderId="85" xfId="0" applyBorder="1"/>
    <xf numFmtId="6" fontId="0" fillId="0" borderId="87" xfId="0" applyNumberFormat="1" applyBorder="1"/>
    <xf numFmtId="0" fontId="4" fillId="0" borderId="85" xfId="0" applyFont="1" applyBorder="1"/>
    <xf numFmtId="0" fontId="6" fillId="0" borderId="0" xfId="0" applyFont="1" applyAlignment="1">
      <alignment horizontal="left" vertical="top" wrapText="1"/>
    </xf>
    <xf numFmtId="0" fontId="6" fillId="0" borderId="0" xfId="2" applyFont="1" applyAlignment="1">
      <alignment horizontal="left" vertical="top"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73"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3" fillId="0" borderId="41" xfId="0" applyFont="1" applyBorder="1" applyAlignment="1">
      <alignment horizontal="center" vertical="center"/>
    </xf>
    <xf numFmtId="0" fontId="3" fillId="0" borderId="31" xfId="0" applyFont="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3" fillId="0" borderId="1" xfId="0" applyFont="1" applyBorder="1" applyAlignment="1">
      <alignment horizontal="center" vertical="center" wrapText="1"/>
    </xf>
    <xf numFmtId="0" fontId="3" fillId="0" borderId="34" xfId="0" applyFont="1" applyBorder="1" applyAlignment="1">
      <alignment horizontal="center" vertical="center" wrapText="1"/>
    </xf>
    <xf numFmtId="0" fontId="24" fillId="0" borderId="28" xfId="0" applyFont="1" applyBorder="1" applyAlignment="1">
      <alignment horizont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0" borderId="41" xfId="0" applyFont="1" applyBorder="1" applyAlignment="1">
      <alignment horizontal="center"/>
    </xf>
    <xf numFmtId="0" fontId="4" fillId="0" borderId="42" xfId="0" applyFont="1" applyBorder="1" applyAlignment="1">
      <alignment horizontal="center"/>
    </xf>
    <xf numFmtId="0" fontId="4" fillId="0" borderId="31" xfId="0" applyFont="1" applyBorder="1" applyAlignment="1">
      <alignment horizontal="center"/>
    </xf>
    <xf numFmtId="0" fontId="0" fillId="0" borderId="0" xfId="0" applyAlignment="1">
      <alignment horizontal="left" vertical="top" wrapText="1"/>
    </xf>
    <xf numFmtId="0" fontId="4" fillId="0" borderId="0" xfId="0" applyFont="1" applyAlignment="1">
      <alignment horizontal="left"/>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51"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37" xfId="0" applyFont="1" applyBorder="1" applyAlignment="1">
      <alignment horizontal="center" vertical="center" wrapText="1"/>
    </xf>
    <xf numFmtId="0" fontId="14" fillId="0" borderId="0" xfId="0" applyFont="1" applyAlignment="1">
      <alignment horizontal="left" vertical="center"/>
    </xf>
    <xf numFmtId="0" fontId="4" fillId="0" borderId="0" xfId="0" applyFont="1" applyAlignment="1">
      <alignment horizontal="center"/>
    </xf>
    <xf numFmtId="0" fontId="4" fillId="0" borderId="6" xfId="0" applyFont="1" applyBorder="1" applyAlignment="1">
      <alignment horizontal="center"/>
    </xf>
    <xf numFmtId="0" fontId="4" fillId="0" borderId="71" xfId="0" applyFont="1" applyBorder="1" applyAlignment="1">
      <alignment horizontal="center"/>
    </xf>
    <xf numFmtId="0" fontId="2" fillId="3" borderId="39" xfId="0" applyFont="1" applyFill="1" applyBorder="1" applyAlignment="1">
      <alignment horizontal="center" vertical="center" wrapText="1"/>
    </xf>
    <xf numFmtId="0" fontId="2" fillId="3" borderId="37"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5" borderId="39" xfId="0" applyFont="1" applyFill="1" applyBorder="1" applyAlignment="1">
      <alignment horizontal="center" vertical="center" wrapText="1"/>
    </xf>
    <xf numFmtId="0" fontId="2" fillId="5" borderId="37" xfId="0" applyFont="1" applyFill="1" applyBorder="1" applyAlignment="1">
      <alignment horizontal="center" vertical="center" wrapText="1"/>
    </xf>
    <xf numFmtId="0" fontId="0" fillId="0" borderId="47" xfId="0" applyBorder="1" applyAlignment="1">
      <alignment horizontal="center" vertical="center" textRotation="90"/>
    </xf>
    <xf numFmtId="0" fontId="4" fillId="0" borderId="2" xfId="0" applyFont="1" applyBorder="1" applyAlignment="1">
      <alignment horizontal="center"/>
    </xf>
    <xf numFmtId="0" fontId="4" fillId="0" borderId="34" xfId="0" applyFont="1" applyBorder="1" applyAlignment="1">
      <alignment horizont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60" xfId="0" applyFont="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4" fillId="0" borderId="31" xfId="0" applyFont="1" applyBorder="1" applyAlignment="1">
      <alignment horizontal="center" vertical="center"/>
    </xf>
    <xf numFmtId="0" fontId="4" fillId="0" borderId="1" xfId="0" applyFont="1" applyBorder="1" applyAlignment="1">
      <alignment horizontal="center"/>
    </xf>
    <xf numFmtId="0" fontId="2" fillId="0" borderId="1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56" xfId="0" applyFont="1" applyBorder="1" applyAlignment="1">
      <alignment horizontal="center" vertical="center"/>
    </xf>
    <xf numFmtId="0" fontId="2" fillId="0" borderId="26" xfId="0" applyFont="1" applyBorder="1" applyAlignment="1">
      <alignment horizontal="center" vertical="center" wrapText="1"/>
    </xf>
    <xf numFmtId="0" fontId="2" fillId="0" borderId="35" xfId="0" applyFont="1" applyBorder="1" applyAlignment="1">
      <alignment horizontal="center" vertical="center"/>
    </xf>
    <xf numFmtId="0" fontId="2" fillId="0" borderId="36"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16" xfId="0" applyFont="1" applyBorder="1" applyAlignment="1">
      <alignment horizontal="center" vertical="center" wrapText="1"/>
    </xf>
    <xf numFmtId="0" fontId="2" fillId="0" borderId="73" xfId="0" applyFont="1" applyBorder="1" applyAlignment="1">
      <alignment horizontal="center" vertical="center" wrapText="1"/>
    </xf>
    <xf numFmtId="0" fontId="0" fillId="0" borderId="22" xfId="0" applyBorder="1"/>
    <xf numFmtId="0" fontId="0" fillId="0" borderId="60" xfId="0" applyBorder="1"/>
    <xf numFmtId="0" fontId="0" fillId="0" borderId="28" xfId="0" applyBorder="1" applyAlignment="1">
      <alignment horizontal="left"/>
    </xf>
    <xf numFmtId="0" fontId="44" fillId="0" borderId="0" xfId="0" applyFont="1" applyAlignment="1">
      <alignment horizontal="center" wrapText="1"/>
    </xf>
    <xf numFmtId="0" fontId="0" fillId="0" borderId="0" xfId="0" applyAlignment="1">
      <alignment horizontal="left" wrapText="1"/>
    </xf>
    <xf numFmtId="0" fontId="0" fillId="0" borderId="0" xfId="0"/>
    <xf numFmtId="0" fontId="0" fillId="7" borderId="28" xfId="0" applyFill="1" applyBorder="1"/>
    <xf numFmtId="0" fontId="0" fillId="7" borderId="28" xfId="0" applyFill="1" applyBorder="1" applyAlignment="1">
      <alignment horizontal="left"/>
    </xf>
    <xf numFmtId="0" fontId="0" fillId="0" borderId="28" xfId="0" applyBorder="1"/>
    <xf numFmtId="0" fontId="0" fillId="0" borderId="22" xfId="0" applyBorder="1" applyAlignment="1">
      <alignment horizontal="left"/>
    </xf>
    <xf numFmtId="0" fontId="0" fillId="0" borderId="60" xfId="0" applyBorder="1" applyAlignment="1">
      <alignment horizontal="left"/>
    </xf>
    <xf numFmtId="0" fontId="40" fillId="0" borderId="0" xfId="0" applyFont="1" applyAlignment="1">
      <alignment horizontal="left" wrapText="1"/>
    </xf>
    <xf numFmtId="0" fontId="2" fillId="7" borderId="16"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35" xfId="0" applyFont="1" applyFill="1" applyBorder="1" applyAlignment="1">
      <alignment horizontal="center" vertical="center" wrapText="1"/>
    </xf>
    <xf numFmtId="0" fontId="2" fillId="7" borderId="36" xfId="0" applyFont="1" applyFill="1" applyBorder="1" applyAlignment="1">
      <alignment horizontal="center" vertical="center" wrapText="1"/>
    </xf>
    <xf numFmtId="0" fontId="2" fillId="7" borderId="49" xfId="0" applyFont="1" applyFill="1" applyBorder="1" applyAlignment="1">
      <alignment horizontal="center" vertical="center" wrapText="1"/>
    </xf>
    <xf numFmtId="0" fontId="2" fillId="7" borderId="55" xfId="0" applyFont="1" applyFill="1" applyBorder="1" applyAlignment="1">
      <alignment horizontal="center" vertical="center" wrapText="1"/>
    </xf>
    <xf numFmtId="0" fontId="4" fillId="0" borderId="28" xfId="0" applyFont="1" applyBorder="1" applyAlignment="1">
      <alignment horizontal="center"/>
    </xf>
    <xf numFmtId="0" fontId="18" fillId="0" borderId="28" xfId="0" applyFont="1" applyBorder="1" applyAlignment="1">
      <alignment horizontal="left"/>
    </xf>
    <xf numFmtId="0" fontId="0" fillId="0" borderId="0" xfId="0" applyAlignment="1">
      <alignment horizontal="left"/>
    </xf>
    <xf numFmtId="0" fontId="6" fillId="0" borderId="0" xfId="18" applyFont="1" applyFill="1" applyAlignment="1">
      <alignment horizontal="left" vertical="top" wrapText="1"/>
    </xf>
    <xf numFmtId="0" fontId="21" fillId="0" borderId="0" xfId="18" applyAlignment="1">
      <alignment horizontal="left" vertical="top" wrapText="1"/>
    </xf>
    <xf numFmtId="0" fontId="0" fillId="0" borderId="78" xfId="0" applyBorder="1"/>
    <xf numFmtId="0" fontId="0" fillId="0" borderId="79" xfId="0" applyBorder="1"/>
    <xf numFmtId="0" fontId="0" fillId="0" borderId="81" xfId="0" applyBorder="1" applyAlignment="1">
      <alignment horizontal="left"/>
    </xf>
    <xf numFmtId="0" fontId="0" fillId="0" borderId="82" xfId="0" applyBorder="1" applyAlignment="1">
      <alignment horizontal="left"/>
    </xf>
    <xf numFmtId="0" fontId="2" fillId="0" borderId="1" xfId="0" applyFont="1" applyBorder="1" applyAlignment="1">
      <alignment horizontal="center" vertical="center" wrapText="1"/>
    </xf>
    <xf numFmtId="0" fontId="2" fillId="0" borderId="33" xfId="0" applyFont="1" applyBorder="1" applyAlignment="1">
      <alignment horizontal="center" vertical="center" wrapText="1"/>
    </xf>
    <xf numFmtId="0" fontId="2" fillId="7" borderId="39" xfId="0" applyFont="1" applyFill="1" applyBorder="1" applyAlignment="1">
      <alignment horizontal="center" vertical="center" wrapText="1"/>
    </xf>
    <xf numFmtId="0" fontId="2" fillId="7" borderId="37" xfId="0" applyFont="1" applyFill="1" applyBorder="1" applyAlignment="1">
      <alignment horizontal="center" vertical="center" wrapText="1"/>
    </xf>
    <xf numFmtId="0" fontId="0" fillId="0" borderId="8" xfId="0" applyBorder="1"/>
    <xf numFmtId="0" fontId="2" fillId="7" borderId="18" xfId="0" applyFont="1" applyFill="1" applyBorder="1" applyAlignment="1">
      <alignment horizontal="center" vertical="center" wrapText="1"/>
    </xf>
    <xf numFmtId="0" fontId="2" fillId="7" borderId="20" xfId="0" applyFont="1" applyFill="1" applyBorder="1" applyAlignment="1">
      <alignment horizontal="center" vertical="center" wrapText="1"/>
    </xf>
    <xf numFmtId="0" fontId="2" fillId="7" borderId="58" xfId="0" applyFont="1" applyFill="1" applyBorder="1" applyAlignment="1">
      <alignment horizontal="center" vertical="center" wrapText="1"/>
    </xf>
    <xf numFmtId="0" fontId="2" fillId="7" borderId="86" xfId="0" applyFont="1" applyFill="1" applyBorder="1" applyAlignment="1">
      <alignment horizontal="center" vertical="center" wrapText="1"/>
    </xf>
    <xf numFmtId="168" fontId="2" fillId="7" borderId="16" xfId="16" applyNumberFormat="1" applyFont="1" applyFill="1" applyBorder="1" applyAlignment="1">
      <alignment horizontal="center" vertical="center"/>
    </xf>
    <xf numFmtId="168" fontId="2" fillId="7" borderId="17" xfId="16" applyNumberFormat="1" applyFont="1" applyFill="1" applyBorder="1" applyAlignment="1">
      <alignment horizontal="center" vertical="center"/>
    </xf>
    <xf numFmtId="0" fontId="0" fillId="7" borderId="0" xfId="0" applyFill="1" applyAlignment="1">
      <alignment horizontal="left" vertical="top" wrapText="1"/>
    </xf>
    <xf numFmtId="0" fontId="9" fillId="0" borderId="0" xfId="0" applyFont="1" applyAlignment="1">
      <alignment horizontal="left" vertical="center"/>
    </xf>
    <xf numFmtId="0" fontId="8" fillId="0" borderId="2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right" wrapText="1"/>
    </xf>
    <xf numFmtId="0" fontId="8" fillId="0" borderId="24" xfId="0" applyFont="1" applyBorder="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4" xfId="0" applyFont="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2" fillId="8" borderId="11" xfId="0" applyFont="1" applyFill="1" applyBorder="1" applyAlignment="1">
      <alignment horizontal="center" vertical="center" wrapText="1"/>
    </xf>
    <xf numFmtId="0" fontId="2" fillId="8" borderId="32"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3" fillId="0" borderId="11" xfId="0" applyFont="1" applyBorder="1" applyAlignment="1">
      <alignment horizontal="center" vertical="center" wrapText="1"/>
    </xf>
    <xf numFmtId="6" fontId="2" fillId="0" borderId="13" xfId="0" applyNumberFormat="1" applyFont="1" applyBorder="1" applyAlignment="1">
      <alignment horizontal="center" vertical="center" wrapText="1"/>
    </xf>
    <xf numFmtId="6" fontId="2" fillId="0" borderId="14" xfId="0" applyNumberFormat="1" applyFont="1" applyBorder="1" applyAlignment="1">
      <alignment horizontal="center" vertical="center" wrapText="1"/>
    </xf>
    <xf numFmtId="6" fontId="2" fillId="0" borderId="15" xfId="0" applyNumberFormat="1" applyFont="1" applyBorder="1" applyAlignment="1">
      <alignment horizontal="center" vertical="center" wrapText="1"/>
    </xf>
    <xf numFmtId="164" fontId="3" fillId="0" borderId="59" xfId="0" applyNumberFormat="1" applyFont="1" applyBorder="1" applyAlignment="1">
      <alignment horizontal="center" vertical="center"/>
    </xf>
    <xf numFmtId="164" fontId="3" fillId="0" borderId="38" xfId="0" applyNumberFormat="1" applyFont="1" applyBorder="1" applyAlignment="1">
      <alignment horizontal="center" vertical="center"/>
    </xf>
    <xf numFmtId="6" fontId="2" fillId="0" borderId="18" xfId="0" applyNumberFormat="1" applyFont="1" applyBorder="1" applyAlignment="1">
      <alignment horizontal="center" vertical="center" wrapText="1"/>
    </xf>
    <xf numFmtId="6" fontId="2" fillId="0" borderId="19" xfId="0" applyNumberFormat="1" applyFont="1" applyBorder="1" applyAlignment="1">
      <alignment horizontal="center" vertical="center" wrapText="1"/>
    </xf>
    <xf numFmtId="6" fontId="2" fillId="0" borderId="20" xfId="0" applyNumberFormat="1" applyFont="1" applyBorder="1" applyAlignment="1">
      <alignment horizontal="center" vertical="center" wrapText="1"/>
    </xf>
  </cellXfs>
  <cellStyles count="19">
    <cellStyle name="Comma" xfId="15" builtinId="3"/>
    <cellStyle name="Comma 2" xfId="7" xr:uid="{00000000-0005-0000-0000-000001000000}"/>
    <cellStyle name="Comma0" xfId="8" xr:uid="{00000000-0005-0000-0000-000002000000}"/>
    <cellStyle name="Currency" xfId="1" builtinId="4"/>
    <cellStyle name="Currency0" xfId="9" xr:uid="{00000000-0005-0000-0000-000004000000}"/>
    <cellStyle name="Date" xfId="10" xr:uid="{00000000-0005-0000-0000-000005000000}"/>
    <cellStyle name="Fixed" xfId="11" xr:uid="{00000000-0005-0000-0000-000006000000}"/>
    <cellStyle name="Hyperlink" xfId="18" builtinId="8"/>
    <cellStyle name="Normal" xfId="0" builtinId="0"/>
    <cellStyle name="Normal 16" xfId="2" xr:uid="{00000000-0005-0000-0000-000009000000}"/>
    <cellStyle name="Normal 17" xfId="4" xr:uid="{00000000-0005-0000-0000-00000A000000}"/>
    <cellStyle name="Normal 18" xfId="3" xr:uid="{00000000-0005-0000-0000-00000B000000}"/>
    <cellStyle name="Normal 19" xfId="5" xr:uid="{00000000-0005-0000-0000-00000C000000}"/>
    <cellStyle name="Normal 2" xfId="6" xr:uid="{00000000-0005-0000-0000-00000D000000}"/>
    <cellStyle name="Normal 3" xfId="12" xr:uid="{00000000-0005-0000-0000-00000E000000}"/>
    <cellStyle name="Normal 4" xfId="13" xr:uid="{00000000-0005-0000-0000-00000F000000}"/>
    <cellStyle name="Normal 5" xfId="17" xr:uid="{00000000-0005-0000-0000-000010000000}"/>
    <cellStyle name="Percent" xfId="16" builtinId="5"/>
    <cellStyle name="Percent 2" xfId="14" xr:uid="{00000000-0005-0000-0000-00001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369794</xdr:colOff>
      <xdr:row>18</xdr:row>
      <xdr:rowOff>168088</xdr:rowOff>
    </xdr:from>
    <xdr:to>
      <xdr:col>13</xdr:col>
      <xdr:colOff>68155</xdr:colOff>
      <xdr:row>28</xdr:row>
      <xdr:rowOff>131437</xdr:rowOff>
    </xdr:to>
    <xdr:pic>
      <xdr:nvPicPr>
        <xdr:cNvPr id="2" name="Picture 1">
          <a:extLst>
            <a:ext uri="{FF2B5EF4-FFF2-40B4-BE49-F238E27FC236}">
              <a16:creationId xmlns:a16="http://schemas.microsoft.com/office/drawing/2014/main" id="{BA20B9AD-5DB5-9C50-820B-5BE55999948C}"/>
            </a:ext>
          </a:extLst>
        </xdr:cNvPr>
        <xdr:cNvPicPr>
          <a:picLocks noChangeAspect="1"/>
        </xdr:cNvPicPr>
      </xdr:nvPicPr>
      <xdr:blipFill>
        <a:blip xmlns:r="http://schemas.openxmlformats.org/officeDocument/2006/relationships" r:embed="rId1"/>
        <a:stretch>
          <a:fillRect/>
        </a:stretch>
      </xdr:blipFill>
      <xdr:spPr>
        <a:xfrm>
          <a:off x="7059706" y="4247029"/>
          <a:ext cx="6085714" cy="1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150719</xdr:colOff>
      <xdr:row>1</xdr:row>
      <xdr:rowOff>21166</xdr:rowOff>
    </xdr:from>
    <xdr:to>
      <xdr:col>36</xdr:col>
      <xdr:colOff>574975</xdr:colOff>
      <xdr:row>29</xdr:row>
      <xdr:rowOff>109118</xdr:rowOff>
    </xdr:to>
    <xdr:pic>
      <xdr:nvPicPr>
        <xdr:cNvPr id="2" name="Picture 1">
          <a:extLst>
            <a:ext uri="{FF2B5EF4-FFF2-40B4-BE49-F238E27FC236}">
              <a16:creationId xmlns:a16="http://schemas.microsoft.com/office/drawing/2014/main" id="{0FB88D5C-3AF3-4F4E-BCD8-7B2129370D6A}"/>
            </a:ext>
          </a:extLst>
        </xdr:cNvPr>
        <xdr:cNvPicPr>
          <a:picLocks noChangeAspect="1"/>
        </xdr:cNvPicPr>
      </xdr:nvPicPr>
      <xdr:blipFill>
        <a:blip xmlns:r="http://schemas.openxmlformats.org/officeDocument/2006/relationships" r:embed="rId1"/>
        <a:stretch>
          <a:fillRect/>
        </a:stretch>
      </xdr:blipFill>
      <xdr:spPr>
        <a:xfrm>
          <a:off x="28037802" y="232833"/>
          <a:ext cx="4721090" cy="5908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ebapps.srfconsulting.com/Projects/09000/9228/TS/BCA/2016%20Update/Scott%20County%20BCA%20Workbook%20201604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Projects\09000\9228\TS\BCA\2016%20Update\Scott%20County%20BCA%20Workbook%20201604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Nodal"/>
      <sheetName val="Operation Benefits (VMT)"/>
      <sheetName val="Safety Benefits"/>
      <sheetName val="Air Quality"/>
      <sheetName val="RCV Calc"/>
      <sheetName val="Operation and Maintenance"/>
      <sheetName val="RCV Calculato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Nodal"/>
      <sheetName val="Operation Benefits (VMT)"/>
      <sheetName val="Safety Benefits"/>
      <sheetName val="Air Quality"/>
      <sheetName val="RCV Calc"/>
      <sheetName val="Operation and Maintenance"/>
      <sheetName val="RCV Calculato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cmfclearinghouse.org/detail.cfm?facid=9445" TargetMode="External"/><Relationship Id="rId2" Type="http://schemas.openxmlformats.org/officeDocument/2006/relationships/hyperlink" Target="http://www.cmfclearinghouse.org/detail.cfm?facid=7570" TargetMode="External"/><Relationship Id="rId1" Type="http://schemas.openxmlformats.org/officeDocument/2006/relationships/hyperlink" Target="http://www.cmfclearinghouse.org/detail.cfm?facid=7571" TargetMode="External"/><Relationship Id="rId6" Type="http://schemas.openxmlformats.org/officeDocument/2006/relationships/printerSettings" Target="../printerSettings/printerSettings6.bin"/><Relationship Id="rId5" Type="http://schemas.openxmlformats.org/officeDocument/2006/relationships/hyperlink" Target="http://www.cmfclearinghouse.org/detail.cfm?facid=5555" TargetMode="External"/><Relationship Id="rId4" Type="http://schemas.openxmlformats.org/officeDocument/2006/relationships/hyperlink" Target="http://www.cmfclearinghouse.org/detail.cfm?facid=3034"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0"/>
  <sheetViews>
    <sheetView view="pageBreakPreview" zoomScaleNormal="100" zoomScaleSheetLayoutView="100" workbookViewId="0">
      <selection activeCell="B18" sqref="B18"/>
    </sheetView>
  </sheetViews>
  <sheetFormatPr defaultColWidth="8.85546875" defaultRowHeight="15" x14ac:dyDescent="0.25"/>
  <cols>
    <col min="2" max="2" width="35.140625" customWidth="1"/>
    <col min="3" max="3" width="13.42578125" customWidth="1"/>
    <col min="6" max="6" width="22" customWidth="1"/>
  </cols>
  <sheetData>
    <row r="1" spans="1:6" ht="23.25" x14ac:dyDescent="0.35">
      <c r="A1" s="24" t="s">
        <v>704</v>
      </c>
    </row>
    <row r="5" spans="1:6" x14ac:dyDescent="0.25">
      <c r="B5" s="17" t="s">
        <v>66</v>
      </c>
      <c r="C5" s="78"/>
      <c r="E5" s="89"/>
    </row>
    <row r="6" spans="1:6" x14ac:dyDescent="0.25">
      <c r="B6" s="79" t="s">
        <v>703</v>
      </c>
      <c r="C6" s="80">
        <v>2021</v>
      </c>
      <c r="E6" s="92"/>
    </row>
    <row r="7" spans="1:6" x14ac:dyDescent="0.25">
      <c r="B7" s="79" t="s">
        <v>67</v>
      </c>
      <c r="C7" s="80">
        <v>20</v>
      </c>
      <c r="E7" s="90"/>
    </row>
    <row r="8" spans="1:6" x14ac:dyDescent="0.25">
      <c r="B8" s="79" t="s">
        <v>105</v>
      </c>
      <c r="C8" s="80">
        <v>2027</v>
      </c>
      <c r="D8" s="89"/>
    </row>
    <row r="9" spans="1:6" x14ac:dyDescent="0.25">
      <c r="B9" s="79" t="s">
        <v>68</v>
      </c>
      <c r="C9" s="80">
        <f>C8+C7-1</f>
        <v>2046</v>
      </c>
    </row>
    <row r="10" spans="1:6" x14ac:dyDescent="0.25">
      <c r="B10" s="79" t="s">
        <v>106</v>
      </c>
      <c r="C10" s="80">
        <v>2040</v>
      </c>
    </row>
    <row r="11" spans="1:6" x14ac:dyDescent="0.25">
      <c r="B11" s="79" t="s">
        <v>71</v>
      </c>
      <c r="C11" s="80">
        <v>365</v>
      </c>
    </row>
    <row r="13" spans="1:6" x14ac:dyDescent="0.25">
      <c r="A13" s="153" t="s">
        <v>3</v>
      </c>
      <c r="B13" s="153"/>
      <c r="C13" s="153"/>
      <c r="D13" s="78"/>
      <c r="E13" s="78"/>
      <c r="F13" s="78"/>
    </row>
    <row r="14" spans="1:6" x14ac:dyDescent="0.25">
      <c r="A14" s="154" t="s">
        <v>17</v>
      </c>
      <c r="B14" s="526" t="s">
        <v>705</v>
      </c>
      <c r="C14" s="526"/>
      <c r="D14" s="526"/>
      <c r="E14" s="526"/>
      <c r="F14" s="526"/>
    </row>
    <row r="15" spans="1:6" x14ac:dyDescent="0.25">
      <c r="A15" s="154"/>
      <c r="B15" s="526"/>
      <c r="C15" s="526"/>
      <c r="D15" s="526"/>
      <c r="E15" s="526"/>
      <c r="F15" s="526"/>
    </row>
    <row r="16" spans="1:6" x14ac:dyDescent="0.25">
      <c r="A16" s="155"/>
      <c r="B16" s="526"/>
      <c r="C16" s="526"/>
      <c r="D16" s="526"/>
      <c r="E16" s="526"/>
      <c r="F16" s="526"/>
    </row>
    <row r="17" spans="1:6" x14ac:dyDescent="0.25">
      <c r="A17" s="155"/>
      <c r="B17" s="526"/>
      <c r="C17" s="526"/>
      <c r="D17" s="526"/>
      <c r="E17" s="526"/>
      <c r="F17" s="526"/>
    </row>
    <row r="18" spans="1:6" x14ac:dyDescent="0.25">
      <c r="A18" s="155"/>
      <c r="B18" s="156"/>
      <c r="C18" s="156"/>
      <c r="D18" s="156"/>
      <c r="E18" s="156"/>
      <c r="F18" s="156"/>
    </row>
    <row r="19" spans="1:6" x14ac:dyDescent="0.25">
      <c r="A19" s="154" t="s">
        <v>16</v>
      </c>
      <c r="B19" s="526" t="s">
        <v>156</v>
      </c>
      <c r="C19" s="526"/>
      <c r="D19" s="526"/>
      <c r="E19" s="526"/>
      <c r="F19" s="526"/>
    </row>
    <row r="20" spans="1:6" x14ac:dyDescent="0.25">
      <c r="A20" s="154"/>
      <c r="B20" s="526"/>
      <c r="C20" s="526"/>
      <c r="D20" s="526"/>
      <c r="E20" s="526"/>
      <c r="F20" s="526"/>
    </row>
    <row r="21" spans="1:6" x14ac:dyDescent="0.25">
      <c r="A21" s="154"/>
      <c r="B21" s="526"/>
      <c r="C21" s="526"/>
      <c r="D21" s="526"/>
      <c r="E21" s="526"/>
      <c r="F21" s="526"/>
    </row>
    <row r="22" spans="1:6" x14ac:dyDescent="0.25">
      <c r="A22" s="155"/>
      <c r="B22" s="160"/>
      <c r="C22" s="160"/>
      <c r="D22" s="160"/>
      <c r="E22" s="160"/>
      <c r="F22" s="160"/>
    </row>
    <row r="23" spans="1:6" ht="15" customHeight="1" x14ac:dyDescent="0.25">
      <c r="A23" s="154" t="s">
        <v>108</v>
      </c>
      <c r="B23" s="305" t="s">
        <v>110</v>
      </c>
      <c r="C23" s="167"/>
      <c r="D23" s="167"/>
      <c r="E23" s="167"/>
      <c r="F23" s="167"/>
    </row>
    <row r="24" spans="1:6" ht="15" customHeight="1" x14ac:dyDescent="0.25">
      <c r="A24" s="154"/>
      <c r="B24" s="167"/>
      <c r="C24" s="167"/>
      <c r="D24" s="167"/>
      <c r="E24" s="167"/>
      <c r="F24" s="167"/>
    </row>
    <row r="25" spans="1:6" x14ac:dyDescent="0.25">
      <c r="A25" s="157"/>
      <c r="B25" s="161"/>
      <c r="C25" s="162"/>
      <c r="D25" s="162"/>
      <c r="E25" s="162"/>
      <c r="F25" s="162"/>
    </row>
    <row r="26" spans="1:6" x14ac:dyDescent="0.25">
      <c r="A26" s="157"/>
      <c r="B26" s="245"/>
      <c r="C26" s="245"/>
      <c r="D26" s="245"/>
      <c r="E26" s="245"/>
      <c r="F26" s="245"/>
    </row>
    <row r="27" spans="1:6" x14ac:dyDescent="0.25">
      <c r="A27" s="157"/>
      <c r="B27" s="245"/>
      <c r="C27" s="245"/>
      <c r="D27" s="245"/>
      <c r="E27" s="245"/>
      <c r="F27" s="245"/>
    </row>
    <row r="28" spans="1:6" ht="15.75" customHeight="1" x14ac:dyDescent="0.25">
      <c r="A28" s="157"/>
      <c r="B28" s="245"/>
      <c r="C28" s="245"/>
      <c r="D28" s="245"/>
      <c r="E28" s="245"/>
      <c r="F28" s="245"/>
    </row>
    <row r="29" spans="1:6" x14ac:dyDescent="0.25">
      <c r="A29" s="158"/>
      <c r="B29" s="159"/>
      <c r="C29" s="159"/>
      <c r="D29" s="159"/>
      <c r="E29" s="159"/>
      <c r="F29" s="159"/>
    </row>
    <row r="30" spans="1:6" x14ac:dyDescent="0.25">
      <c r="A30" s="157"/>
      <c r="B30" s="527"/>
      <c r="C30" s="527"/>
      <c r="D30" s="527"/>
      <c r="E30" s="527"/>
      <c r="F30" s="527"/>
    </row>
  </sheetData>
  <mergeCells count="3">
    <mergeCell ref="B14:F17"/>
    <mergeCell ref="B19:F21"/>
    <mergeCell ref="B30:F30"/>
  </mergeCells>
  <pageMargins left="0.7" right="0.7" top="0.75" bottom="0.75" header="0.3" footer="0.3"/>
  <pageSetup scale="87"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00000"/>
    <pageSetUpPr fitToPage="1"/>
  </sheetPr>
  <dimension ref="A1:P64"/>
  <sheetViews>
    <sheetView view="pageBreakPreview" topLeftCell="A12" zoomScale="85" zoomScaleNormal="85" zoomScaleSheetLayoutView="85" workbookViewId="0">
      <selection activeCell="B41" sqref="B41"/>
    </sheetView>
  </sheetViews>
  <sheetFormatPr defaultColWidth="8.85546875" defaultRowHeight="15" x14ac:dyDescent="0.25"/>
  <cols>
    <col min="1" max="1" width="5.140625" customWidth="1"/>
    <col min="2" max="9" width="15.7109375" customWidth="1"/>
    <col min="10" max="10" width="34.42578125" customWidth="1"/>
    <col min="11" max="11" width="21.140625" customWidth="1"/>
    <col min="12" max="13" width="23.85546875" customWidth="1"/>
    <col min="16" max="16" width="16.85546875" customWidth="1"/>
  </cols>
  <sheetData>
    <row r="1" spans="2:16" x14ac:dyDescent="0.25">
      <c r="B1">
        <v>1</v>
      </c>
      <c r="C1">
        <f>B1+1</f>
        <v>2</v>
      </c>
      <c r="D1">
        <f t="shared" ref="D1:H1" si="0">C1+1</f>
        <v>3</v>
      </c>
      <c r="E1">
        <f t="shared" si="0"/>
        <v>4</v>
      </c>
      <c r="F1">
        <f t="shared" si="0"/>
        <v>5</v>
      </c>
      <c r="G1">
        <f t="shared" si="0"/>
        <v>6</v>
      </c>
      <c r="H1">
        <f t="shared" si="0"/>
        <v>7</v>
      </c>
    </row>
    <row r="2" spans="2:16" x14ac:dyDescent="0.25">
      <c r="B2" s="6" t="s">
        <v>92</v>
      </c>
    </row>
    <row r="3" spans="2:16" ht="18.75" customHeight="1" x14ac:dyDescent="0.25">
      <c r="J3" s="6" t="s">
        <v>690</v>
      </c>
    </row>
    <row r="4" spans="2:16" ht="15.75" customHeight="1" thickBot="1" x14ac:dyDescent="0.3">
      <c r="K4" s="71" t="s">
        <v>107</v>
      </c>
      <c r="L4" s="48"/>
      <c r="M4" s="409"/>
    </row>
    <row r="5" spans="2:16" ht="15.75" thickBot="1" x14ac:dyDescent="0.3">
      <c r="C5" s="556" t="s">
        <v>18</v>
      </c>
      <c r="D5" s="557"/>
      <c r="E5" s="556" t="s">
        <v>15</v>
      </c>
      <c r="F5" s="557"/>
      <c r="G5" s="557"/>
      <c r="H5" s="558"/>
      <c r="J5" s="139" t="s">
        <v>87</v>
      </c>
      <c r="K5" s="206">
        <v>2023</v>
      </c>
      <c r="L5" s="408"/>
    </row>
    <row r="6" spans="2:16" ht="15.75" customHeight="1" x14ac:dyDescent="0.25">
      <c r="B6" s="550" t="s">
        <v>0</v>
      </c>
      <c r="C6" s="655" t="s">
        <v>129</v>
      </c>
      <c r="D6" s="550" t="s">
        <v>686</v>
      </c>
      <c r="E6" s="630" t="s">
        <v>130</v>
      </c>
      <c r="F6" s="550" t="s">
        <v>686</v>
      </c>
      <c r="G6" s="653" t="s">
        <v>132</v>
      </c>
      <c r="H6" s="653" t="s">
        <v>76</v>
      </c>
      <c r="J6" s="8" t="s">
        <v>260</v>
      </c>
      <c r="K6" s="206">
        <v>2025</v>
      </c>
    </row>
    <row r="7" spans="2:16" ht="15.75" customHeight="1" thickBot="1" x14ac:dyDescent="0.3">
      <c r="B7" s="555"/>
      <c r="C7" s="656"/>
      <c r="D7" s="555"/>
      <c r="E7" s="631"/>
      <c r="F7" s="555"/>
      <c r="G7" s="654"/>
      <c r="H7" s="654"/>
      <c r="J7" s="8" t="s">
        <v>219</v>
      </c>
      <c r="K7" s="206">
        <v>3</v>
      </c>
      <c r="L7" s="89"/>
    </row>
    <row r="8" spans="2:16" ht="15.75" customHeight="1" x14ac:dyDescent="0.25">
      <c r="B8" s="405">
        <f>K5</f>
        <v>2023</v>
      </c>
      <c r="C8" s="99">
        <f>L14/9*4</f>
        <v>2473333.3333333335</v>
      </c>
      <c r="D8" s="195">
        <f>C8*(1+0.07)^-($B8-Assumptions!$C$6)</f>
        <v>2160305.1212624102</v>
      </c>
      <c r="E8" s="402" t="s">
        <v>131</v>
      </c>
      <c r="F8" s="195">
        <f>IFERROR(E8*(1+0.07)^-($B8-Assumptions!$C$6),0)</f>
        <v>0</v>
      </c>
      <c r="G8" s="504">
        <f>C8</f>
        <v>2473333.3333333335</v>
      </c>
      <c r="H8" s="505">
        <f>G8*(1+0.07)^-($B8-Assumptions!$C$6)</f>
        <v>2160305.1212624102</v>
      </c>
      <c r="J8" s="8" t="s">
        <v>688</v>
      </c>
      <c r="K8" s="206">
        <f>Assumptions!$C$7</f>
        <v>20</v>
      </c>
    </row>
    <row r="9" spans="2:16" ht="15.75" customHeight="1" x14ac:dyDescent="0.25">
      <c r="B9" s="406">
        <f t="shared" ref="B9:B31" si="1">B8+1</f>
        <v>2024</v>
      </c>
      <c r="C9" s="100">
        <f>L14/9*4</f>
        <v>2473333.3333333335</v>
      </c>
      <c r="D9" s="196">
        <f>C9*(1+0.07)^-($B9-Assumptions!$C$6)</f>
        <v>2018976.7488433737</v>
      </c>
      <c r="E9" s="403" t="s">
        <v>131</v>
      </c>
      <c r="F9" s="501">
        <f>IFERROR(E9*(1+0.07)^-($B9-Assumptions!$C$6),0)</f>
        <v>0</v>
      </c>
      <c r="G9" s="506">
        <f t="shared" ref="G9:G31" si="2">C9</f>
        <v>2473333.3333333335</v>
      </c>
      <c r="H9" s="507">
        <f>G9*(1+0.07)^-($B9-Assumptions!$C$6)</f>
        <v>2018976.7488433737</v>
      </c>
    </row>
    <row r="10" spans="2:16" ht="15.75" customHeight="1" x14ac:dyDescent="0.25">
      <c r="B10" s="406">
        <f t="shared" si="1"/>
        <v>2025</v>
      </c>
      <c r="C10" s="100">
        <f>((L20-L14)/7*1)+(L14/9*1)</f>
        <v>11580740.476190478</v>
      </c>
      <c r="D10" s="196">
        <f>C10*(1+0.07)^-($B10-Assumptions!$C$6)</f>
        <v>8834891.4612506926</v>
      </c>
      <c r="E10" s="403" t="s">
        <v>131</v>
      </c>
      <c r="F10" s="501">
        <f>IFERROR(E10*(1+0.07)^-($B10-Assumptions!$C$6),0)</f>
        <v>0</v>
      </c>
      <c r="G10" s="506">
        <f t="shared" si="2"/>
        <v>11580740.476190478</v>
      </c>
      <c r="H10" s="507">
        <f>G10*(1+0.07)^-($B10-Assumptions!$C$6)</f>
        <v>8834891.4612506926</v>
      </c>
      <c r="J10" s="6" t="s">
        <v>689</v>
      </c>
    </row>
    <row r="11" spans="2:16" ht="15.75" customHeight="1" x14ac:dyDescent="0.25">
      <c r="B11" s="406">
        <f t="shared" si="1"/>
        <v>2026</v>
      </c>
      <c r="C11" s="100">
        <f>(L20-L14)/7*4</f>
        <v>43849628.571428575</v>
      </c>
      <c r="D11" s="196">
        <f>C11*(1+0.07)^-($B11-Assumptions!$C$6)</f>
        <v>31264179.146920767</v>
      </c>
      <c r="E11" s="403" t="s">
        <v>131</v>
      </c>
      <c r="F11" s="501">
        <f>IFERROR(E11*(1+0.07)^-($B11-Assumptions!$C$6),0)</f>
        <v>0</v>
      </c>
      <c r="G11" s="506">
        <f t="shared" si="2"/>
        <v>43849628.571428575</v>
      </c>
      <c r="H11" s="507">
        <f>G11*(1+0.07)^-($B11-Assumptions!$C$6)</f>
        <v>31264179.146920767</v>
      </c>
      <c r="J11" s="647" t="s">
        <v>5</v>
      </c>
      <c r="K11" s="650" t="s">
        <v>6</v>
      </c>
      <c r="L11" s="643" t="s">
        <v>687</v>
      </c>
      <c r="M11" s="643" t="s">
        <v>15</v>
      </c>
    </row>
    <row r="12" spans="2:16" ht="15.75" customHeight="1" thickBot="1" x14ac:dyDescent="0.3">
      <c r="B12" s="407">
        <f t="shared" ref="B12:B24" si="3">B11+1</f>
        <v>2027</v>
      </c>
      <c r="C12" s="101">
        <f>(L20-L14)/7*2</f>
        <v>21924814.285714287</v>
      </c>
      <c r="D12" s="197">
        <f>C12*(1+0.07)^-($B12-Assumptions!$C$6)</f>
        <v>14609429.507906901</v>
      </c>
      <c r="E12" s="404" t="s">
        <v>131</v>
      </c>
      <c r="F12" s="502">
        <f>IFERROR(E12*(1+0.07)^-($B12-Assumptions!$C$6),0)</f>
        <v>0</v>
      </c>
      <c r="G12" s="508">
        <f t="shared" si="2"/>
        <v>21924814.285714287</v>
      </c>
      <c r="H12" s="509">
        <f>G12*(1+0.07)^-($B12-Assumptions!$C$6)</f>
        <v>14609429.507906901</v>
      </c>
      <c r="J12" s="648"/>
      <c r="K12" s="651"/>
      <c r="L12" s="644"/>
      <c r="M12" s="644"/>
    </row>
    <row r="13" spans="2:16" ht="15.75" customHeight="1" x14ac:dyDescent="0.25">
      <c r="B13" s="190">
        <f t="shared" si="3"/>
        <v>2028</v>
      </c>
      <c r="C13" s="191">
        <f t="shared" ref="C13:C31" si="4">IF($B13=$K$5,$L$14,IF(AND($B13&gt;=$K$6,$B13&lt;$K$6+$K$7),($L$20-$L$14)/$K$7,0))</f>
        <v>0</v>
      </c>
      <c r="D13" s="198">
        <f>C13*(1+0.07)^-($B13-Assumptions!$C$6)</f>
        <v>0</v>
      </c>
      <c r="E13" s="401" t="s">
        <v>131</v>
      </c>
      <c r="F13" s="503">
        <f>IFERROR(E13*(1+0.07)^-($B13-Assumptions!$C$6),0)</f>
        <v>0</v>
      </c>
      <c r="G13" s="510">
        <f t="shared" si="2"/>
        <v>0</v>
      </c>
      <c r="H13" s="511">
        <f>G13*(1+0.07)^-($B13-Assumptions!$C$6)</f>
        <v>0</v>
      </c>
      <c r="J13" s="649"/>
      <c r="K13" s="652"/>
      <c r="L13" s="645"/>
      <c r="M13" s="645"/>
    </row>
    <row r="14" spans="2:16" ht="15.75" customHeight="1" x14ac:dyDescent="0.25">
      <c r="B14" s="94">
        <f t="shared" si="3"/>
        <v>2029</v>
      </c>
      <c r="C14" s="192">
        <f t="shared" si="4"/>
        <v>0</v>
      </c>
      <c r="D14" s="196">
        <f>C14*(1+0.07)^-($B14-Assumptions!$C$6)</f>
        <v>0</v>
      </c>
      <c r="E14" s="194" t="s">
        <v>131</v>
      </c>
      <c r="F14" s="501">
        <f>IFERROR(E14*(1+0.07)^-($B14-Assumptions!$C$6),0)</f>
        <v>0</v>
      </c>
      <c r="G14" s="512">
        <f t="shared" si="2"/>
        <v>0</v>
      </c>
      <c r="H14" s="507">
        <f>G14*(1+0.07)^-($B14-Assumptions!$C$6)</f>
        <v>0</v>
      </c>
      <c r="I14">
        <v>1</v>
      </c>
      <c r="J14" s="8" t="s">
        <v>19</v>
      </c>
      <c r="K14" s="26">
        <v>100</v>
      </c>
      <c r="L14" s="77">
        <v>5565000</v>
      </c>
      <c r="M14" s="515">
        <f t="shared" ref="M14:M18" si="5">IFERROR(L14*(1-$K$8/K14),0)</f>
        <v>4452000</v>
      </c>
    </row>
    <row r="15" spans="2:16" ht="15.75" customHeight="1" x14ac:dyDescent="0.25">
      <c r="B15" s="94">
        <f t="shared" si="3"/>
        <v>2030</v>
      </c>
      <c r="C15" s="192">
        <f t="shared" si="4"/>
        <v>0</v>
      </c>
      <c r="D15" s="196">
        <f>C15*(1+0.07)^-($B15-Assumptions!$C$6)</f>
        <v>0</v>
      </c>
      <c r="E15" s="194" t="s">
        <v>131</v>
      </c>
      <c r="F15" s="501">
        <f>IFERROR(E15*(1+0.07)^-($B15-Assumptions!$C$6),0)</f>
        <v>0</v>
      </c>
      <c r="G15" s="512">
        <f t="shared" si="2"/>
        <v>0</v>
      </c>
      <c r="H15" s="507">
        <f>G15*(1+0.07)^-($B15-Assumptions!$C$6)</f>
        <v>0</v>
      </c>
      <c r="I15">
        <v>2</v>
      </c>
      <c r="J15" s="8" t="s">
        <v>20</v>
      </c>
      <c r="K15" s="26">
        <v>60</v>
      </c>
      <c r="L15" s="77">
        <v>1706214.9632388768</v>
      </c>
      <c r="M15" s="515">
        <f t="shared" si="5"/>
        <v>1137476.6421592513</v>
      </c>
      <c r="P15" s="311"/>
    </row>
    <row r="16" spans="2:16" ht="15.75" customHeight="1" x14ac:dyDescent="0.25">
      <c r="B16" s="94">
        <f t="shared" si="3"/>
        <v>2031</v>
      </c>
      <c r="C16" s="192">
        <f t="shared" si="4"/>
        <v>0</v>
      </c>
      <c r="D16" s="196">
        <f>C16*(1+0.07)^-($B16-Assumptions!$C$6)</f>
        <v>0</v>
      </c>
      <c r="E16" s="194" t="s">
        <v>131</v>
      </c>
      <c r="F16" s="501">
        <f>IFERROR(E16*(1+0.07)^-($B16-Assumptions!$C$6),0)</f>
        <v>0</v>
      </c>
      <c r="G16" s="512">
        <f t="shared" si="2"/>
        <v>0</v>
      </c>
      <c r="H16" s="507">
        <f>G16*(1+0.07)^-($B16-Assumptions!$C$6)</f>
        <v>0</v>
      </c>
      <c r="I16">
        <v>3</v>
      </c>
      <c r="J16" s="8" t="s">
        <v>21</v>
      </c>
      <c r="K16" s="26">
        <v>50</v>
      </c>
      <c r="L16" s="77">
        <v>16197917.856911343</v>
      </c>
      <c r="M16" s="515">
        <f t="shared" si="5"/>
        <v>9718750.7141468059</v>
      </c>
      <c r="P16" s="311"/>
    </row>
    <row r="17" spans="2:16" ht="15.75" customHeight="1" x14ac:dyDescent="0.25">
      <c r="B17" s="94">
        <f t="shared" si="3"/>
        <v>2032</v>
      </c>
      <c r="C17" s="192">
        <f t="shared" si="4"/>
        <v>0</v>
      </c>
      <c r="D17" s="196">
        <f>C17*(1+0.07)^-($B17-Assumptions!$C$6)</f>
        <v>0</v>
      </c>
      <c r="E17" s="194" t="s">
        <v>131</v>
      </c>
      <c r="F17" s="501">
        <f>IFERROR(E17*(1+0.07)^-($B17-Assumptions!$C$6),0)</f>
        <v>0</v>
      </c>
      <c r="G17" s="512">
        <f t="shared" si="2"/>
        <v>0</v>
      </c>
      <c r="H17" s="507">
        <f>G17*(1+0.07)^-($B17-Assumptions!$C$6)</f>
        <v>0</v>
      </c>
      <c r="I17">
        <v>4</v>
      </c>
      <c r="J17" s="8" t="s">
        <v>22</v>
      </c>
      <c r="K17" s="26">
        <v>40</v>
      </c>
      <c r="L17" s="77">
        <v>1172894.7046657931</v>
      </c>
      <c r="M17" s="515">
        <f t="shared" si="5"/>
        <v>586447.35233289655</v>
      </c>
      <c r="P17" s="311"/>
    </row>
    <row r="18" spans="2:16" ht="15.75" customHeight="1" x14ac:dyDescent="0.25">
      <c r="B18" s="94">
        <f t="shared" si="3"/>
        <v>2033</v>
      </c>
      <c r="C18" s="192">
        <f t="shared" si="4"/>
        <v>0</v>
      </c>
      <c r="D18" s="196">
        <f>C18*(1+0.07)^-($B18-Assumptions!$C$6)</f>
        <v>0</v>
      </c>
      <c r="E18" s="194" t="s">
        <v>131</v>
      </c>
      <c r="F18" s="501">
        <f>IFERROR(E18*(1+0.07)^-($B18-Assumptions!$C$6),0)</f>
        <v>0</v>
      </c>
      <c r="G18" s="512">
        <f t="shared" si="2"/>
        <v>0</v>
      </c>
      <c r="H18" s="507">
        <f>G18*(1+0.07)^-($B18-Assumptions!$C$6)</f>
        <v>0</v>
      </c>
      <c r="I18">
        <v>5</v>
      </c>
      <c r="J18" s="8" t="s">
        <v>23</v>
      </c>
      <c r="K18" s="26">
        <v>25</v>
      </c>
      <c r="L18" s="77">
        <v>43919910.557505801</v>
      </c>
      <c r="M18" s="515">
        <f t="shared" si="5"/>
        <v>8783982.1115011591</v>
      </c>
      <c r="P18" s="311"/>
    </row>
    <row r="19" spans="2:16" ht="15.75" customHeight="1" x14ac:dyDescent="0.25">
      <c r="B19" s="94">
        <f t="shared" si="3"/>
        <v>2034</v>
      </c>
      <c r="C19" s="192">
        <f t="shared" si="4"/>
        <v>0</v>
      </c>
      <c r="D19" s="196">
        <f>C19*(1+0.07)^-($B19-Assumptions!$C$6)</f>
        <v>0</v>
      </c>
      <c r="E19" s="194" t="s">
        <v>131</v>
      </c>
      <c r="F19" s="501">
        <f>IFERROR(E19*(1+0.07)^-($B19-Assumptions!$C$6),0)</f>
        <v>0</v>
      </c>
      <c r="G19" s="512">
        <f t="shared" si="2"/>
        <v>0</v>
      </c>
      <c r="H19" s="507">
        <f>G19*(1+0.07)^-($B19-Assumptions!$C$6)</f>
        <v>0</v>
      </c>
      <c r="I19">
        <v>6</v>
      </c>
      <c r="J19" s="8" t="s">
        <v>24</v>
      </c>
      <c r="K19" s="26">
        <v>0</v>
      </c>
      <c r="L19" s="77">
        <v>13739911.917678185</v>
      </c>
      <c r="M19" s="515">
        <f>IFERROR(L19*(1-$K$8/K19),0)</f>
        <v>0</v>
      </c>
      <c r="P19" s="311"/>
    </row>
    <row r="20" spans="2:16" ht="15.75" customHeight="1" x14ac:dyDescent="0.25">
      <c r="B20" s="94">
        <f t="shared" si="3"/>
        <v>2035</v>
      </c>
      <c r="C20" s="192">
        <f t="shared" si="4"/>
        <v>0</v>
      </c>
      <c r="D20" s="196">
        <f>C20*(1+0.07)^-($B20-Assumptions!$C$6)</f>
        <v>0</v>
      </c>
      <c r="E20" s="194" t="s">
        <v>131</v>
      </c>
      <c r="F20" s="501">
        <f>IFERROR(E20*(1+0.07)^-($B20-Assumptions!$C$6),0)</f>
        <v>0</v>
      </c>
      <c r="G20" s="512">
        <f t="shared" si="2"/>
        <v>0</v>
      </c>
      <c r="H20" s="507">
        <f>G20*(1+0.07)^-($B20-Assumptions!$C$6)</f>
        <v>0</v>
      </c>
      <c r="J20" s="646" t="s">
        <v>28</v>
      </c>
      <c r="K20" s="646"/>
      <c r="L20" s="25">
        <f>SUM(L14:L19)</f>
        <v>82301850</v>
      </c>
      <c r="M20" s="25">
        <f>SUM(M14:M19)</f>
        <v>24678656.820140116</v>
      </c>
      <c r="P20" s="311"/>
    </row>
    <row r="21" spans="2:16" ht="15.75" customHeight="1" x14ac:dyDescent="0.25">
      <c r="B21" s="94">
        <f t="shared" si="3"/>
        <v>2036</v>
      </c>
      <c r="C21" s="192">
        <f t="shared" si="4"/>
        <v>0</v>
      </c>
      <c r="D21" s="196">
        <f>C21*(1+0.07)^-($B21-Assumptions!$C$6)</f>
        <v>0</v>
      </c>
      <c r="E21" s="194" t="s">
        <v>131</v>
      </c>
      <c r="F21" s="501">
        <f>IFERROR(E21*(1+0.07)^-($B21-Assumptions!$C$6),0)</f>
        <v>0</v>
      </c>
      <c r="G21" s="512">
        <f t="shared" si="2"/>
        <v>0</v>
      </c>
      <c r="H21" s="507">
        <f>G21*(1+0.07)^-($B21-Assumptions!$C$6)</f>
        <v>0</v>
      </c>
      <c r="P21" s="311"/>
    </row>
    <row r="22" spans="2:16" ht="15.75" customHeight="1" x14ac:dyDescent="0.25">
      <c r="B22" s="94">
        <f t="shared" si="3"/>
        <v>2037</v>
      </c>
      <c r="C22" s="192">
        <f t="shared" si="4"/>
        <v>0</v>
      </c>
      <c r="D22" s="196">
        <f>C22*(1+0.07)^-($B22-Assumptions!$C$6)</f>
        <v>0</v>
      </c>
      <c r="E22" s="194" t="s">
        <v>131</v>
      </c>
      <c r="F22" s="501">
        <f>IFERROR(E22*(1+0.07)^-($B22-Assumptions!$C$6),0)</f>
        <v>0</v>
      </c>
      <c r="G22" s="512">
        <f t="shared" si="2"/>
        <v>0</v>
      </c>
      <c r="H22" s="507">
        <f>G22*(1+0.07)^-($B22-Assumptions!$C$6)</f>
        <v>0</v>
      </c>
      <c r="J22" s="642"/>
      <c r="K22" s="642"/>
    </row>
    <row r="23" spans="2:16" ht="15.75" customHeight="1" x14ac:dyDescent="0.25">
      <c r="B23" s="94">
        <f t="shared" si="3"/>
        <v>2038</v>
      </c>
      <c r="C23" s="192">
        <f t="shared" si="4"/>
        <v>0</v>
      </c>
      <c r="D23" s="196">
        <f>C23*(1+0.07)^-($B23-Assumptions!$C$6)</f>
        <v>0</v>
      </c>
      <c r="E23" s="194" t="s">
        <v>131</v>
      </c>
      <c r="F23" s="501">
        <f>IFERROR(E23*(1+0.07)^-($B23-Assumptions!$C$6),0)</f>
        <v>0</v>
      </c>
      <c r="G23" s="512">
        <f t="shared" si="2"/>
        <v>0</v>
      </c>
      <c r="H23" s="507">
        <f>G23*(1+0.07)^-($B23-Assumptions!$C$6)</f>
        <v>0</v>
      </c>
      <c r="J23" s="312"/>
      <c r="K23" s="201"/>
      <c r="L23" s="89"/>
    </row>
    <row r="24" spans="2:16" ht="15.75" customHeight="1" x14ac:dyDescent="0.25">
      <c r="B24" s="94">
        <f t="shared" si="3"/>
        <v>2039</v>
      </c>
      <c r="C24" s="192">
        <f t="shared" si="4"/>
        <v>0</v>
      </c>
      <c r="D24" s="196">
        <f>C24*(1+0.07)^-($B24-Assumptions!$C$6)</f>
        <v>0</v>
      </c>
      <c r="E24" s="194" t="s">
        <v>131</v>
      </c>
      <c r="F24" s="501">
        <f>IFERROR(E24*(1+0.07)^-($B24-Assumptions!$C$6),0)</f>
        <v>0</v>
      </c>
      <c r="G24" s="512">
        <f t="shared" si="2"/>
        <v>0</v>
      </c>
      <c r="H24" s="507">
        <f>G24*(1+0.07)^-($B24-Assumptions!$C$6)</f>
        <v>0</v>
      </c>
      <c r="J24" s="200"/>
      <c r="K24" s="201"/>
      <c r="L24" s="89"/>
    </row>
    <row r="25" spans="2:16" ht="15.75" customHeight="1" x14ac:dyDescent="0.25">
      <c r="B25" s="94">
        <f t="shared" si="1"/>
        <v>2040</v>
      </c>
      <c r="C25" s="192">
        <f t="shared" si="4"/>
        <v>0</v>
      </c>
      <c r="D25" s="196">
        <f>C25*(1+0.07)^-($B25-Assumptions!$C$6)</f>
        <v>0</v>
      </c>
      <c r="E25" s="194" t="s">
        <v>131</v>
      </c>
      <c r="F25" s="501">
        <f>IFERROR(E25*(1+0.07)^-($B25-Assumptions!$C$6),0)</f>
        <v>0</v>
      </c>
      <c r="G25" s="512">
        <f t="shared" si="2"/>
        <v>0</v>
      </c>
      <c r="H25" s="507">
        <f>G25*(1+0.07)^-($B25-Assumptions!$C$6)</f>
        <v>0</v>
      </c>
      <c r="J25" s="200"/>
      <c r="K25" s="202"/>
    </row>
    <row r="26" spans="2:16" ht="15.75" customHeight="1" x14ac:dyDescent="0.25">
      <c r="B26" s="94">
        <f t="shared" si="1"/>
        <v>2041</v>
      </c>
      <c r="C26" s="192">
        <f t="shared" si="4"/>
        <v>0</v>
      </c>
      <c r="D26" s="196">
        <f>C26*(1+0.07)^-($B26-Assumptions!$C$6)</f>
        <v>0</v>
      </c>
      <c r="E26" s="194" t="s">
        <v>131</v>
      </c>
      <c r="F26" s="501">
        <f>IFERROR(E26*(1+0.07)^-($B26-Assumptions!$C$6),0)</f>
        <v>0</v>
      </c>
      <c r="G26" s="512">
        <f t="shared" si="2"/>
        <v>0</v>
      </c>
      <c r="H26" s="507">
        <f>G26*(1+0.07)^-($B26-Assumptions!$C$6)</f>
        <v>0</v>
      </c>
    </row>
    <row r="27" spans="2:16" ht="15.75" customHeight="1" x14ac:dyDescent="0.25">
      <c r="B27" s="94">
        <f t="shared" si="1"/>
        <v>2042</v>
      </c>
      <c r="C27" s="192">
        <f t="shared" si="4"/>
        <v>0</v>
      </c>
      <c r="D27" s="196">
        <f>C27*(1+0.07)^-($B27-Assumptions!$C$6)</f>
        <v>0</v>
      </c>
      <c r="E27" s="194" t="s">
        <v>131</v>
      </c>
      <c r="F27" s="501">
        <f>IFERROR(E27*(1+0.07)^-($B27-Assumptions!$C$6),0)</f>
        <v>0</v>
      </c>
      <c r="G27" s="512">
        <f t="shared" si="2"/>
        <v>0</v>
      </c>
      <c r="H27" s="507">
        <f>G27*(1+0.07)^-($B27-Assumptions!$C$6)</f>
        <v>0</v>
      </c>
    </row>
    <row r="28" spans="2:16" ht="15.75" customHeight="1" x14ac:dyDescent="0.25">
      <c r="B28" s="94">
        <f t="shared" si="1"/>
        <v>2043</v>
      </c>
      <c r="C28" s="192">
        <f t="shared" si="4"/>
        <v>0</v>
      </c>
      <c r="D28" s="196">
        <f>C28*(1+0.07)^-($B28-Assumptions!$C$6)</f>
        <v>0</v>
      </c>
      <c r="E28" s="194" t="s">
        <v>131</v>
      </c>
      <c r="F28" s="501">
        <f>IFERROR(E28*(1+0.07)^-($B28-Assumptions!$C$6),0)</f>
        <v>0</v>
      </c>
      <c r="G28" s="512">
        <f t="shared" si="2"/>
        <v>0</v>
      </c>
      <c r="H28" s="507">
        <f>G28*(1+0.07)^-($B28-Assumptions!$C$6)</f>
        <v>0</v>
      </c>
    </row>
    <row r="29" spans="2:16" ht="15.75" customHeight="1" x14ac:dyDescent="0.25">
      <c r="B29" s="94">
        <f t="shared" si="1"/>
        <v>2044</v>
      </c>
      <c r="C29" s="192">
        <f t="shared" si="4"/>
        <v>0</v>
      </c>
      <c r="D29" s="196">
        <f>C29*(1+0.07)^-($B29-Assumptions!$C$6)</f>
        <v>0</v>
      </c>
      <c r="E29" s="194" t="s">
        <v>131</v>
      </c>
      <c r="F29" s="501">
        <f>IFERROR(E29*(1+0.07)^-($B29-Assumptions!$C$6),0)</f>
        <v>0</v>
      </c>
      <c r="G29" s="512">
        <f t="shared" si="2"/>
        <v>0</v>
      </c>
      <c r="H29" s="507">
        <f>G29*(1+0.07)^-($B29-Assumptions!$C$6)</f>
        <v>0</v>
      </c>
    </row>
    <row r="30" spans="2:16" ht="15.75" customHeight="1" x14ac:dyDescent="0.25">
      <c r="B30" s="94">
        <f t="shared" si="1"/>
        <v>2045</v>
      </c>
      <c r="C30" s="192">
        <f t="shared" si="4"/>
        <v>0</v>
      </c>
      <c r="D30" s="196">
        <f>C30*(1+0.07)^-($B30-Assumptions!$C$6)</f>
        <v>0</v>
      </c>
      <c r="E30" s="194" t="s">
        <v>131</v>
      </c>
      <c r="F30" s="501">
        <f>IFERROR(E30*(1+0.07)^-($B30-Assumptions!$C$6),0)</f>
        <v>0</v>
      </c>
      <c r="G30" s="512">
        <f t="shared" si="2"/>
        <v>0</v>
      </c>
      <c r="H30" s="507">
        <f>G30*(1+0.07)^-($B30-Assumptions!$C$6)</f>
        <v>0</v>
      </c>
      <c r="L30" s="97"/>
    </row>
    <row r="31" spans="2:16" ht="15.75" customHeight="1" thickBot="1" x14ac:dyDescent="0.3">
      <c r="B31" s="67">
        <f t="shared" si="1"/>
        <v>2046</v>
      </c>
      <c r="C31" s="193">
        <f t="shared" si="4"/>
        <v>0</v>
      </c>
      <c r="D31" s="197">
        <f>C31*(1+0.07)^-($B31-Assumptions!$C$6)</f>
        <v>0</v>
      </c>
      <c r="E31" s="199">
        <f>M20</f>
        <v>24678656.820140116</v>
      </c>
      <c r="F31" s="133">
        <f>IFERROR(E31*(1+0.07)^-($B31-Assumptions!$C$6),0)</f>
        <v>4547022.2214644244</v>
      </c>
      <c r="G31" s="513">
        <f t="shared" si="2"/>
        <v>0</v>
      </c>
      <c r="H31" s="509">
        <f>G31*(1+0.07)^-($B31-Assumptions!$C$6)</f>
        <v>0</v>
      </c>
    </row>
    <row r="32" spans="2:16" ht="15.75" customHeight="1" x14ac:dyDescent="0.25">
      <c r="C32" s="32">
        <f t="shared" ref="C32:G32" si="6">SUM(C8:C31)</f>
        <v>82301850</v>
      </c>
      <c r="D32" s="32">
        <f>SUM(D8:D31)</f>
        <v>58887781.986184143</v>
      </c>
      <c r="E32" s="32">
        <f t="shared" si="6"/>
        <v>24678656.820140116</v>
      </c>
      <c r="F32" s="32">
        <f t="shared" si="6"/>
        <v>4547022.2214644244</v>
      </c>
      <c r="G32" s="514">
        <f t="shared" si="6"/>
        <v>82301850</v>
      </c>
      <c r="H32" s="514">
        <f>SUM(H8:H31)</f>
        <v>58887781.986184143</v>
      </c>
    </row>
    <row r="33" spans="1:8" ht="15.75" customHeight="1" x14ac:dyDescent="0.25"/>
    <row r="34" spans="1:8" ht="15.75" customHeight="1" x14ac:dyDescent="0.25"/>
    <row r="35" spans="1:8" ht="15.75" customHeight="1" x14ac:dyDescent="0.25">
      <c r="B35" s="6" t="s">
        <v>3</v>
      </c>
    </row>
    <row r="36" spans="1:8" ht="15.75" customHeight="1" x14ac:dyDescent="0.25">
      <c r="A36" s="140" t="s">
        <v>17</v>
      </c>
      <c r="B36" s="559" t="s">
        <v>713</v>
      </c>
      <c r="C36" s="559"/>
      <c r="D36" s="559"/>
      <c r="E36" s="559"/>
      <c r="F36" s="559"/>
      <c r="G36" s="559"/>
      <c r="H36" s="559"/>
    </row>
    <row r="37" spans="1:8" ht="15.75" customHeight="1" x14ac:dyDescent="0.25">
      <c r="B37" s="559"/>
      <c r="C37" s="559"/>
      <c r="D37" s="559"/>
      <c r="E37" s="559"/>
      <c r="F37" s="559"/>
      <c r="G37" s="559"/>
      <c r="H37" s="559"/>
    </row>
    <row r="38" spans="1:8" ht="15.75" customHeight="1" x14ac:dyDescent="0.25">
      <c r="B38" s="559"/>
      <c r="C38" s="559"/>
      <c r="D38" s="559"/>
      <c r="E38" s="559"/>
      <c r="F38" s="559"/>
      <c r="G38" s="559"/>
      <c r="H38" s="559"/>
    </row>
    <row r="39" spans="1:8" ht="15.75" customHeight="1" x14ac:dyDescent="0.25">
      <c r="B39" s="559"/>
      <c r="C39" s="559"/>
      <c r="D39" s="559"/>
      <c r="E39" s="559"/>
      <c r="F39" s="559"/>
      <c r="G39" s="559"/>
      <c r="H39" s="559"/>
    </row>
    <row r="40" spans="1:8" ht="15.75" customHeight="1" x14ac:dyDescent="0.25">
      <c r="B40" s="559"/>
      <c r="C40" s="559"/>
      <c r="D40" s="559"/>
      <c r="E40" s="559"/>
      <c r="F40" s="559"/>
      <c r="G40" s="559"/>
      <c r="H40" s="559"/>
    </row>
    <row r="41" spans="1:8" ht="15.75" customHeight="1" x14ac:dyDescent="0.25">
      <c r="B41" s="88"/>
      <c r="C41" s="88"/>
      <c r="D41" s="88"/>
      <c r="E41" s="88"/>
      <c r="F41" s="88"/>
      <c r="G41" s="88"/>
      <c r="H41" s="88"/>
    </row>
    <row r="42" spans="1:8" ht="15.75" customHeight="1" x14ac:dyDescent="0.25">
      <c r="A42" s="7" t="s">
        <v>220</v>
      </c>
      <c r="B42" s="559" t="s">
        <v>221</v>
      </c>
      <c r="C42" s="559"/>
      <c r="D42" s="559"/>
      <c r="E42" s="559"/>
      <c r="F42" s="559"/>
      <c r="G42" s="559"/>
      <c r="H42" s="559"/>
    </row>
    <row r="43" spans="1:8" ht="15.75" customHeight="1" x14ac:dyDescent="0.25">
      <c r="B43" s="88"/>
      <c r="C43" s="88"/>
      <c r="D43" s="88"/>
      <c r="E43" s="88"/>
      <c r="F43" s="88"/>
      <c r="G43" s="88"/>
      <c r="H43" s="88"/>
    </row>
    <row r="44" spans="1:8" ht="15.75" customHeight="1" x14ac:dyDescent="0.25">
      <c r="A44" s="140"/>
      <c r="B44" s="88"/>
      <c r="C44" s="88"/>
      <c r="D44" s="88"/>
    </row>
    <row r="45" spans="1:8" ht="15.75" customHeight="1" x14ac:dyDescent="0.25">
      <c r="A45" s="140" t="s">
        <v>16</v>
      </c>
      <c r="B45" s="559" t="s">
        <v>99</v>
      </c>
      <c r="C45" s="559"/>
      <c r="D45" s="559"/>
      <c r="E45" s="559"/>
      <c r="F45" s="559"/>
      <c r="G45" s="559"/>
      <c r="H45" s="559"/>
    </row>
    <row r="46" spans="1:8" ht="15.75" customHeight="1" x14ac:dyDescent="0.25">
      <c r="A46" s="39"/>
      <c r="B46" s="559"/>
      <c r="C46" s="559"/>
      <c r="D46" s="559"/>
      <c r="E46" s="559"/>
      <c r="F46" s="559"/>
      <c r="G46" s="559"/>
      <c r="H46" s="559"/>
    </row>
    <row r="47" spans="1:8" ht="15.75" customHeight="1" x14ac:dyDescent="0.25">
      <c r="A47" s="39"/>
      <c r="B47" s="559"/>
      <c r="C47" s="559"/>
      <c r="D47" s="559"/>
      <c r="E47" s="559"/>
      <c r="F47" s="559"/>
      <c r="G47" s="559"/>
      <c r="H47" s="559"/>
    </row>
    <row r="48" spans="1:8" ht="15.75" customHeight="1" x14ac:dyDescent="0.25">
      <c r="A48" s="140"/>
      <c r="B48" s="559"/>
      <c r="C48" s="559"/>
      <c r="D48" s="559"/>
      <c r="E48" s="559"/>
      <c r="F48" s="559"/>
      <c r="G48" s="559"/>
      <c r="H48" s="559"/>
    </row>
    <row r="49" spans="1:8" ht="15.75" customHeight="1" x14ac:dyDescent="0.25">
      <c r="B49" s="559"/>
      <c r="C49" s="559"/>
      <c r="D49" s="559"/>
      <c r="E49" s="559"/>
      <c r="F49" s="559"/>
      <c r="G49" s="559"/>
      <c r="H49" s="559"/>
    </row>
    <row r="50" spans="1:8" ht="15" customHeight="1" x14ac:dyDescent="0.25">
      <c r="B50" s="559"/>
      <c r="C50" s="559"/>
      <c r="D50" s="559"/>
      <c r="E50" s="559"/>
      <c r="F50" s="559"/>
      <c r="G50" s="559"/>
      <c r="H50" s="559"/>
    </row>
    <row r="51" spans="1:8" x14ac:dyDescent="0.25">
      <c r="A51" s="7"/>
      <c r="B51" s="559"/>
      <c r="C51" s="559"/>
      <c r="D51" s="559"/>
      <c r="E51" s="559"/>
      <c r="F51" s="559"/>
      <c r="G51" s="559"/>
      <c r="H51" s="559"/>
    </row>
    <row r="52" spans="1:8" x14ac:dyDescent="0.25">
      <c r="A52" s="39"/>
      <c r="B52" s="559"/>
      <c r="C52" s="559"/>
      <c r="D52" s="559"/>
      <c r="E52" s="559"/>
      <c r="F52" s="559"/>
      <c r="G52" s="559"/>
      <c r="H52" s="559"/>
    </row>
    <row r="54" spans="1:8" ht="15" customHeight="1" x14ac:dyDescent="0.25"/>
    <row r="58" spans="1:8" ht="15" customHeight="1" x14ac:dyDescent="0.25"/>
    <row r="64" spans="1:8" ht="15" customHeight="1" x14ac:dyDescent="0.25"/>
  </sheetData>
  <mergeCells count="18">
    <mergeCell ref="B36:H40"/>
    <mergeCell ref="B45:H52"/>
    <mergeCell ref="C5:D5"/>
    <mergeCell ref="E6:E7"/>
    <mergeCell ref="H6:H7"/>
    <mergeCell ref="C6:C7"/>
    <mergeCell ref="B6:B7"/>
    <mergeCell ref="D6:D7"/>
    <mergeCell ref="F6:F7"/>
    <mergeCell ref="G6:G7"/>
    <mergeCell ref="E5:H5"/>
    <mergeCell ref="B42:H42"/>
    <mergeCell ref="J22:K22"/>
    <mergeCell ref="M11:M13"/>
    <mergeCell ref="L11:L13"/>
    <mergeCell ref="J20:K20"/>
    <mergeCell ref="J11:J13"/>
    <mergeCell ref="K11:K13"/>
  </mergeCells>
  <pageMargins left="0.25" right="0.25" top="0.75" bottom="0.75" header="0.3" footer="0.3"/>
  <pageSetup paperSize="119" scale="6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BC9B8-6A1F-4F74-A85A-2866BF9B54EF}">
  <dimension ref="A1:DD234"/>
  <sheetViews>
    <sheetView zoomScale="85" zoomScaleNormal="85" workbookViewId="0">
      <selection activeCell="Y33" sqref="Y33"/>
    </sheetView>
  </sheetViews>
  <sheetFormatPr defaultRowHeight="15" x14ac:dyDescent="0.25"/>
  <sheetData>
    <row r="1" spans="1:108" ht="16.5" customHeight="1" x14ac:dyDescent="0.25">
      <c r="B1" t="s">
        <v>276</v>
      </c>
      <c r="C1" t="s">
        <v>277</v>
      </c>
      <c r="D1" t="s">
        <v>278</v>
      </c>
      <c r="E1" t="s">
        <v>279</v>
      </c>
      <c r="F1" t="s">
        <v>280</v>
      </c>
      <c r="G1" t="s">
        <v>281</v>
      </c>
      <c r="H1" t="s">
        <v>282</v>
      </c>
      <c r="I1" t="s">
        <v>283</v>
      </c>
      <c r="J1" t="s">
        <v>284</v>
      </c>
      <c r="K1" t="s">
        <v>285</v>
      </c>
      <c r="L1" t="s">
        <v>286</v>
      </c>
      <c r="M1" t="s">
        <v>287</v>
      </c>
      <c r="N1" t="s">
        <v>288</v>
      </c>
      <c r="O1" t="s">
        <v>289</v>
      </c>
      <c r="P1" t="s">
        <v>290</v>
      </c>
      <c r="Q1" t="s">
        <v>291</v>
      </c>
      <c r="R1" t="s">
        <v>292</v>
      </c>
      <c r="S1" t="s">
        <v>293</v>
      </c>
      <c r="T1" t="s">
        <v>294</v>
      </c>
      <c r="U1" t="s">
        <v>295</v>
      </c>
      <c r="V1" t="s">
        <v>296</v>
      </c>
      <c r="W1" t="s">
        <v>297</v>
      </c>
      <c r="X1" t="s">
        <v>298</v>
      </c>
      <c r="Y1" t="s">
        <v>299</v>
      </c>
      <c r="Z1" t="s">
        <v>300</v>
      </c>
      <c r="AA1" t="s">
        <v>301</v>
      </c>
      <c r="AB1" t="s">
        <v>302</v>
      </c>
      <c r="AC1" t="s">
        <v>303</v>
      </c>
      <c r="AD1" t="s">
        <v>304</v>
      </c>
      <c r="AE1" t="s">
        <v>305</v>
      </c>
      <c r="AF1" t="s">
        <v>306</v>
      </c>
      <c r="AG1" t="s">
        <v>307</v>
      </c>
      <c r="AH1" t="s">
        <v>308</v>
      </c>
      <c r="AI1" t="s">
        <v>309</v>
      </c>
      <c r="AJ1" t="s">
        <v>310</v>
      </c>
      <c r="AK1" t="s">
        <v>311</v>
      </c>
      <c r="AL1" t="s">
        <v>312</v>
      </c>
      <c r="AM1" t="s">
        <v>313</v>
      </c>
      <c r="AN1" t="s">
        <v>314</v>
      </c>
      <c r="AO1" t="s">
        <v>315</v>
      </c>
      <c r="AP1" t="s">
        <v>316</v>
      </c>
      <c r="AQ1" t="s">
        <v>317</v>
      </c>
      <c r="AR1" t="s">
        <v>318</v>
      </c>
      <c r="AS1" t="s">
        <v>319</v>
      </c>
      <c r="AT1" t="s">
        <v>320</v>
      </c>
      <c r="AU1" t="s">
        <v>321</v>
      </c>
      <c r="AV1" t="s">
        <v>322</v>
      </c>
      <c r="AW1" t="s">
        <v>323</v>
      </c>
      <c r="AX1" t="s">
        <v>324</v>
      </c>
      <c r="AY1" t="s">
        <v>325</v>
      </c>
      <c r="AZ1" t="s">
        <v>326</v>
      </c>
      <c r="BA1" t="s">
        <v>327</v>
      </c>
      <c r="BB1" t="s">
        <v>328</v>
      </c>
      <c r="BC1" t="s">
        <v>329</v>
      </c>
      <c r="BD1" t="s">
        <v>330</v>
      </c>
      <c r="BE1" t="s">
        <v>331</v>
      </c>
      <c r="BF1" t="s">
        <v>332</v>
      </c>
      <c r="BG1" t="s">
        <v>333</v>
      </c>
      <c r="BH1" t="s">
        <v>334</v>
      </c>
      <c r="BI1" t="s">
        <v>335</v>
      </c>
      <c r="BJ1" t="s">
        <v>336</v>
      </c>
      <c r="BK1" t="s">
        <v>337</v>
      </c>
      <c r="BL1" t="s">
        <v>338</v>
      </c>
      <c r="BM1" t="s">
        <v>339</v>
      </c>
      <c r="BN1" t="s">
        <v>340</v>
      </c>
      <c r="BO1" t="s">
        <v>341</v>
      </c>
      <c r="BP1" t="s">
        <v>342</v>
      </c>
      <c r="BQ1" t="s">
        <v>343</v>
      </c>
      <c r="BR1" t="s">
        <v>344</v>
      </c>
      <c r="BS1" t="s">
        <v>345</v>
      </c>
      <c r="BT1" t="s">
        <v>346</v>
      </c>
      <c r="BU1" t="s">
        <v>347</v>
      </c>
      <c r="BV1" t="s">
        <v>348</v>
      </c>
      <c r="BW1" t="s">
        <v>349</v>
      </c>
      <c r="BX1" t="s">
        <v>350</v>
      </c>
      <c r="BY1" t="s">
        <v>351</v>
      </c>
      <c r="BZ1" t="s">
        <v>352</v>
      </c>
      <c r="CA1" t="s">
        <v>353</v>
      </c>
      <c r="CB1" t="s">
        <v>354</v>
      </c>
      <c r="CC1" t="s">
        <v>355</v>
      </c>
      <c r="CD1" t="s">
        <v>356</v>
      </c>
      <c r="CE1" t="s">
        <v>357</v>
      </c>
      <c r="CF1" t="s">
        <v>358</v>
      </c>
      <c r="CG1" t="s">
        <v>359</v>
      </c>
      <c r="CH1" t="s">
        <v>360</v>
      </c>
      <c r="CI1" t="s">
        <v>361</v>
      </c>
      <c r="CJ1" t="s">
        <v>362</v>
      </c>
      <c r="CK1" t="s">
        <v>363</v>
      </c>
      <c r="CL1" t="s">
        <v>364</v>
      </c>
      <c r="CM1" t="s">
        <v>365</v>
      </c>
      <c r="CN1" t="s">
        <v>366</v>
      </c>
      <c r="CO1" t="s">
        <v>367</v>
      </c>
      <c r="CP1" t="s">
        <v>368</v>
      </c>
      <c r="CQ1" t="s">
        <v>369</v>
      </c>
      <c r="CR1" t="s">
        <v>370</v>
      </c>
      <c r="CS1" t="s">
        <v>371</v>
      </c>
      <c r="CT1" t="s">
        <v>372</v>
      </c>
      <c r="CU1" t="s">
        <v>373</v>
      </c>
      <c r="CV1" t="s">
        <v>374</v>
      </c>
      <c r="CW1" t="s">
        <v>375</v>
      </c>
      <c r="CX1" t="s">
        <v>376</v>
      </c>
      <c r="CY1" t="s">
        <v>377</v>
      </c>
      <c r="CZ1" t="s">
        <v>378</v>
      </c>
      <c r="DA1" t="s">
        <v>379</v>
      </c>
      <c r="DB1" t="s">
        <v>380</v>
      </c>
      <c r="DC1" t="s">
        <v>381</v>
      </c>
      <c r="DD1" t="s">
        <v>382</v>
      </c>
    </row>
    <row r="2" spans="1:108" ht="16.5" customHeight="1" x14ac:dyDescent="0.25">
      <c r="A2">
        <v>2</v>
      </c>
      <c r="B2">
        <v>605820</v>
      </c>
      <c r="C2">
        <v>2</v>
      </c>
      <c r="D2">
        <v>8</v>
      </c>
      <c r="E2">
        <v>1.8169999999999999</v>
      </c>
      <c r="F2">
        <v>13</v>
      </c>
      <c r="G2" t="s">
        <v>383</v>
      </c>
      <c r="I2" t="s">
        <v>384</v>
      </c>
      <c r="J2">
        <v>24</v>
      </c>
      <c r="L2" t="s">
        <v>385</v>
      </c>
      <c r="M2">
        <v>181650242</v>
      </c>
      <c r="N2">
        <v>6</v>
      </c>
      <c r="O2">
        <v>14</v>
      </c>
      <c r="P2">
        <v>2018</v>
      </c>
      <c r="Q2" t="s">
        <v>386</v>
      </c>
      <c r="R2">
        <v>15</v>
      </c>
      <c r="S2" t="s">
        <v>387</v>
      </c>
      <c r="T2">
        <v>4</v>
      </c>
      <c r="U2">
        <v>0</v>
      </c>
      <c r="V2">
        <v>2</v>
      </c>
      <c r="X2">
        <v>25</v>
      </c>
      <c r="Y2">
        <v>2</v>
      </c>
      <c r="Z2">
        <v>1</v>
      </c>
      <c r="AA2">
        <v>1</v>
      </c>
      <c r="AC2">
        <v>1</v>
      </c>
      <c r="AD2">
        <v>98</v>
      </c>
      <c r="AE2" t="s">
        <v>388</v>
      </c>
      <c r="AG2" t="s">
        <v>389</v>
      </c>
      <c r="AH2">
        <v>90</v>
      </c>
      <c r="AI2">
        <v>2</v>
      </c>
      <c r="AJ2">
        <v>2</v>
      </c>
      <c r="AK2">
        <v>3</v>
      </c>
      <c r="AL2">
        <v>26</v>
      </c>
      <c r="AM2">
        <v>54</v>
      </c>
      <c r="AN2" t="s">
        <v>384</v>
      </c>
      <c r="AO2">
        <v>5</v>
      </c>
      <c r="AP2">
        <v>1</v>
      </c>
      <c r="AT2">
        <v>12</v>
      </c>
      <c r="AU2">
        <v>20</v>
      </c>
      <c r="AV2">
        <v>55</v>
      </c>
      <c r="AW2">
        <v>11</v>
      </c>
      <c r="AX2">
        <v>21</v>
      </c>
      <c r="AY2">
        <v>2</v>
      </c>
      <c r="AZ2">
        <v>4</v>
      </c>
      <c r="BA2">
        <v>3</v>
      </c>
      <c r="BB2">
        <v>21</v>
      </c>
      <c r="BC2">
        <v>28</v>
      </c>
      <c r="BD2" t="s">
        <v>390</v>
      </c>
      <c r="BE2">
        <v>5</v>
      </c>
      <c r="BF2">
        <v>70</v>
      </c>
      <c r="BJ2">
        <v>12</v>
      </c>
      <c r="BK2">
        <v>20</v>
      </c>
      <c r="BL2">
        <v>55</v>
      </c>
      <c r="BM2">
        <v>11</v>
      </c>
      <c r="BN2">
        <v>21</v>
      </c>
      <c r="CU2">
        <v>502057.3933</v>
      </c>
      <c r="CV2">
        <v>5015929.8441000003</v>
      </c>
      <c r="CW2">
        <v>45.296875849999999</v>
      </c>
      <c r="CX2">
        <v>-92.973767870000003</v>
      </c>
      <c r="CY2" s="472">
        <v>43265.65625</v>
      </c>
      <c r="CZ2" t="s">
        <v>391</v>
      </c>
      <c r="DA2" t="s">
        <v>392</v>
      </c>
      <c r="DB2" t="s">
        <v>393</v>
      </c>
      <c r="DC2" t="s">
        <v>394</v>
      </c>
      <c r="DD2" t="s">
        <v>395</v>
      </c>
    </row>
    <row r="3" spans="1:108" ht="16.5" customHeight="1" x14ac:dyDescent="0.25">
      <c r="A3">
        <v>2</v>
      </c>
      <c r="B3">
        <v>908260</v>
      </c>
      <c r="C3">
        <v>2</v>
      </c>
      <c r="D3">
        <v>8</v>
      </c>
      <c r="E3">
        <v>1.8260000000000001</v>
      </c>
      <c r="F3">
        <v>13</v>
      </c>
      <c r="G3" t="s">
        <v>383</v>
      </c>
      <c r="I3" t="s">
        <v>384</v>
      </c>
      <c r="J3">
        <v>24</v>
      </c>
      <c r="L3">
        <v>21402980</v>
      </c>
      <c r="M3">
        <v>211390242</v>
      </c>
      <c r="N3">
        <v>5</v>
      </c>
      <c r="O3">
        <v>19</v>
      </c>
      <c r="P3">
        <v>2021</v>
      </c>
      <c r="Q3" t="s">
        <v>396</v>
      </c>
      <c r="R3">
        <v>17</v>
      </c>
      <c r="S3">
        <v>98</v>
      </c>
      <c r="T3">
        <v>5</v>
      </c>
      <c r="U3">
        <v>0</v>
      </c>
      <c r="V3">
        <v>2</v>
      </c>
      <c r="W3">
        <v>10</v>
      </c>
      <c r="X3">
        <v>10</v>
      </c>
      <c r="Y3">
        <v>2</v>
      </c>
      <c r="Z3">
        <v>1</v>
      </c>
      <c r="AA3">
        <v>1</v>
      </c>
      <c r="AC3">
        <v>1</v>
      </c>
      <c r="AD3">
        <v>98</v>
      </c>
      <c r="AE3" t="s">
        <v>388</v>
      </c>
      <c r="AG3" t="s">
        <v>389</v>
      </c>
      <c r="AH3">
        <v>5</v>
      </c>
      <c r="AI3">
        <v>2</v>
      </c>
      <c r="AJ3">
        <v>3</v>
      </c>
      <c r="AK3">
        <v>3</v>
      </c>
      <c r="AL3">
        <v>21</v>
      </c>
      <c r="AM3">
        <v>38</v>
      </c>
      <c r="AN3" t="s">
        <v>384</v>
      </c>
      <c r="AO3">
        <v>5</v>
      </c>
      <c r="AP3">
        <v>99</v>
      </c>
      <c r="AT3">
        <v>12</v>
      </c>
      <c r="AU3">
        <v>9</v>
      </c>
      <c r="AV3">
        <v>55</v>
      </c>
      <c r="AW3">
        <v>11</v>
      </c>
      <c r="AX3">
        <v>21</v>
      </c>
      <c r="AY3">
        <v>2</v>
      </c>
      <c r="AZ3">
        <v>2</v>
      </c>
      <c r="BA3">
        <v>3</v>
      </c>
      <c r="BB3">
        <v>21</v>
      </c>
      <c r="BC3">
        <v>53</v>
      </c>
      <c r="BD3" t="s">
        <v>384</v>
      </c>
      <c r="BE3">
        <v>5</v>
      </c>
      <c r="BF3">
        <v>68</v>
      </c>
      <c r="BJ3">
        <v>12</v>
      </c>
      <c r="BK3">
        <v>9</v>
      </c>
      <c r="BL3">
        <v>55</v>
      </c>
      <c r="BM3">
        <v>11</v>
      </c>
      <c r="BN3">
        <v>21</v>
      </c>
      <c r="CU3">
        <v>502064.59139999998</v>
      </c>
      <c r="CV3">
        <v>5015942.4868999999</v>
      </c>
      <c r="CW3">
        <v>45.296989629999999</v>
      </c>
      <c r="CX3">
        <v>-92.973676019999999</v>
      </c>
      <c r="CY3" s="472">
        <v>44335.720138888886</v>
      </c>
      <c r="CZ3" t="s">
        <v>391</v>
      </c>
      <c r="DA3" t="s">
        <v>392</v>
      </c>
      <c r="DB3" t="s">
        <v>397</v>
      </c>
      <c r="DC3" t="s">
        <v>398</v>
      </c>
      <c r="DD3" s="18" t="s">
        <v>399</v>
      </c>
    </row>
    <row r="4" spans="1:108" ht="16.5" customHeight="1" x14ac:dyDescent="0.25">
      <c r="CY4" s="472"/>
    </row>
    <row r="5" spans="1:108" ht="16.5" customHeight="1" x14ac:dyDescent="0.25">
      <c r="A5">
        <v>2</v>
      </c>
      <c r="B5">
        <v>741444</v>
      </c>
      <c r="C5">
        <v>2</v>
      </c>
      <c r="D5">
        <v>8</v>
      </c>
      <c r="E5">
        <v>1.8440000000000001</v>
      </c>
      <c r="F5">
        <v>13</v>
      </c>
      <c r="G5" t="s">
        <v>383</v>
      </c>
      <c r="I5" t="s">
        <v>384</v>
      </c>
      <c r="J5">
        <v>24</v>
      </c>
      <c r="L5">
        <v>19407385</v>
      </c>
      <c r="M5">
        <v>192310100</v>
      </c>
      <c r="N5">
        <v>8</v>
      </c>
      <c r="O5">
        <v>19</v>
      </c>
      <c r="P5">
        <v>2019</v>
      </c>
      <c r="Q5" t="s">
        <v>400</v>
      </c>
      <c r="R5">
        <v>16</v>
      </c>
      <c r="S5" t="s">
        <v>387</v>
      </c>
      <c r="T5">
        <v>4</v>
      </c>
      <c r="U5">
        <v>0</v>
      </c>
      <c r="V5">
        <v>2</v>
      </c>
      <c r="W5">
        <v>12</v>
      </c>
      <c r="X5">
        <v>10</v>
      </c>
      <c r="Y5">
        <v>2</v>
      </c>
      <c r="Z5">
        <v>1</v>
      </c>
      <c r="AA5">
        <v>1</v>
      </c>
      <c r="AC5">
        <v>1</v>
      </c>
      <c r="AD5">
        <v>98</v>
      </c>
      <c r="AE5" t="s">
        <v>388</v>
      </c>
      <c r="AG5" t="s">
        <v>389</v>
      </c>
      <c r="AH5">
        <v>7</v>
      </c>
      <c r="AI5">
        <v>2</v>
      </c>
      <c r="AJ5">
        <v>2</v>
      </c>
      <c r="AK5">
        <v>3</v>
      </c>
      <c r="AL5">
        <v>34</v>
      </c>
      <c r="AM5">
        <v>44</v>
      </c>
      <c r="AN5" t="s">
        <v>384</v>
      </c>
      <c r="AO5">
        <v>5</v>
      </c>
      <c r="AP5">
        <v>1</v>
      </c>
      <c r="AT5">
        <v>12</v>
      </c>
      <c r="AU5">
        <v>9</v>
      </c>
      <c r="AV5">
        <v>35</v>
      </c>
      <c r="AW5">
        <v>11</v>
      </c>
      <c r="AX5">
        <v>21</v>
      </c>
      <c r="AY5">
        <v>2</v>
      </c>
      <c r="AZ5">
        <v>2</v>
      </c>
      <c r="BA5">
        <v>3</v>
      </c>
      <c r="BB5">
        <v>21</v>
      </c>
      <c r="BC5">
        <v>17</v>
      </c>
      <c r="BD5" t="s">
        <v>390</v>
      </c>
      <c r="BE5">
        <v>5</v>
      </c>
      <c r="BF5">
        <v>1</v>
      </c>
      <c r="BJ5">
        <v>12</v>
      </c>
      <c r="BK5">
        <v>9</v>
      </c>
      <c r="BL5">
        <v>35</v>
      </c>
      <c r="BM5">
        <v>11</v>
      </c>
      <c r="BN5">
        <v>21</v>
      </c>
      <c r="CU5">
        <v>502079.35920000001</v>
      </c>
      <c r="CV5">
        <v>5015967.6655000001</v>
      </c>
      <c r="CW5">
        <v>45.297216229999997</v>
      </c>
      <c r="CX5">
        <v>-92.973487559999995</v>
      </c>
      <c r="CY5" s="472">
        <v>43696.684027777781</v>
      </c>
      <c r="CZ5" t="s">
        <v>391</v>
      </c>
      <c r="DA5" t="s">
        <v>392</v>
      </c>
      <c r="DB5" t="s">
        <v>397</v>
      </c>
      <c r="DC5" t="s">
        <v>398</v>
      </c>
      <c r="DD5" t="s">
        <v>401</v>
      </c>
    </row>
    <row r="6" spans="1:108" ht="16.5" customHeight="1" x14ac:dyDescent="0.25">
      <c r="A6">
        <v>2</v>
      </c>
      <c r="B6">
        <v>731032</v>
      </c>
      <c r="C6">
        <v>2</v>
      </c>
      <c r="D6">
        <v>8</v>
      </c>
      <c r="E6">
        <v>1.8460000000000001</v>
      </c>
      <c r="F6">
        <v>13</v>
      </c>
      <c r="G6" t="s">
        <v>383</v>
      </c>
      <c r="I6" t="s">
        <v>384</v>
      </c>
      <c r="J6">
        <v>24</v>
      </c>
      <c r="L6">
        <v>19406115</v>
      </c>
      <c r="M6">
        <v>191830120</v>
      </c>
      <c r="N6">
        <v>7</v>
      </c>
      <c r="O6">
        <v>2</v>
      </c>
      <c r="P6">
        <v>2019</v>
      </c>
      <c r="Q6" t="s">
        <v>402</v>
      </c>
      <c r="R6">
        <v>16</v>
      </c>
      <c r="S6" t="s">
        <v>387</v>
      </c>
      <c r="T6">
        <v>5</v>
      </c>
      <c r="U6">
        <v>0</v>
      </c>
      <c r="V6">
        <v>2</v>
      </c>
      <c r="W6">
        <v>12</v>
      </c>
      <c r="X6">
        <v>10</v>
      </c>
      <c r="Y6">
        <v>2</v>
      </c>
      <c r="Z6">
        <v>1</v>
      </c>
      <c r="AA6">
        <v>1</v>
      </c>
      <c r="AC6">
        <v>1</v>
      </c>
      <c r="AD6">
        <v>98</v>
      </c>
      <c r="AE6" t="s">
        <v>388</v>
      </c>
      <c r="AG6" t="s">
        <v>389</v>
      </c>
      <c r="AH6">
        <v>7</v>
      </c>
      <c r="AI6">
        <v>2</v>
      </c>
      <c r="AJ6">
        <v>4</v>
      </c>
      <c r="AK6">
        <v>3</v>
      </c>
      <c r="AL6">
        <v>34</v>
      </c>
      <c r="AM6">
        <v>63</v>
      </c>
      <c r="AN6" t="s">
        <v>384</v>
      </c>
      <c r="AO6">
        <v>5</v>
      </c>
      <c r="AP6">
        <v>1</v>
      </c>
      <c r="AT6">
        <v>15</v>
      </c>
      <c r="AU6">
        <v>9</v>
      </c>
      <c r="AV6">
        <v>55</v>
      </c>
      <c r="AW6">
        <v>12</v>
      </c>
      <c r="AX6">
        <v>21</v>
      </c>
      <c r="AY6">
        <v>2</v>
      </c>
      <c r="AZ6">
        <v>3</v>
      </c>
      <c r="BA6">
        <v>3</v>
      </c>
      <c r="BB6">
        <v>21</v>
      </c>
      <c r="BC6">
        <v>36</v>
      </c>
      <c r="BD6" t="s">
        <v>384</v>
      </c>
      <c r="BE6">
        <v>5</v>
      </c>
      <c r="BF6">
        <v>74</v>
      </c>
      <c r="BJ6">
        <v>15</v>
      </c>
      <c r="BK6">
        <v>9</v>
      </c>
      <c r="BL6">
        <v>55</v>
      </c>
      <c r="BM6">
        <v>12</v>
      </c>
      <c r="BN6">
        <v>21</v>
      </c>
      <c r="CU6">
        <v>502080.87079999998</v>
      </c>
      <c r="CV6">
        <v>5015970.1495000003</v>
      </c>
      <c r="CW6">
        <v>45.297238589999999</v>
      </c>
      <c r="CX6">
        <v>-92.973468269999998</v>
      </c>
      <c r="CY6" s="472">
        <v>43648.704861111109</v>
      </c>
      <c r="CZ6" t="s">
        <v>391</v>
      </c>
      <c r="DA6" t="s">
        <v>392</v>
      </c>
      <c r="DB6" t="s">
        <v>397</v>
      </c>
      <c r="DC6" t="s">
        <v>398</v>
      </c>
      <c r="DD6" t="s">
        <v>403</v>
      </c>
    </row>
    <row r="7" spans="1:108" ht="16.5" customHeight="1" x14ac:dyDescent="0.25">
      <c r="A7">
        <v>2</v>
      </c>
      <c r="B7">
        <v>849917</v>
      </c>
      <c r="C7">
        <v>2</v>
      </c>
      <c r="D7">
        <v>8</v>
      </c>
      <c r="E7">
        <v>1.885</v>
      </c>
      <c r="F7">
        <v>13</v>
      </c>
      <c r="G7" t="s">
        <v>383</v>
      </c>
      <c r="I7" t="s">
        <v>384</v>
      </c>
      <c r="J7">
        <v>24</v>
      </c>
      <c r="L7">
        <v>20406630</v>
      </c>
      <c r="M7">
        <v>203020066</v>
      </c>
      <c r="N7">
        <v>10</v>
      </c>
      <c r="O7">
        <v>28</v>
      </c>
      <c r="P7">
        <v>2020</v>
      </c>
      <c r="Q7" t="s">
        <v>396</v>
      </c>
      <c r="R7">
        <v>15</v>
      </c>
      <c r="S7">
        <v>98</v>
      </c>
      <c r="T7">
        <v>5</v>
      </c>
      <c r="U7">
        <v>0</v>
      </c>
      <c r="V7">
        <v>4</v>
      </c>
      <c r="W7">
        <v>12</v>
      </c>
      <c r="X7">
        <v>10</v>
      </c>
      <c r="Y7">
        <v>10</v>
      </c>
      <c r="Z7">
        <v>1</v>
      </c>
      <c r="AA7">
        <v>1</v>
      </c>
      <c r="AC7">
        <v>1</v>
      </c>
      <c r="AD7">
        <v>98</v>
      </c>
      <c r="AE7" t="s">
        <v>388</v>
      </c>
      <c r="AG7" t="s">
        <v>389</v>
      </c>
      <c r="AH7">
        <v>7</v>
      </c>
      <c r="AI7">
        <v>2</v>
      </c>
      <c r="AJ7">
        <v>4</v>
      </c>
      <c r="AK7">
        <v>3</v>
      </c>
      <c r="AL7">
        <v>21</v>
      </c>
      <c r="AM7">
        <v>75</v>
      </c>
      <c r="AN7" t="s">
        <v>384</v>
      </c>
      <c r="AO7">
        <v>5</v>
      </c>
      <c r="AP7">
        <v>2</v>
      </c>
      <c r="AQ7">
        <v>70</v>
      </c>
      <c r="AT7">
        <v>12</v>
      </c>
      <c r="AU7">
        <v>20</v>
      </c>
      <c r="AV7">
        <v>55</v>
      </c>
      <c r="AW7">
        <v>11</v>
      </c>
      <c r="AX7">
        <v>21</v>
      </c>
      <c r="AY7">
        <v>2</v>
      </c>
      <c r="AZ7">
        <v>2</v>
      </c>
      <c r="BA7">
        <v>3</v>
      </c>
      <c r="BB7">
        <v>34</v>
      </c>
      <c r="BC7">
        <v>51</v>
      </c>
      <c r="BD7" t="s">
        <v>390</v>
      </c>
      <c r="BE7">
        <v>5</v>
      </c>
      <c r="BF7">
        <v>1</v>
      </c>
      <c r="BJ7">
        <v>12</v>
      </c>
      <c r="BK7">
        <v>20</v>
      </c>
      <c r="BL7">
        <v>55</v>
      </c>
      <c r="BM7">
        <v>11</v>
      </c>
      <c r="BN7">
        <v>21</v>
      </c>
      <c r="BO7">
        <v>2</v>
      </c>
      <c r="BP7">
        <v>2</v>
      </c>
      <c r="BQ7">
        <v>3</v>
      </c>
      <c r="BR7">
        <v>34</v>
      </c>
      <c r="BS7">
        <v>16</v>
      </c>
      <c r="BT7" t="s">
        <v>390</v>
      </c>
      <c r="BU7">
        <v>5</v>
      </c>
      <c r="BV7">
        <v>1</v>
      </c>
      <c r="BZ7">
        <v>12</v>
      </c>
      <c r="CA7">
        <v>20</v>
      </c>
      <c r="CB7">
        <v>55</v>
      </c>
      <c r="CC7">
        <v>11</v>
      </c>
      <c r="CD7">
        <v>21</v>
      </c>
      <c r="CE7">
        <v>2</v>
      </c>
      <c r="CF7">
        <v>2</v>
      </c>
      <c r="CG7">
        <v>3</v>
      </c>
      <c r="CH7">
        <v>34</v>
      </c>
      <c r="CI7">
        <v>36</v>
      </c>
      <c r="CJ7" t="s">
        <v>384</v>
      </c>
      <c r="CK7">
        <v>5</v>
      </c>
      <c r="CL7">
        <v>1</v>
      </c>
      <c r="CP7">
        <v>12</v>
      </c>
      <c r="CQ7">
        <v>20</v>
      </c>
      <c r="CR7">
        <v>55</v>
      </c>
      <c r="CS7">
        <v>11</v>
      </c>
      <c r="CT7">
        <v>21</v>
      </c>
      <c r="CU7">
        <v>502113.30989999999</v>
      </c>
      <c r="CV7">
        <v>5016023.4571000002</v>
      </c>
      <c r="CW7">
        <v>45.297718340000003</v>
      </c>
      <c r="CX7">
        <v>-92.973054320000003</v>
      </c>
      <c r="CY7" s="472">
        <v>44132.645138888889</v>
      </c>
      <c r="CZ7" t="s">
        <v>391</v>
      </c>
      <c r="DA7" t="s">
        <v>392</v>
      </c>
      <c r="DB7" t="s">
        <v>397</v>
      </c>
      <c r="DC7" t="s">
        <v>398</v>
      </c>
      <c r="DD7" s="18" t="s">
        <v>404</v>
      </c>
    </row>
    <row r="8" spans="1:108" ht="16.5" customHeight="1" x14ac:dyDescent="0.25">
      <c r="A8">
        <v>2</v>
      </c>
      <c r="B8">
        <v>688903</v>
      </c>
      <c r="C8">
        <v>2</v>
      </c>
      <c r="D8">
        <v>8</v>
      </c>
      <c r="E8">
        <v>1.893</v>
      </c>
      <c r="F8">
        <v>13</v>
      </c>
      <c r="G8" t="s">
        <v>383</v>
      </c>
      <c r="I8" t="s">
        <v>384</v>
      </c>
      <c r="J8">
        <v>24</v>
      </c>
      <c r="L8">
        <v>19402079</v>
      </c>
      <c r="M8">
        <v>190470059</v>
      </c>
      <c r="N8">
        <v>2</v>
      </c>
      <c r="O8">
        <v>16</v>
      </c>
      <c r="P8">
        <v>2019</v>
      </c>
      <c r="Q8" t="s">
        <v>405</v>
      </c>
      <c r="R8">
        <v>12</v>
      </c>
      <c r="S8" t="s">
        <v>387</v>
      </c>
      <c r="T8">
        <v>5</v>
      </c>
      <c r="U8">
        <v>0</v>
      </c>
      <c r="V8">
        <v>2</v>
      </c>
      <c r="W8">
        <v>10</v>
      </c>
      <c r="X8">
        <v>10</v>
      </c>
      <c r="Y8">
        <v>25</v>
      </c>
      <c r="Z8">
        <v>1</v>
      </c>
      <c r="AA8">
        <v>2</v>
      </c>
      <c r="AC8">
        <v>1</v>
      </c>
      <c r="AD8">
        <v>98</v>
      </c>
      <c r="AE8" t="s">
        <v>388</v>
      </c>
      <c r="AG8" t="s">
        <v>389</v>
      </c>
      <c r="AH8">
        <v>5</v>
      </c>
      <c r="AI8">
        <v>2</v>
      </c>
      <c r="AJ8">
        <v>4</v>
      </c>
      <c r="AK8">
        <v>3</v>
      </c>
      <c r="AL8">
        <v>21</v>
      </c>
      <c r="AM8">
        <v>62</v>
      </c>
      <c r="AN8" t="s">
        <v>384</v>
      </c>
      <c r="AO8">
        <v>5</v>
      </c>
      <c r="AP8">
        <v>1</v>
      </c>
      <c r="AT8">
        <v>11</v>
      </c>
      <c r="AU8">
        <v>9</v>
      </c>
      <c r="AV8">
        <v>60</v>
      </c>
      <c r="AW8">
        <v>12</v>
      </c>
      <c r="AX8">
        <v>24</v>
      </c>
      <c r="AY8">
        <v>2</v>
      </c>
      <c r="AZ8">
        <v>4</v>
      </c>
      <c r="BA8">
        <v>3</v>
      </c>
      <c r="BB8">
        <v>28</v>
      </c>
      <c r="BC8">
        <v>19</v>
      </c>
      <c r="BD8" t="s">
        <v>384</v>
      </c>
      <c r="BE8">
        <v>5</v>
      </c>
      <c r="BF8">
        <v>2</v>
      </c>
      <c r="BJ8">
        <v>11</v>
      </c>
      <c r="BK8">
        <v>9</v>
      </c>
      <c r="BL8">
        <v>60</v>
      </c>
      <c r="BM8">
        <v>12</v>
      </c>
      <c r="BN8">
        <v>24</v>
      </c>
      <c r="CU8">
        <v>502120.092</v>
      </c>
      <c r="CV8">
        <v>5016034.6021999996</v>
      </c>
      <c r="CW8">
        <v>45.297818640000003</v>
      </c>
      <c r="CX8">
        <v>-92.972967769999997</v>
      </c>
      <c r="CY8" s="472">
        <v>43512.530555555553</v>
      </c>
      <c r="CZ8" t="s">
        <v>391</v>
      </c>
      <c r="DA8" t="s">
        <v>392</v>
      </c>
      <c r="DB8" t="s">
        <v>397</v>
      </c>
      <c r="DC8" t="s">
        <v>398</v>
      </c>
      <c r="DD8" s="18" t="s">
        <v>406</v>
      </c>
    </row>
    <row r="9" spans="1:108" ht="16.5" customHeight="1" x14ac:dyDescent="0.25">
      <c r="A9">
        <v>2</v>
      </c>
      <c r="B9">
        <v>756708</v>
      </c>
      <c r="C9">
        <v>2</v>
      </c>
      <c r="D9">
        <v>8</v>
      </c>
      <c r="E9">
        <v>1.901</v>
      </c>
      <c r="F9">
        <v>13</v>
      </c>
      <c r="G9" t="s">
        <v>383</v>
      </c>
      <c r="I9" t="s">
        <v>384</v>
      </c>
      <c r="J9">
        <v>24</v>
      </c>
      <c r="L9">
        <v>19409350</v>
      </c>
      <c r="M9">
        <v>192960127</v>
      </c>
      <c r="N9">
        <v>10</v>
      </c>
      <c r="O9">
        <v>23</v>
      </c>
      <c r="P9">
        <v>2019</v>
      </c>
      <c r="Q9" t="s">
        <v>396</v>
      </c>
      <c r="R9">
        <v>16</v>
      </c>
      <c r="S9" t="s">
        <v>387</v>
      </c>
      <c r="T9">
        <v>5</v>
      </c>
      <c r="U9">
        <v>0</v>
      </c>
      <c r="V9">
        <v>2</v>
      </c>
      <c r="W9">
        <v>12</v>
      </c>
      <c r="X9">
        <v>10</v>
      </c>
      <c r="Y9">
        <v>10</v>
      </c>
      <c r="Z9">
        <v>1</v>
      </c>
      <c r="AA9">
        <v>1</v>
      </c>
      <c r="AC9">
        <v>1</v>
      </c>
      <c r="AD9">
        <v>98</v>
      </c>
      <c r="AE9" t="s">
        <v>388</v>
      </c>
      <c r="AG9" t="s">
        <v>389</v>
      </c>
      <c r="AH9">
        <v>7</v>
      </c>
      <c r="AI9">
        <v>2</v>
      </c>
      <c r="AJ9">
        <v>2</v>
      </c>
      <c r="AK9">
        <v>3</v>
      </c>
      <c r="AL9">
        <v>21</v>
      </c>
      <c r="AM9">
        <v>21</v>
      </c>
      <c r="AN9" t="s">
        <v>384</v>
      </c>
      <c r="AO9">
        <v>5</v>
      </c>
      <c r="AP9">
        <v>70</v>
      </c>
      <c r="AT9">
        <v>12</v>
      </c>
      <c r="AU9">
        <v>20</v>
      </c>
      <c r="AV9">
        <v>55</v>
      </c>
      <c r="AW9">
        <v>11</v>
      </c>
      <c r="AX9">
        <v>21</v>
      </c>
      <c r="AY9">
        <v>2</v>
      </c>
      <c r="AZ9">
        <v>4</v>
      </c>
      <c r="BA9">
        <v>3</v>
      </c>
      <c r="BB9">
        <v>21</v>
      </c>
      <c r="BC9">
        <v>29</v>
      </c>
      <c r="BD9" t="s">
        <v>390</v>
      </c>
      <c r="BE9">
        <v>5</v>
      </c>
      <c r="BF9">
        <v>1</v>
      </c>
      <c r="BJ9">
        <v>12</v>
      </c>
      <c r="BK9">
        <v>20</v>
      </c>
      <c r="BL9">
        <v>55</v>
      </c>
      <c r="BM9">
        <v>11</v>
      </c>
      <c r="BN9">
        <v>21</v>
      </c>
      <c r="CU9">
        <v>502126.87410000002</v>
      </c>
      <c r="CV9">
        <v>5016045.7473999998</v>
      </c>
      <c r="CW9">
        <v>45.297918940000002</v>
      </c>
      <c r="CX9">
        <v>-92.972881220000005</v>
      </c>
      <c r="CY9" s="472">
        <v>43761.683333333334</v>
      </c>
      <c r="CZ9" t="s">
        <v>391</v>
      </c>
      <c r="DA9" t="s">
        <v>392</v>
      </c>
      <c r="DB9" t="s">
        <v>397</v>
      </c>
      <c r="DC9" t="s">
        <v>398</v>
      </c>
      <c r="DD9" t="s">
        <v>407</v>
      </c>
    </row>
    <row r="10" spans="1:108" ht="16.5" customHeight="1" x14ac:dyDescent="0.25">
      <c r="CY10" s="472"/>
    </row>
    <row r="11" spans="1:108" ht="16.5" customHeight="1" x14ac:dyDescent="0.25">
      <c r="A11">
        <v>2</v>
      </c>
      <c r="B11">
        <v>902484</v>
      </c>
      <c r="C11">
        <v>2</v>
      </c>
      <c r="D11">
        <v>8</v>
      </c>
      <c r="E11">
        <v>1.92</v>
      </c>
      <c r="F11">
        <v>13</v>
      </c>
      <c r="G11" t="s">
        <v>383</v>
      </c>
      <c r="I11" t="s">
        <v>384</v>
      </c>
      <c r="J11">
        <v>24</v>
      </c>
      <c r="L11">
        <v>21402496</v>
      </c>
      <c r="M11">
        <v>211160037</v>
      </c>
      <c r="N11">
        <v>4</v>
      </c>
      <c r="O11">
        <v>26</v>
      </c>
      <c r="P11">
        <v>2021</v>
      </c>
      <c r="Q11" t="s">
        <v>400</v>
      </c>
      <c r="R11">
        <v>13</v>
      </c>
      <c r="S11">
        <v>98</v>
      </c>
      <c r="T11">
        <v>5</v>
      </c>
      <c r="U11">
        <v>0</v>
      </c>
      <c r="V11">
        <v>2</v>
      </c>
      <c r="W11">
        <v>5</v>
      </c>
      <c r="X11">
        <v>10</v>
      </c>
      <c r="Y11">
        <v>16</v>
      </c>
      <c r="Z11">
        <v>1</v>
      </c>
      <c r="AA11">
        <v>2</v>
      </c>
      <c r="AC11">
        <v>1</v>
      </c>
      <c r="AD11">
        <v>98</v>
      </c>
      <c r="AE11" t="s">
        <v>388</v>
      </c>
      <c r="AG11" t="s">
        <v>389</v>
      </c>
      <c r="AH11">
        <v>10</v>
      </c>
      <c r="AI11">
        <v>2</v>
      </c>
      <c r="AJ11">
        <v>2</v>
      </c>
      <c r="AK11">
        <v>4</v>
      </c>
      <c r="AL11">
        <v>21</v>
      </c>
      <c r="AM11">
        <v>68</v>
      </c>
      <c r="AN11" t="s">
        <v>390</v>
      </c>
      <c r="AO11">
        <v>5</v>
      </c>
      <c r="AP11">
        <v>2</v>
      </c>
      <c r="AQ11">
        <v>90</v>
      </c>
      <c r="AT11">
        <v>12</v>
      </c>
      <c r="AU11">
        <v>90</v>
      </c>
      <c r="AV11">
        <v>55</v>
      </c>
      <c r="AW11">
        <v>11</v>
      </c>
      <c r="AX11">
        <v>21</v>
      </c>
      <c r="AY11">
        <v>2</v>
      </c>
      <c r="AZ11">
        <v>4</v>
      </c>
      <c r="BA11">
        <v>1</v>
      </c>
      <c r="BB11">
        <v>21</v>
      </c>
      <c r="BC11">
        <v>58</v>
      </c>
      <c r="BD11" t="s">
        <v>384</v>
      </c>
      <c r="BE11">
        <v>5</v>
      </c>
      <c r="BF11">
        <v>1</v>
      </c>
      <c r="BJ11">
        <v>12</v>
      </c>
      <c r="BK11">
        <v>9</v>
      </c>
      <c r="BL11">
        <v>55</v>
      </c>
      <c r="BM11">
        <v>11</v>
      </c>
      <c r="BN11">
        <v>21</v>
      </c>
      <c r="CU11">
        <v>502142.72580000001</v>
      </c>
      <c r="CV11">
        <v>5016071.7966</v>
      </c>
      <c r="CW11">
        <v>45.298153370000001</v>
      </c>
      <c r="CX11">
        <v>-92.972678939999994</v>
      </c>
      <c r="CY11" s="472">
        <v>44312.580555555556</v>
      </c>
      <c r="CZ11" t="s">
        <v>391</v>
      </c>
      <c r="DA11" t="s">
        <v>392</v>
      </c>
      <c r="DB11" t="s">
        <v>397</v>
      </c>
      <c r="DC11" t="s">
        <v>398</v>
      </c>
      <c r="DD11" s="18" t="s">
        <v>408</v>
      </c>
    </row>
    <row r="12" spans="1:108" ht="16.5" customHeight="1" x14ac:dyDescent="0.25">
      <c r="CY12" s="472"/>
      <c r="DD12" s="18"/>
    </row>
    <row r="13" spans="1:108" ht="16.5" customHeight="1" x14ac:dyDescent="0.25">
      <c r="A13">
        <v>2</v>
      </c>
      <c r="B13">
        <v>907585</v>
      </c>
      <c r="C13">
        <v>2</v>
      </c>
      <c r="D13">
        <v>8</v>
      </c>
      <c r="E13">
        <v>1.9379999999999999</v>
      </c>
      <c r="F13">
        <v>13</v>
      </c>
      <c r="G13" t="s">
        <v>383</v>
      </c>
      <c r="I13" t="s">
        <v>384</v>
      </c>
      <c r="J13">
        <v>24</v>
      </c>
      <c r="L13">
        <v>21403090</v>
      </c>
      <c r="M13">
        <v>211440089</v>
      </c>
      <c r="N13">
        <v>5</v>
      </c>
      <c r="O13">
        <v>24</v>
      </c>
      <c r="P13">
        <v>2021</v>
      </c>
      <c r="Q13" t="s">
        <v>400</v>
      </c>
      <c r="R13">
        <v>16</v>
      </c>
      <c r="S13">
        <v>98</v>
      </c>
      <c r="T13">
        <v>3</v>
      </c>
      <c r="U13">
        <v>0</v>
      </c>
      <c r="V13">
        <v>3</v>
      </c>
      <c r="W13">
        <v>12</v>
      </c>
      <c r="X13">
        <v>10</v>
      </c>
      <c r="Y13">
        <v>2</v>
      </c>
      <c r="Z13">
        <v>1</v>
      </c>
      <c r="AA13">
        <v>2</v>
      </c>
      <c r="AC13">
        <v>1</v>
      </c>
      <c r="AD13">
        <v>98</v>
      </c>
      <c r="AE13" t="s">
        <v>409</v>
      </c>
      <c r="AG13" t="s">
        <v>389</v>
      </c>
      <c r="AH13">
        <v>7</v>
      </c>
      <c r="AI13">
        <v>2</v>
      </c>
      <c r="AJ13">
        <v>3</v>
      </c>
      <c r="AK13">
        <v>3</v>
      </c>
      <c r="AL13">
        <v>34</v>
      </c>
      <c r="AM13">
        <v>32</v>
      </c>
      <c r="AN13" t="s">
        <v>384</v>
      </c>
      <c r="AO13">
        <v>5</v>
      </c>
      <c r="AP13">
        <v>1</v>
      </c>
      <c r="AT13">
        <v>14</v>
      </c>
      <c r="AU13">
        <v>20</v>
      </c>
      <c r="AV13">
        <v>55</v>
      </c>
      <c r="AW13">
        <v>11</v>
      </c>
      <c r="AX13">
        <v>21</v>
      </c>
      <c r="AY13">
        <v>2</v>
      </c>
      <c r="AZ13">
        <v>4</v>
      </c>
      <c r="BA13">
        <v>3</v>
      </c>
      <c r="BB13">
        <v>34</v>
      </c>
      <c r="BC13">
        <v>56</v>
      </c>
      <c r="BD13" t="s">
        <v>390</v>
      </c>
      <c r="BE13">
        <v>5</v>
      </c>
      <c r="BF13">
        <v>1</v>
      </c>
      <c r="BJ13">
        <v>14</v>
      </c>
      <c r="BK13">
        <v>20</v>
      </c>
      <c r="BL13">
        <v>55</v>
      </c>
      <c r="BM13">
        <v>11</v>
      </c>
      <c r="BN13">
        <v>21</v>
      </c>
      <c r="BO13">
        <v>2</v>
      </c>
      <c r="BP13">
        <v>4</v>
      </c>
      <c r="BQ13">
        <v>3</v>
      </c>
      <c r="BR13">
        <v>21</v>
      </c>
      <c r="BS13">
        <v>52</v>
      </c>
      <c r="BT13" t="s">
        <v>390</v>
      </c>
      <c r="BU13">
        <v>5</v>
      </c>
      <c r="BV13">
        <v>4</v>
      </c>
      <c r="BZ13">
        <v>14</v>
      </c>
      <c r="CA13">
        <v>20</v>
      </c>
      <c r="CB13">
        <v>55</v>
      </c>
      <c r="CC13">
        <v>11</v>
      </c>
      <c r="CD13">
        <v>21</v>
      </c>
      <c r="CU13">
        <v>502157.76160000003</v>
      </c>
      <c r="CV13">
        <v>5016096.5050999997</v>
      </c>
      <c r="CW13">
        <v>45.298375739999997</v>
      </c>
      <c r="CX13">
        <v>-92.972487060000006</v>
      </c>
      <c r="CY13" s="472">
        <v>44340.681944444441</v>
      </c>
      <c r="CZ13" t="s">
        <v>391</v>
      </c>
      <c r="DA13" t="s">
        <v>392</v>
      </c>
      <c r="DB13" t="s">
        <v>397</v>
      </c>
      <c r="DC13" t="s">
        <v>398</v>
      </c>
      <c r="DD13" s="18" t="s">
        <v>410</v>
      </c>
    </row>
    <row r="14" spans="1:108" ht="16.5" customHeight="1" x14ac:dyDescent="0.25">
      <c r="A14">
        <v>2</v>
      </c>
      <c r="B14">
        <v>678775</v>
      </c>
      <c r="C14">
        <v>2</v>
      </c>
      <c r="D14">
        <v>8</v>
      </c>
      <c r="E14">
        <v>1.952</v>
      </c>
      <c r="F14">
        <v>13</v>
      </c>
      <c r="G14" t="s">
        <v>383</v>
      </c>
      <c r="I14" t="s">
        <v>384</v>
      </c>
      <c r="J14">
        <v>24</v>
      </c>
      <c r="L14">
        <v>19400627</v>
      </c>
      <c r="M14">
        <v>190230263</v>
      </c>
      <c r="N14">
        <v>1</v>
      </c>
      <c r="O14">
        <v>23</v>
      </c>
      <c r="P14">
        <v>2019</v>
      </c>
      <c r="Q14" t="s">
        <v>396</v>
      </c>
      <c r="R14">
        <v>18</v>
      </c>
      <c r="S14">
        <v>98</v>
      </c>
      <c r="T14">
        <v>4</v>
      </c>
      <c r="U14">
        <v>0</v>
      </c>
      <c r="V14">
        <v>2</v>
      </c>
      <c r="W14">
        <v>12</v>
      </c>
      <c r="X14">
        <v>10</v>
      </c>
      <c r="Y14">
        <v>3</v>
      </c>
      <c r="Z14">
        <v>4</v>
      </c>
      <c r="AA14">
        <v>1</v>
      </c>
      <c r="AC14">
        <v>1</v>
      </c>
      <c r="AD14">
        <v>98</v>
      </c>
      <c r="AE14" t="s">
        <v>388</v>
      </c>
      <c r="AG14" t="s">
        <v>389</v>
      </c>
      <c r="AH14">
        <v>7</v>
      </c>
      <c r="AI14">
        <v>1</v>
      </c>
      <c r="AK14">
        <v>3</v>
      </c>
      <c r="AL14">
        <v>21</v>
      </c>
      <c r="AT14">
        <v>12</v>
      </c>
      <c r="AU14">
        <v>9</v>
      </c>
      <c r="AV14">
        <v>55</v>
      </c>
      <c r="AW14">
        <v>11</v>
      </c>
      <c r="AX14">
        <v>21</v>
      </c>
      <c r="AY14">
        <v>2</v>
      </c>
      <c r="AZ14">
        <v>2</v>
      </c>
      <c r="BA14">
        <v>3</v>
      </c>
      <c r="BB14">
        <v>34</v>
      </c>
      <c r="BC14">
        <v>42</v>
      </c>
      <c r="BD14" t="s">
        <v>390</v>
      </c>
      <c r="BE14">
        <v>5</v>
      </c>
      <c r="BF14">
        <v>1</v>
      </c>
      <c r="BJ14">
        <v>12</v>
      </c>
      <c r="BK14">
        <v>9</v>
      </c>
      <c r="BL14">
        <v>55</v>
      </c>
      <c r="BM14">
        <v>11</v>
      </c>
      <c r="BN14">
        <v>21</v>
      </c>
      <c r="CU14">
        <v>502169.52649999998</v>
      </c>
      <c r="CV14">
        <v>5016115.8384999996</v>
      </c>
      <c r="CW14">
        <v>45.298549729999998</v>
      </c>
      <c r="CX14">
        <v>-92.972336920000004</v>
      </c>
      <c r="CY14" s="472">
        <v>43488.750694444447</v>
      </c>
      <c r="CZ14" t="s">
        <v>391</v>
      </c>
      <c r="DA14" t="s">
        <v>392</v>
      </c>
      <c r="DB14" t="s">
        <v>397</v>
      </c>
      <c r="DC14" t="s">
        <v>398</v>
      </c>
      <c r="DD14" s="18" t="s">
        <v>411</v>
      </c>
    </row>
    <row r="15" spans="1:108" ht="16.5" customHeight="1" x14ac:dyDescent="0.25">
      <c r="A15">
        <v>2</v>
      </c>
      <c r="B15">
        <v>621199</v>
      </c>
      <c r="C15">
        <v>2</v>
      </c>
      <c r="D15">
        <v>8</v>
      </c>
      <c r="E15">
        <v>1.956</v>
      </c>
      <c r="F15">
        <v>13</v>
      </c>
      <c r="G15" t="s">
        <v>383</v>
      </c>
      <c r="I15" t="s">
        <v>384</v>
      </c>
      <c r="J15">
        <v>24</v>
      </c>
      <c r="L15">
        <v>18406589</v>
      </c>
      <c r="M15">
        <v>181970047</v>
      </c>
      <c r="N15">
        <v>7</v>
      </c>
      <c r="O15">
        <v>16</v>
      </c>
      <c r="P15">
        <v>2018</v>
      </c>
      <c r="Q15" t="s">
        <v>400</v>
      </c>
      <c r="R15">
        <v>9</v>
      </c>
      <c r="S15">
        <v>98</v>
      </c>
      <c r="T15">
        <v>4</v>
      </c>
      <c r="U15">
        <v>0</v>
      </c>
      <c r="V15">
        <v>2</v>
      </c>
      <c r="W15">
        <v>5</v>
      </c>
      <c r="X15">
        <v>10</v>
      </c>
      <c r="Y15">
        <v>3</v>
      </c>
      <c r="Z15">
        <v>1</v>
      </c>
      <c r="AA15">
        <v>1</v>
      </c>
      <c r="AC15">
        <v>1</v>
      </c>
      <c r="AD15">
        <v>98</v>
      </c>
      <c r="AE15" t="s">
        <v>412</v>
      </c>
      <c r="AG15" t="s">
        <v>389</v>
      </c>
      <c r="AH15">
        <v>10</v>
      </c>
      <c r="AI15">
        <v>2</v>
      </c>
      <c r="AJ15">
        <v>2</v>
      </c>
      <c r="AK15">
        <v>1</v>
      </c>
      <c r="AL15">
        <v>21</v>
      </c>
      <c r="AM15">
        <v>39</v>
      </c>
      <c r="AN15" t="s">
        <v>384</v>
      </c>
      <c r="AO15">
        <v>5</v>
      </c>
      <c r="AP15">
        <v>1</v>
      </c>
      <c r="AT15">
        <v>12</v>
      </c>
      <c r="AU15">
        <v>20</v>
      </c>
      <c r="AV15">
        <v>30</v>
      </c>
      <c r="AW15">
        <v>11</v>
      </c>
      <c r="AX15">
        <v>21</v>
      </c>
      <c r="AY15">
        <v>2</v>
      </c>
      <c r="AZ15">
        <v>4</v>
      </c>
      <c r="BA15">
        <v>4</v>
      </c>
      <c r="BB15">
        <v>21</v>
      </c>
      <c r="BC15">
        <v>51</v>
      </c>
      <c r="BD15" t="s">
        <v>390</v>
      </c>
      <c r="BE15">
        <v>5</v>
      </c>
      <c r="BF15">
        <v>63</v>
      </c>
      <c r="BJ15">
        <v>12</v>
      </c>
      <c r="BK15">
        <v>20</v>
      </c>
      <c r="BL15">
        <v>55</v>
      </c>
      <c r="BM15">
        <v>11</v>
      </c>
      <c r="BN15">
        <v>21</v>
      </c>
      <c r="CU15">
        <v>502172.96669999999</v>
      </c>
      <c r="CV15">
        <v>5016121.4918999998</v>
      </c>
      <c r="CW15">
        <v>45.298600610000001</v>
      </c>
      <c r="CX15">
        <v>-92.972293019999995</v>
      </c>
      <c r="CY15" s="472">
        <v>43297.399305555555</v>
      </c>
      <c r="CZ15" t="s">
        <v>391</v>
      </c>
      <c r="DA15" t="s">
        <v>392</v>
      </c>
      <c r="DB15" t="s">
        <v>397</v>
      </c>
      <c r="DC15" t="s">
        <v>398</v>
      </c>
      <c r="DD15" s="18" t="s">
        <v>413</v>
      </c>
    </row>
    <row r="16" spans="1:108" ht="16.5" customHeight="1" x14ac:dyDescent="0.25">
      <c r="A16">
        <v>2</v>
      </c>
      <c r="B16">
        <v>746701</v>
      </c>
      <c r="C16">
        <v>2</v>
      </c>
      <c r="D16">
        <v>8</v>
      </c>
      <c r="E16">
        <v>1.97</v>
      </c>
      <c r="F16">
        <v>13</v>
      </c>
      <c r="G16" t="s">
        <v>383</v>
      </c>
      <c r="I16" t="s">
        <v>384</v>
      </c>
      <c r="J16">
        <v>24</v>
      </c>
      <c r="L16">
        <v>19408045</v>
      </c>
      <c r="M16">
        <v>192540200</v>
      </c>
      <c r="N16">
        <v>9</v>
      </c>
      <c r="O16">
        <v>11</v>
      </c>
      <c r="P16">
        <v>2019</v>
      </c>
      <c r="Q16" t="s">
        <v>396</v>
      </c>
      <c r="R16">
        <v>13</v>
      </c>
      <c r="S16">
        <v>98</v>
      </c>
      <c r="T16">
        <v>5</v>
      </c>
      <c r="U16">
        <v>0</v>
      </c>
      <c r="V16">
        <v>2</v>
      </c>
      <c r="W16">
        <v>12</v>
      </c>
      <c r="X16">
        <v>10</v>
      </c>
      <c r="Y16">
        <v>3</v>
      </c>
      <c r="Z16">
        <v>1</v>
      </c>
      <c r="AA16">
        <v>1</v>
      </c>
      <c r="AC16">
        <v>1</v>
      </c>
      <c r="AD16">
        <v>98</v>
      </c>
      <c r="AE16" t="s">
        <v>388</v>
      </c>
      <c r="AG16" t="s">
        <v>389</v>
      </c>
      <c r="AH16">
        <v>7</v>
      </c>
      <c r="AI16">
        <v>2</v>
      </c>
      <c r="AJ16">
        <v>4</v>
      </c>
      <c r="AK16">
        <v>3</v>
      </c>
      <c r="AL16">
        <v>21</v>
      </c>
      <c r="AM16">
        <v>35</v>
      </c>
      <c r="AN16" t="s">
        <v>384</v>
      </c>
      <c r="AO16">
        <v>5</v>
      </c>
      <c r="AP16">
        <v>74</v>
      </c>
      <c r="AT16">
        <v>12</v>
      </c>
      <c r="AU16">
        <v>20</v>
      </c>
      <c r="AV16">
        <v>55</v>
      </c>
      <c r="AW16">
        <v>11</v>
      </c>
      <c r="AX16">
        <v>21</v>
      </c>
      <c r="AY16">
        <v>2</v>
      </c>
      <c r="AZ16">
        <v>2</v>
      </c>
      <c r="BA16">
        <v>3</v>
      </c>
      <c r="BB16">
        <v>34</v>
      </c>
      <c r="BC16">
        <v>42</v>
      </c>
      <c r="BD16" t="s">
        <v>390</v>
      </c>
      <c r="BE16">
        <v>5</v>
      </c>
      <c r="BF16">
        <v>1</v>
      </c>
      <c r="BJ16">
        <v>12</v>
      </c>
      <c r="BK16">
        <v>20</v>
      </c>
      <c r="BL16">
        <v>55</v>
      </c>
      <c r="BM16">
        <v>11</v>
      </c>
      <c r="BN16">
        <v>21</v>
      </c>
      <c r="CU16">
        <v>502185.3222</v>
      </c>
      <c r="CV16">
        <v>5016140.4825999998</v>
      </c>
      <c r="CW16">
        <v>45.298771520000003</v>
      </c>
      <c r="CX16">
        <v>-92.972135350000002</v>
      </c>
      <c r="CY16" s="472">
        <v>43719.542361111111</v>
      </c>
      <c r="CZ16" t="s">
        <v>391</v>
      </c>
      <c r="DA16" t="s">
        <v>392</v>
      </c>
      <c r="DB16" t="s">
        <v>397</v>
      </c>
      <c r="DC16" t="s">
        <v>398</v>
      </c>
      <c r="DD16" s="18" t="s">
        <v>414</v>
      </c>
    </row>
    <row r="17" spans="1:108" ht="16.5" customHeight="1" x14ac:dyDescent="0.25">
      <c r="A17">
        <v>2</v>
      </c>
      <c r="B17">
        <v>817731</v>
      </c>
      <c r="C17">
        <v>2</v>
      </c>
      <c r="D17">
        <v>8</v>
      </c>
      <c r="E17">
        <v>1.978</v>
      </c>
      <c r="F17">
        <v>13</v>
      </c>
      <c r="G17" t="s">
        <v>383</v>
      </c>
      <c r="I17" t="s">
        <v>384</v>
      </c>
      <c r="J17">
        <v>24</v>
      </c>
      <c r="L17">
        <v>20403916</v>
      </c>
      <c r="M17">
        <v>201850051</v>
      </c>
      <c r="N17">
        <v>7</v>
      </c>
      <c r="O17">
        <v>3</v>
      </c>
      <c r="P17">
        <v>2020</v>
      </c>
      <c r="Q17" t="s">
        <v>415</v>
      </c>
      <c r="R17">
        <v>14</v>
      </c>
      <c r="S17">
        <v>98</v>
      </c>
      <c r="T17">
        <v>4</v>
      </c>
      <c r="U17">
        <v>0</v>
      </c>
      <c r="V17">
        <v>2</v>
      </c>
      <c r="W17">
        <v>12</v>
      </c>
      <c r="X17">
        <v>10</v>
      </c>
      <c r="Y17">
        <v>10</v>
      </c>
      <c r="Z17">
        <v>1</v>
      </c>
      <c r="AA17">
        <v>1</v>
      </c>
      <c r="AC17">
        <v>1</v>
      </c>
      <c r="AD17">
        <v>98</v>
      </c>
      <c r="AE17" t="s">
        <v>388</v>
      </c>
      <c r="AG17" t="s">
        <v>389</v>
      </c>
      <c r="AH17">
        <v>7</v>
      </c>
      <c r="AI17">
        <v>2</v>
      </c>
      <c r="AJ17">
        <v>3</v>
      </c>
      <c r="AK17">
        <v>4</v>
      </c>
      <c r="AL17">
        <v>34</v>
      </c>
      <c r="AM17">
        <v>55</v>
      </c>
      <c r="AN17" t="s">
        <v>384</v>
      </c>
      <c r="AO17">
        <v>5</v>
      </c>
      <c r="AP17">
        <v>1</v>
      </c>
      <c r="AT17">
        <v>12</v>
      </c>
      <c r="AU17">
        <v>20</v>
      </c>
      <c r="AV17">
        <v>55</v>
      </c>
      <c r="AW17">
        <v>11</v>
      </c>
      <c r="AX17">
        <v>21</v>
      </c>
      <c r="AY17">
        <v>2</v>
      </c>
      <c r="AZ17">
        <v>4</v>
      </c>
      <c r="BA17">
        <v>4</v>
      </c>
      <c r="BB17">
        <v>21</v>
      </c>
      <c r="BC17">
        <v>18</v>
      </c>
      <c r="BD17" t="s">
        <v>384</v>
      </c>
      <c r="BE17">
        <v>90</v>
      </c>
      <c r="BF17">
        <v>70</v>
      </c>
      <c r="BJ17">
        <v>12</v>
      </c>
      <c r="BK17">
        <v>20</v>
      </c>
      <c r="BL17">
        <v>55</v>
      </c>
      <c r="BM17">
        <v>11</v>
      </c>
      <c r="BN17">
        <v>21</v>
      </c>
      <c r="CU17">
        <v>502191.84350000002</v>
      </c>
      <c r="CV17">
        <v>5016150.2295000004</v>
      </c>
      <c r="CW17">
        <v>45.298859229999998</v>
      </c>
      <c r="CX17">
        <v>-92.972052129999994</v>
      </c>
      <c r="CY17" s="472">
        <v>44015.601388888892</v>
      </c>
      <c r="CZ17" t="s">
        <v>391</v>
      </c>
      <c r="DA17" t="s">
        <v>392</v>
      </c>
      <c r="DB17" t="s">
        <v>397</v>
      </c>
      <c r="DC17" t="s">
        <v>398</v>
      </c>
      <c r="DD17" s="18" t="s">
        <v>416</v>
      </c>
    </row>
    <row r="18" spans="1:108" ht="16.5" customHeight="1" x14ac:dyDescent="0.25">
      <c r="CY18" s="472"/>
      <c r="DD18" s="18"/>
    </row>
    <row r="19" spans="1:108" ht="16.5" customHeight="1" x14ac:dyDescent="0.25">
      <c r="A19">
        <v>2</v>
      </c>
      <c r="B19">
        <v>652269</v>
      </c>
      <c r="C19">
        <v>2</v>
      </c>
      <c r="D19">
        <v>8</v>
      </c>
      <c r="E19">
        <v>1.982</v>
      </c>
      <c r="F19">
        <v>13</v>
      </c>
      <c r="G19" t="s">
        <v>383</v>
      </c>
      <c r="I19" t="s">
        <v>384</v>
      </c>
      <c r="J19">
        <v>24</v>
      </c>
      <c r="L19">
        <v>18408874</v>
      </c>
      <c r="M19">
        <v>182750260</v>
      </c>
      <c r="N19">
        <v>10</v>
      </c>
      <c r="O19">
        <v>2</v>
      </c>
      <c r="P19">
        <v>2018</v>
      </c>
      <c r="Q19" t="s">
        <v>402</v>
      </c>
      <c r="R19">
        <v>7</v>
      </c>
      <c r="S19" t="s">
        <v>387</v>
      </c>
      <c r="T19">
        <v>2</v>
      </c>
      <c r="U19">
        <v>0</v>
      </c>
      <c r="V19">
        <v>2</v>
      </c>
      <c r="W19">
        <v>12</v>
      </c>
      <c r="X19">
        <v>10</v>
      </c>
      <c r="Y19">
        <v>10</v>
      </c>
      <c r="Z19">
        <v>2</v>
      </c>
      <c r="AA19">
        <v>2</v>
      </c>
      <c r="AC19">
        <v>1</v>
      </c>
      <c r="AD19">
        <v>98</v>
      </c>
      <c r="AE19" t="s">
        <v>388</v>
      </c>
      <c r="AG19" t="s">
        <v>389</v>
      </c>
      <c r="AH19">
        <v>7</v>
      </c>
      <c r="AI19">
        <v>2</v>
      </c>
      <c r="AJ19">
        <v>49</v>
      </c>
      <c r="AK19">
        <v>3</v>
      </c>
      <c r="AL19">
        <v>21</v>
      </c>
      <c r="AM19">
        <v>41</v>
      </c>
      <c r="AN19" t="s">
        <v>384</v>
      </c>
      <c r="AO19">
        <v>5</v>
      </c>
      <c r="AP19">
        <v>1</v>
      </c>
      <c r="AT19">
        <v>12</v>
      </c>
      <c r="AU19">
        <v>20</v>
      </c>
      <c r="AV19">
        <v>55</v>
      </c>
      <c r="AW19">
        <v>11</v>
      </c>
      <c r="AX19">
        <v>21</v>
      </c>
      <c r="AY19">
        <v>2</v>
      </c>
      <c r="AZ19">
        <v>2</v>
      </c>
      <c r="BA19">
        <v>3</v>
      </c>
      <c r="BB19">
        <v>21</v>
      </c>
      <c r="BC19">
        <v>27</v>
      </c>
      <c r="BD19" t="s">
        <v>390</v>
      </c>
      <c r="BE19">
        <v>99</v>
      </c>
      <c r="BF19">
        <v>99</v>
      </c>
      <c r="BJ19">
        <v>12</v>
      </c>
      <c r="BK19">
        <v>20</v>
      </c>
      <c r="BL19">
        <v>55</v>
      </c>
      <c r="BM19">
        <v>11</v>
      </c>
      <c r="BN19">
        <v>21</v>
      </c>
      <c r="CU19">
        <v>502195.77140000003</v>
      </c>
      <c r="CV19">
        <v>5016156.1003</v>
      </c>
      <c r="CW19">
        <v>45.298912059999999</v>
      </c>
      <c r="CX19">
        <v>-92.972002009999997</v>
      </c>
      <c r="CY19" s="472">
        <v>43375.293749999997</v>
      </c>
      <c r="CZ19" t="s">
        <v>391</v>
      </c>
      <c r="DA19" t="s">
        <v>392</v>
      </c>
      <c r="DB19" t="s">
        <v>397</v>
      </c>
      <c r="DC19" t="s">
        <v>398</v>
      </c>
      <c r="DD19" s="18" t="s">
        <v>417</v>
      </c>
    </row>
    <row r="20" spans="1:108" ht="16.5" customHeight="1" x14ac:dyDescent="0.25">
      <c r="A20">
        <v>2</v>
      </c>
      <c r="B20">
        <v>568151</v>
      </c>
      <c r="C20">
        <v>2</v>
      </c>
      <c r="D20">
        <v>8</v>
      </c>
      <c r="E20">
        <v>1.988</v>
      </c>
      <c r="F20">
        <v>13</v>
      </c>
      <c r="G20" t="s">
        <v>383</v>
      </c>
      <c r="I20" t="s">
        <v>384</v>
      </c>
      <c r="J20">
        <v>24</v>
      </c>
      <c r="L20">
        <v>18402312</v>
      </c>
      <c r="M20">
        <v>180530018</v>
      </c>
      <c r="N20">
        <v>2</v>
      </c>
      <c r="O20">
        <v>22</v>
      </c>
      <c r="P20">
        <v>2018</v>
      </c>
      <c r="Q20" t="s">
        <v>386</v>
      </c>
      <c r="R20">
        <v>7</v>
      </c>
      <c r="S20" t="s">
        <v>387</v>
      </c>
      <c r="T20">
        <v>5</v>
      </c>
      <c r="U20">
        <v>0</v>
      </c>
      <c r="V20">
        <v>2</v>
      </c>
      <c r="W20">
        <v>12</v>
      </c>
      <c r="X20">
        <v>10</v>
      </c>
      <c r="Y20">
        <v>3</v>
      </c>
      <c r="Z20">
        <v>1</v>
      </c>
      <c r="AA20">
        <v>1</v>
      </c>
      <c r="AC20">
        <v>1</v>
      </c>
      <c r="AD20">
        <v>98</v>
      </c>
      <c r="AE20" t="s">
        <v>388</v>
      </c>
      <c r="AG20" t="s">
        <v>389</v>
      </c>
      <c r="AH20">
        <v>7</v>
      </c>
      <c r="AI20">
        <v>2</v>
      </c>
      <c r="AJ20">
        <v>2</v>
      </c>
      <c r="AK20">
        <v>3</v>
      </c>
      <c r="AL20">
        <v>21</v>
      </c>
      <c r="AM20">
        <v>24</v>
      </c>
      <c r="AN20" t="s">
        <v>390</v>
      </c>
      <c r="AO20">
        <v>5</v>
      </c>
      <c r="AP20">
        <v>74</v>
      </c>
      <c r="AT20">
        <v>12</v>
      </c>
      <c r="AU20">
        <v>20</v>
      </c>
      <c r="AV20">
        <v>55</v>
      </c>
      <c r="AW20">
        <v>11</v>
      </c>
      <c r="AX20">
        <v>21</v>
      </c>
      <c r="AY20">
        <v>2</v>
      </c>
      <c r="AZ20">
        <v>48</v>
      </c>
      <c r="BA20">
        <v>3</v>
      </c>
      <c r="BB20">
        <v>34</v>
      </c>
      <c r="BC20">
        <v>52</v>
      </c>
      <c r="BD20" t="s">
        <v>384</v>
      </c>
      <c r="BE20">
        <v>5</v>
      </c>
      <c r="BF20">
        <v>1</v>
      </c>
      <c r="BJ20">
        <v>12</v>
      </c>
      <c r="BK20">
        <v>20</v>
      </c>
      <c r="BL20">
        <v>55</v>
      </c>
      <c r="BM20">
        <v>11</v>
      </c>
      <c r="BN20">
        <v>21</v>
      </c>
      <c r="CU20">
        <v>502200.99349999998</v>
      </c>
      <c r="CV20">
        <v>5016163.9053999996</v>
      </c>
      <c r="CW20">
        <v>45.29898231</v>
      </c>
      <c r="CX20">
        <v>-92.971935369999997</v>
      </c>
      <c r="CY20" s="472">
        <v>43153.306944444441</v>
      </c>
      <c r="CZ20" t="s">
        <v>391</v>
      </c>
      <c r="DA20" t="s">
        <v>392</v>
      </c>
      <c r="DB20" t="s">
        <v>397</v>
      </c>
      <c r="DC20" t="s">
        <v>398</v>
      </c>
      <c r="DD20" t="s">
        <v>418</v>
      </c>
    </row>
    <row r="21" spans="1:108" ht="16.5" customHeight="1" x14ac:dyDescent="0.25">
      <c r="A21">
        <v>2</v>
      </c>
      <c r="B21">
        <v>804813</v>
      </c>
      <c r="C21">
        <v>2</v>
      </c>
      <c r="D21">
        <v>8</v>
      </c>
      <c r="E21">
        <v>1.9890000000000001</v>
      </c>
      <c r="F21">
        <v>13</v>
      </c>
      <c r="G21" t="s">
        <v>383</v>
      </c>
      <c r="I21" t="s">
        <v>384</v>
      </c>
      <c r="J21">
        <v>24</v>
      </c>
      <c r="L21">
        <v>20402195</v>
      </c>
      <c r="M21">
        <v>200800109</v>
      </c>
      <c r="N21">
        <v>3</v>
      </c>
      <c r="O21">
        <v>20</v>
      </c>
      <c r="P21">
        <v>2020</v>
      </c>
      <c r="Q21" t="s">
        <v>415</v>
      </c>
      <c r="R21">
        <v>11</v>
      </c>
      <c r="S21" t="s">
        <v>387</v>
      </c>
      <c r="T21">
        <v>5</v>
      </c>
      <c r="U21">
        <v>0</v>
      </c>
      <c r="V21">
        <v>2</v>
      </c>
      <c r="W21">
        <v>12</v>
      </c>
      <c r="X21">
        <v>10</v>
      </c>
      <c r="Y21">
        <v>10</v>
      </c>
      <c r="Z21">
        <v>1</v>
      </c>
      <c r="AA21">
        <v>1</v>
      </c>
      <c r="AC21">
        <v>1</v>
      </c>
      <c r="AD21">
        <v>98</v>
      </c>
      <c r="AE21" t="s">
        <v>388</v>
      </c>
      <c r="AG21" t="s">
        <v>389</v>
      </c>
      <c r="AH21">
        <v>7</v>
      </c>
      <c r="AI21">
        <v>2</v>
      </c>
      <c r="AJ21">
        <v>4</v>
      </c>
      <c r="AK21">
        <v>3</v>
      </c>
      <c r="AL21">
        <v>34</v>
      </c>
      <c r="AM21">
        <v>34</v>
      </c>
      <c r="AN21" t="s">
        <v>384</v>
      </c>
      <c r="AO21">
        <v>5</v>
      </c>
      <c r="AP21">
        <v>1</v>
      </c>
      <c r="AT21">
        <v>13</v>
      </c>
      <c r="AU21">
        <v>20</v>
      </c>
      <c r="AV21">
        <v>55</v>
      </c>
      <c r="AW21">
        <v>11</v>
      </c>
      <c r="AX21">
        <v>21</v>
      </c>
      <c r="AY21">
        <v>2</v>
      </c>
      <c r="AZ21">
        <v>2</v>
      </c>
      <c r="BA21">
        <v>3</v>
      </c>
      <c r="BB21">
        <v>21</v>
      </c>
      <c r="BC21">
        <v>33</v>
      </c>
      <c r="BD21" t="s">
        <v>390</v>
      </c>
      <c r="BE21">
        <v>5</v>
      </c>
      <c r="BF21">
        <v>74</v>
      </c>
      <c r="BG21">
        <v>2</v>
      </c>
      <c r="BJ21">
        <v>13</v>
      </c>
      <c r="BK21">
        <v>20</v>
      </c>
      <c r="BL21">
        <v>55</v>
      </c>
      <c r="BM21">
        <v>11</v>
      </c>
      <c r="BN21">
        <v>21</v>
      </c>
      <c r="CU21">
        <v>502201.64649999997</v>
      </c>
      <c r="CV21">
        <v>5016164.8815000001</v>
      </c>
      <c r="CW21">
        <v>45.298991090000001</v>
      </c>
      <c r="CX21">
        <v>-92.971927030000003</v>
      </c>
      <c r="CY21" s="472">
        <v>43910.481249999997</v>
      </c>
      <c r="CZ21" t="s">
        <v>391</v>
      </c>
      <c r="DA21" t="s">
        <v>392</v>
      </c>
      <c r="DB21" t="s">
        <v>397</v>
      </c>
      <c r="DC21" t="s">
        <v>398</v>
      </c>
      <c r="DD21" s="18" t="s">
        <v>419</v>
      </c>
    </row>
    <row r="22" spans="1:108" ht="16.5" customHeight="1" x14ac:dyDescent="0.25">
      <c r="CY22" s="472"/>
    </row>
    <row r="23" spans="1:108" ht="16.5" customHeight="1" x14ac:dyDescent="0.25">
      <c r="A23">
        <v>2</v>
      </c>
      <c r="B23">
        <v>894305</v>
      </c>
      <c r="C23">
        <v>2</v>
      </c>
      <c r="D23">
        <v>8</v>
      </c>
      <c r="E23">
        <v>2.0059999999999998</v>
      </c>
      <c r="F23">
        <v>13</v>
      </c>
      <c r="G23" t="s">
        <v>383</v>
      </c>
      <c r="I23" t="s">
        <v>384</v>
      </c>
      <c r="J23">
        <v>24</v>
      </c>
      <c r="L23">
        <v>21001834</v>
      </c>
      <c r="M23">
        <v>210640011</v>
      </c>
      <c r="N23">
        <v>3</v>
      </c>
      <c r="O23">
        <v>5</v>
      </c>
      <c r="P23">
        <v>2021</v>
      </c>
      <c r="Q23" t="s">
        <v>415</v>
      </c>
      <c r="R23">
        <v>7</v>
      </c>
      <c r="S23" t="s">
        <v>420</v>
      </c>
      <c r="T23">
        <v>5</v>
      </c>
      <c r="U23">
        <v>0</v>
      </c>
      <c r="V23">
        <v>2</v>
      </c>
      <c r="W23">
        <v>12</v>
      </c>
      <c r="X23">
        <v>10</v>
      </c>
      <c r="Y23">
        <v>3</v>
      </c>
      <c r="Z23">
        <v>1</v>
      </c>
      <c r="AA23">
        <v>2</v>
      </c>
      <c r="AC23">
        <v>1</v>
      </c>
      <c r="AD23">
        <v>98</v>
      </c>
      <c r="AE23" t="s">
        <v>388</v>
      </c>
      <c r="AG23" t="s">
        <v>389</v>
      </c>
      <c r="AH23">
        <v>7</v>
      </c>
      <c r="AI23">
        <v>2</v>
      </c>
      <c r="AJ23">
        <v>2</v>
      </c>
      <c r="AK23">
        <v>4</v>
      </c>
      <c r="AL23">
        <v>26</v>
      </c>
      <c r="AM23">
        <v>22</v>
      </c>
      <c r="AN23" t="s">
        <v>390</v>
      </c>
      <c r="AO23">
        <v>5</v>
      </c>
      <c r="AP23">
        <v>4</v>
      </c>
      <c r="AT23">
        <v>12</v>
      </c>
      <c r="AU23">
        <v>20</v>
      </c>
      <c r="AV23">
        <v>55</v>
      </c>
      <c r="AW23">
        <v>11</v>
      </c>
      <c r="AX23">
        <v>21</v>
      </c>
      <c r="AY23">
        <v>2</v>
      </c>
      <c r="AZ23">
        <v>3</v>
      </c>
      <c r="BA23">
        <v>4</v>
      </c>
      <c r="BB23">
        <v>34</v>
      </c>
      <c r="BC23">
        <v>25</v>
      </c>
      <c r="BD23" t="s">
        <v>384</v>
      </c>
      <c r="BE23">
        <v>5</v>
      </c>
      <c r="BF23">
        <v>1</v>
      </c>
      <c r="BJ23">
        <v>12</v>
      </c>
      <c r="BK23">
        <v>20</v>
      </c>
      <c r="BL23">
        <v>55</v>
      </c>
      <c r="BM23">
        <v>11</v>
      </c>
      <c r="BN23">
        <v>21</v>
      </c>
      <c r="CU23">
        <v>502216.83020000003</v>
      </c>
      <c r="CV23">
        <v>5016188.0412999997</v>
      </c>
      <c r="CW23">
        <v>45.299199510000001</v>
      </c>
      <c r="CX23">
        <v>-92.971733270000001</v>
      </c>
      <c r="CY23" s="472">
        <v>44260.302083333336</v>
      </c>
      <c r="CZ23" t="s">
        <v>391</v>
      </c>
      <c r="DA23" t="s">
        <v>392</v>
      </c>
      <c r="DB23" t="s">
        <v>393</v>
      </c>
      <c r="DC23" t="s">
        <v>394</v>
      </c>
      <c r="DD23" t="s">
        <v>421</v>
      </c>
    </row>
    <row r="24" spans="1:108" ht="16.5" customHeight="1" x14ac:dyDescent="0.25">
      <c r="A24">
        <v>2</v>
      </c>
      <c r="B24">
        <v>598551</v>
      </c>
      <c r="C24">
        <v>2</v>
      </c>
      <c r="D24">
        <v>8</v>
      </c>
      <c r="E24">
        <v>2.0099999999999998</v>
      </c>
      <c r="F24">
        <v>13</v>
      </c>
      <c r="G24" t="s">
        <v>383</v>
      </c>
      <c r="I24" t="s">
        <v>384</v>
      </c>
      <c r="J24">
        <v>24</v>
      </c>
      <c r="L24">
        <v>18404982</v>
      </c>
      <c r="M24">
        <v>181400104</v>
      </c>
      <c r="N24">
        <v>5</v>
      </c>
      <c r="O24">
        <v>20</v>
      </c>
      <c r="P24">
        <v>2018</v>
      </c>
      <c r="Q24" t="s">
        <v>422</v>
      </c>
      <c r="R24">
        <v>17</v>
      </c>
      <c r="S24" t="s">
        <v>387</v>
      </c>
      <c r="T24">
        <v>4</v>
      </c>
      <c r="U24">
        <v>0</v>
      </c>
      <c r="V24">
        <v>2</v>
      </c>
      <c r="W24">
        <v>5</v>
      </c>
      <c r="X24">
        <v>10</v>
      </c>
      <c r="Y24">
        <v>10</v>
      </c>
      <c r="Z24">
        <v>1</v>
      </c>
      <c r="AA24">
        <v>1</v>
      </c>
      <c r="AC24">
        <v>1</v>
      </c>
      <c r="AD24">
        <v>98</v>
      </c>
      <c r="AE24" t="s">
        <v>388</v>
      </c>
      <c r="AG24" t="s">
        <v>389</v>
      </c>
      <c r="AH24">
        <v>10</v>
      </c>
      <c r="AI24">
        <v>2</v>
      </c>
      <c r="AJ24">
        <v>4</v>
      </c>
      <c r="AK24">
        <v>4</v>
      </c>
      <c r="AL24">
        <v>26</v>
      </c>
      <c r="AM24">
        <v>68</v>
      </c>
      <c r="AN24" t="s">
        <v>390</v>
      </c>
      <c r="AO24">
        <v>5</v>
      </c>
      <c r="AP24">
        <v>1</v>
      </c>
      <c r="AT24">
        <v>12</v>
      </c>
      <c r="AU24">
        <v>9</v>
      </c>
      <c r="AV24">
        <v>55</v>
      </c>
      <c r="AW24">
        <v>11</v>
      </c>
      <c r="AX24">
        <v>21</v>
      </c>
      <c r="AY24">
        <v>2</v>
      </c>
      <c r="AZ24">
        <v>2</v>
      </c>
      <c r="BA24">
        <v>3</v>
      </c>
      <c r="BB24">
        <v>27</v>
      </c>
      <c r="BC24">
        <v>20</v>
      </c>
      <c r="BD24" t="s">
        <v>384</v>
      </c>
      <c r="BE24">
        <v>5</v>
      </c>
      <c r="BF24">
        <v>75</v>
      </c>
      <c r="BJ24">
        <v>12</v>
      </c>
      <c r="BK24">
        <v>9</v>
      </c>
      <c r="BL24">
        <v>55</v>
      </c>
      <c r="BM24">
        <v>11</v>
      </c>
      <c r="BN24">
        <v>21</v>
      </c>
      <c r="CU24">
        <v>502220.9044</v>
      </c>
      <c r="CV24">
        <v>5016194.3427999998</v>
      </c>
      <c r="CW24">
        <v>45.299256219999997</v>
      </c>
      <c r="CX24">
        <v>-92.971681279999999</v>
      </c>
      <c r="CY24" s="472">
        <v>43240.727777777778</v>
      </c>
      <c r="CZ24" t="s">
        <v>391</v>
      </c>
      <c r="DA24" t="s">
        <v>392</v>
      </c>
      <c r="DB24" t="s">
        <v>397</v>
      </c>
      <c r="DC24" t="s">
        <v>398</v>
      </c>
      <c r="DD24" s="18" t="s">
        <v>423</v>
      </c>
    </row>
    <row r="25" spans="1:108" ht="16.5" customHeight="1" x14ac:dyDescent="0.25">
      <c r="A25">
        <v>2</v>
      </c>
      <c r="B25">
        <v>807424</v>
      </c>
      <c r="C25">
        <v>2</v>
      </c>
      <c r="D25">
        <v>8</v>
      </c>
      <c r="E25">
        <v>2.012</v>
      </c>
      <c r="F25">
        <v>13</v>
      </c>
      <c r="G25" t="s">
        <v>383</v>
      </c>
      <c r="I25" t="s">
        <v>384</v>
      </c>
      <c r="J25">
        <v>24</v>
      </c>
      <c r="L25">
        <v>20402547</v>
      </c>
      <c r="M25">
        <v>201070083</v>
      </c>
      <c r="N25">
        <v>4</v>
      </c>
      <c r="O25">
        <v>16</v>
      </c>
      <c r="P25">
        <v>2020</v>
      </c>
      <c r="Q25" t="s">
        <v>386</v>
      </c>
      <c r="R25">
        <v>8</v>
      </c>
      <c r="S25" t="s">
        <v>420</v>
      </c>
      <c r="T25">
        <v>5</v>
      </c>
      <c r="U25">
        <v>0</v>
      </c>
      <c r="V25">
        <v>3</v>
      </c>
      <c r="W25">
        <v>12</v>
      </c>
      <c r="X25">
        <v>10</v>
      </c>
      <c r="Y25">
        <v>10</v>
      </c>
      <c r="Z25">
        <v>1</v>
      </c>
      <c r="AA25">
        <v>1</v>
      </c>
      <c r="AC25">
        <v>1</v>
      </c>
      <c r="AD25">
        <v>98</v>
      </c>
      <c r="AE25" t="s">
        <v>388</v>
      </c>
      <c r="AG25" t="s">
        <v>389</v>
      </c>
      <c r="AH25">
        <v>7</v>
      </c>
      <c r="AI25">
        <v>2</v>
      </c>
      <c r="AJ25">
        <v>4</v>
      </c>
      <c r="AK25">
        <v>4</v>
      </c>
      <c r="AL25">
        <v>34</v>
      </c>
      <c r="AM25">
        <v>38</v>
      </c>
      <c r="AN25" t="s">
        <v>384</v>
      </c>
      <c r="AO25">
        <v>5</v>
      </c>
      <c r="AP25">
        <v>1</v>
      </c>
      <c r="AT25">
        <v>13</v>
      </c>
      <c r="AU25">
        <v>20</v>
      </c>
      <c r="AV25">
        <v>55</v>
      </c>
      <c r="AW25">
        <v>11</v>
      </c>
      <c r="AX25">
        <v>21</v>
      </c>
      <c r="AY25">
        <v>2</v>
      </c>
      <c r="AZ25">
        <v>2</v>
      </c>
      <c r="BA25">
        <v>4</v>
      </c>
      <c r="BB25">
        <v>21</v>
      </c>
      <c r="BC25">
        <v>33</v>
      </c>
      <c r="BD25" t="s">
        <v>390</v>
      </c>
      <c r="BE25">
        <v>5</v>
      </c>
      <c r="BF25">
        <v>74</v>
      </c>
      <c r="BJ25">
        <v>13</v>
      </c>
      <c r="BK25">
        <v>20</v>
      </c>
      <c r="BL25">
        <v>55</v>
      </c>
      <c r="BM25">
        <v>11</v>
      </c>
      <c r="BN25">
        <v>21</v>
      </c>
      <c r="BO25">
        <v>2</v>
      </c>
      <c r="BP25">
        <v>2</v>
      </c>
      <c r="BQ25">
        <v>4</v>
      </c>
      <c r="BR25">
        <v>34</v>
      </c>
      <c r="BS25">
        <v>62</v>
      </c>
      <c r="BT25" t="s">
        <v>384</v>
      </c>
      <c r="BU25">
        <v>5</v>
      </c>
      <c r="BV25">
        <v>1</v>
      </c>
      <c r="BZ25">
        <v>13</v>
      </c>
      <c r="CA25">
        <v>20</v>
      </c>
      <c r="CB25">
        <v>55</v>
      </c>
      <c r="CC25">
        <v>11</v>
      </c>
      <c r="CD25">
        <v>21</v>
      </c>
      <c r="CU25">
        <v>502222.22080000001</v>
      </c>
      <c r="CV25">
        <v>5016196.3788999999</v>
      </c>
      <c r="CW25">
        <v>45.29927455</v>
      </c>
      <c r="CX25">
        <v>-92.971664480000001</v>
      </c>
      <c r="CY25" s="472">
        <v>43937.352777777778</v>
      </c>
      <c r="CZ25" t="s">
        <v>391</v>
      </c>
      <c r="DA25" t="s">
        <v>392</v>
      </c>
      <c r="DB25" t="s">
        <v>397</v>
      </c>
      <c r="DC25" t="s">
        <v>398</v>
      </c>
      <c r="DD25" s="18" t="s">
        <v>424</v>
      </c>
    </row>
    <row r="26" spans="1:108" ht="16.5" customHeight="1" x14ac:dyDescent="0.25">
      <c r="A26">
        <v>2</v>
      </c>
      <c r="B26">
        <v>689306</v>
      </c>
      <c r="C26">
        <v>2</v>
      </c>
      <c r="D26">
        <v>8</v>
      </c>
      <c r="E26">
        <v>2.016</v>
      </c>
      <c r="F26">
        <v>13</v>
      </c>
      <c r="G26" t="s">
        <v>383</v>
      </c>
      <c r="I26" t="s">
        <v>384</v>
      </c>
      <c r="J26">
        <v>24</v>
      </c>
      <c r="L26">
        <v>19402125</v>
      </c>
      <c r="M26">
        <v>190490040</v>
      </c>
      <c r="N26">
        <v>2</v>
      </c>
      <c r="O26">
        <v>18</v>
      </c>
      <c r="P26">
        <v>2019</v>
      </c>
      <c r="Q26" t="s">
        <v>400</v>
      </c>
      <c r="R26">
        <v>9</v>
      </c>
      <c r="S26">
        <v>98</v>
      </c>
      <c r="T26">
        <v>5</v>
      </c>
      <c r="U26">
        <v>0</v>
      </c>
      <c r="V26">
        <v>2</v>
      </c>
      <c r="W26">
        <v>12</v>
      </c>
      <c r="X26">
        <v>10</v>
      </c>
      <c r="Y26">
        <v>3</v>
      </c>
      <c r="Z26">
        <v>1</v>
      </c>
      <c r="AA26">
        <v>1</v>
      </c>
      <c r="AC26">
        <v>1</v>
      </c>
      <c r="AD26">
        <v>98</v>
      </c>
      <c r="AE26" t="s">
        <v>388</v>
      </c>
      <c r="AG26" t="s">
        <v>389</v>
      </c>
      <c r="AH26">
        <v>7</v>
      </c>
      <c r="AI26">
        <v>2</v>
      </c>
      <c r="AJ26">
        <v>3</v>
      </c>
      <c r="AK26">
        <v>4</v>
      </c>
      <c r="AL26">
        <v>21</v>
      </c>
      <c r="AM26">
        <v>44</v>
      </c>
      <c r="AN26" t="s">
        <v>384</v>
      </c>
      <c r="AO26">
        <v>5</v>
      </c>
      <c r="AP26">
        <v>1</v>
      </c>
      <c r="AT26">
        <v>14</v>
      </c>
      <c r="AU26">
        <v>20</v>
      </c>
      <c r="AV26">
        <v>55</v>
      </c>
      <c r="AW26">
        <v>11</v>
      </c>
      <c r="AX26">
        <v>21</v>
      </c>
      <c r="AY26">
        <v>2</v>
      </c>
      <c r="AZ26">
        <v>5</v>
      </c>
      <c r="BA26">
        <v>4</v>
      </c>
      <c r="BB26">
        <v>21</v>
      </c>
      <c r="BC26">
        <v>43</v>
      </c>
      <c r="BD26" t="s">
        <v>384</v>
      </c>
      <c r="BE26">
        <v>5</v>
      </c>
      <c r="BF26">
        <v>74</v>
      </c>
      <c r="BJ26">
        <v>14</v>
      </c>
      <c r="BK26">
        <v>20</v>
      </c>
      <c r="BL26">
        <v>55</v>
      </c>
      <c r="BM26">
        <v>11</v>
      </c>
      <c r="BN26">
        <v>21</v>
      </c>
      <c r="CU26">
        <v>502226.1397</v>
      </c>
      <c r="CV26">
        <v>5016202.4402000001</v>
      </c>
      <c r="CW26">
        <v>45.299329100000001</v>
      </c>
      <c r="CX26">
        <v>-92.971614470000006</v>
      </c>
      <c r="CY26" s="472">
        <v>43514.414583333331</v>
      </c>
      <c r="CZ26" t="s">
        <v>391</v>
      </c>
      <c r="DA26" t="s">
        <v>392</v>
      </c>
      <c r="DB26" t="s">
        <v>397</v>
      </c>
      <c r="DC26" t="s">
        <v>398</v>
      </c>
      <c r="DD26" s="18" t="s">
        <v>425</v>
      </c>
    </row>
    <row r="27" spans="1:108" ht="16.5" customHeight="1" x14ac:dyDescent="0.25">
      <c r="A27">
        <v>2</v>
      </c>
      <c r="B27">
        <v>656857</v>
      </c>
      <c r="C27">
        <v>2</v>
      </c>
      <c r="D27">
        <v>8</v>
      </c>
      <c r="E27">
        <v>2.0179999999999998</v>
      </c>
      <c r="F27">
        <v>13</v>
      </c>
      <c r="G27" t="s">
        <v>383</v>
      </c>
      <c r="I27" t="s">
        <v>384</v>
      </c>
      <c r="J27">
        <v>24</v>
      </c>
      <c r="L27">
        <v>18409786</v>
      </c>
      <c r="M27">
        <v>183050255</v>
      </c>
      <c r="N27">
        <v>11</v>
      </c>
      <c r="O27">
        <v>1</v>
      </c>
      <c r="P27">
        <v>2018</v>
      </c>
      <c r="Q27" t="s">
        <v>386</v>
      </c>
      <c r="R27">
        <v>18</v>
      </c>
      <c r="S27">
        <v>98</v>
      </c>
      <c r="T27">
        <v>4</v>
      </c>
      <c r="U27">
        <v>0</v>
      </c>
      <c r="V27">
        <v>1</v>
      </c>
      <c r="X27">
        <v>83</v>
      </c>
      <c r="Y27">
        <v>3</v>
      </c>
      <c r="Z27">
        <v>6</v>
      </c>
      <c r="AA27">
        <v>1</v>
      </c>
      <c r="AC27">
        <v>1</v>
      </c>
      <c r="AD27">
        <v>98</v>
      </c>
      <c r="AE27" t="s">
        <v>388</v>
      </c>
      <c r="AG27" t="s">
        <v>389</v>
      </c>
      <c r="AH27">
        <v>3</v>
      </c>
      <c r="AI27">
        <v>2</v>
      </c>
      <c r="AJ27">
        <v>2</v>
      </c>
      <c r="AK27">
        <v>3</v>
      </c>
      <c r="AL27">
        <v>21</v>
      </c>
      <c r="AM27">
        <v>31</v>
      </c>
      <c r="AN27" t="s">
        <v>384</v>
      </c>
      <c r="AO27">
        <v>5</v>
      </c>
      <c r="AP27">
        <v>70</v>
      </c>
      <c r="AQ27">
        <v>75</v>
      </c>
      <c r="AT27">
        <v>12</v>
      </c>
      <c r="AU27">
        <v>20</v>
      </c>
      <c r="AV27">
        <v>55</v>
      </c>
      <c r="AW27">
        <v>11</v>
      </c>
      <c r="AX27">
        <v>21</v>
      </c>
      <c r="CU27">
        <v>502227.94290000002</v>
      </c>
      <c r="CV27">
        <v>5016205.2291999999</v>
      </c>
      <c r="CW27">
        <v>45.299354190000003</v>
      </c>
      <c r="CX27">
        <v>-92.971591459999999</v>
      </c>
      <c r="CY27" s="472">
        <v>43405.76666666667</v>
      </c>
      <c r="CZ27" t="s">
        <v>391</v>
      </c>
      <c r="DA27" t="s">
        <v>392</v>
      </c>
      <c r="DB27" t="s">
        <v>397</v>
      </c>
      <c r="DC27" t="s">
        <v>398</v>
      </c>
      <c r="DD27" s="18" t="s">
        <v>426</v>
      </c>
    </row>
    <row r="28" spans="1:108" ht="16.5" customHeight="1" x14ac:dyDescent="0.25">
      <c r="A28">
        <v>2</v>
      </c>
      <c r="B28">
        <v>778666</v>
      </c>
      <c r="C28">
        <v>2</v>
      </c>
      <c r="D28">
        <v>8</v>
      </c>
      <c r="E28">
        <v>2.0209999999999999</v>
      </c>
      <c r="F28">
        <v>13</v>
      </c>
      <c r="G28" t="s">
        <v>383</v>
      </c>
      <c r="I28" t="s">
        <v>384</v>
      </c>
      <c r="J28">
        <v>24</v>
      </c>
      <c r="L28">
        <v>20400275</v>
      </c>
      <c r="M28">
        <v>200110119</v>
      </c>
      <c r="N28">
        <v>1</v>
      </c>
      <c r="O28">
        <v>11</v>
      </c>
      <c r="P28">
        <v>2020</v>
      </c>
      <c r="Q28" t="s">
        <v>405</v>
      </c>
      <c r="R28">
        <v>17</v>
      </c>
      <c r="S28" t="s">
        <v>420</v>
      </c>
      <c r="T28">
        <v>3</v>
      </c>
      <c r="U28">
        <v>0</v>
      </c>
      <c r="V28">
        <v>3</v>
      </c>
      <c r="W28">
        <v>12</v>
      </c>
      <c r="X28">
        <v>10</v>
      </c>
      <c r="Y28">
        <v>3</v>
      </c>
      <c r="Z28">
        <v>4</v>
      </c>
      <c r="AA28">
        <v>1</v>
      </c>
      <c r="AC28">
        <v>1</v>
      </c>
      <c r="AD28">
        <v>98</v>
      </c>
      <c r="AE28" t="s">
        <v>388</v>
      </c>
      <c r="AG28" t="s">
        <v>389</v>
      </c>
      <c r="AH28">
        <v>7</v>
      </c>
      <c r="AI28">
        <v>2</v>
      </c>
      <c r="AJ28">
        <v>4</v>
      </c>
      <c r="AK28">
        <v>4</v>
      </c>
      <c r="AL28">
        <v>21</v>
      </c>
      <c r="AM28">
        <v>50</v>
      </c>
      <c r="AN28" t="s">
        <v>384</v>
      </c>
      <c r="AO28">
        <v>10</v>
      </c>
      <c r="AP28">
        <v>70</v>
      </c>
      <c r="AQ28">
        <v>63</v>
      </c>
      <c r="AT28">
        <v>12</v>
      </c>
      <c r="AU28">
        <v>20</v>
      </c>
      <c r="AV28">
        <v>55</v>
      </c>
      <c r="AW28">
        <v>11</v>
      </c>
      <c r="AX28">
        <v>21</v>
      </c>
      <c r="AY28">
        <v>2</v>
      </c>
      <c r="AZ28">
        <v>2</v>
      </c>
      <c r="BA28">
        <v>4</v>
      </c>
      <c r="BB28">
        <v>34</v>
      </c>
      <c r="BC28">
        <v>28</v>
      </c>
      <c r="BD28" t="s">
        <v>390</v>
      </c>
      <c r="BE28">
        <v>5</v>
      </c>
      <c r="BF28">
        <v>1</v>
      </c>
      <c r="BJ28">
        <v>12</v>
      </c>
      <c r="BK28">
        <v>20</v>
      </c>
      <c r="BL28">
        <v>55</v>
      </c>
      <c r="BM28">
        <v>11</v>
      </c>
      <c r="BN28">
        <v>21</v>
      </c>
      <c r="BO28">
        <v>2</v>
      </c>
      <c r="BP28">
        <v>2</v>
      </c>
      <c r="BQ28">
        <v>4</v>
      </c>
      <c r="BR28">
        <v>34</v>
      </c>
      <c r="BS28">
        <v>65</v>
      </c>
      <c r="BT28" t="s">
        <v>390</v>
      </c>
      <c r="BU28">
        <v>5</v>
      </c>
      <c r="BV28">
        <v>1</v>
      </c>
      <c r="BZ28">
        <v>12</v>
      </c>
      <c r="CA28">
        <v>20</v>
      </c>
      <c r="CB28">
        <v>55</v>
      </c>
      <c r="CC28">
        <v>11</v>
      </c>
      <c r="CD28">
        <v>21</v>
      </c>
      <c r="CU28">
        <v>502230.56599999999</v>
      </c>
      <c r="CV28">
        <v>5016209.2863999996</v>
      </c>
      <c r="CW28">
        <v>45.299390709999997</v>
      </c>
      <c r="CX28">
        <v>-92.97155798</v>
      </c>
      <c r="CY28" s="472">
        <v>43841.748611111114</v>
      </c>
      <c r="CZ28" t="s">
        <v>391</v>
      </c>
      <c r="DA28" t="s">
        <v>392</v>
      </c>
      <c r="DB28" t="s">
        <v>397</v>
      </c>
      <c r="DC28" t="s">
        <v>398</v>
      </c>
      <c r="DD28" t="s">
        <v>427</v>
      </c>
    </row>
    <row r="29" spans="1:108" ht="16.5" customHeight="1" x14ac:dyDescent="0.25">
      <c r="CY29" s="472"/>
      <c r="DD29" s="18"/>
    </row>
    <row r="30" spans="1:108" ht="16.5" customHeight="1" x14ac:dyDescent="0.25">
      <c r="A30">
        <v>2</v>
      </c>
      <c r="B30">
        <v>777129</v>
      </c>
      <c r="C30">
        <v>2</v>
      </c>
      <c r="D30">
        <v>8</v>
      </c>
      <c r="E30">
        <v>2.0710000000000002</v>
      </c>
      <c r="F30">
        <v>13</v>
      </c>
      <c r="G30" t="s">
        <v>383</v>
      </c>
      <c r="I30" t="s">
        <v>384</v>
      </c>
      <c r="J30">
        <v>24</v>
      </c>
      <c r="L30">
        <v>20400090</v>
      </c>
      <c r="M30">
        <v>200040108</v>
      </c>
      <c r="N30">
        <v>1</v>
      </c>
      <c r="O30">
        <v>4</v>
      </c>
      <c r="P30">
        <v>2020</v>
      </c>
      <c r="Q30" t="s">
        <v>405</v>
      </c>
      <c r="R30">
        <v>20</v>
      </c>
      <c r="S30">
        <v>98</v>
      </c>
      <c r="T30">
        <v>3</v>
      </c>
      <c r="U30">
        <v>0</v>
      </c>
      <c r="V30">
        <v>2</v>
      </c>
      <c r="W30">
        <v>11</v>
      </c>
      <c r="X30">
        <v>10</v>
      </c>
      <c r="Y30">
        <v>2</v>
      </c>
      <c r="Z30">
        <v>6</v>
      </c>
      <c r="AA30">
        <v>2</v>
      </c>
      <c r="AC30">
        <v>1</v>
      </c>
      <c r="AD30">
        <v>98</v>
      </c>
      <c r="AE30" t="s">
        <v>409</v>
      </c>
      <c r="AG30" t="s">
        <v>389</v>
      </c>
      <c r="AH30">
        <v>6</v>
      </c>
      <c r="AI30">
        <v>2</v>
      </c>
      <c r="AJ30">
        <v>4</v>
      </c>
      <c r="AK30">
        <v>4</v>
      </c>
      <c r="AL30">
        <v>21</v>
      </c>
      <c r="AM30">
        <v>66</v>
      </c>
      <c r="AN30" t="s">
        <v>384</v>
      </c>
      <c r="AO30">
        <v>5</v>
      </c>
      <c r="AP30">
        <v>1</v>
      </c>
      <c r="AT30">
        <v>12</v>
      </c>
      <c r="AU30">
        <v>9</v>
      </c>
      <c r="AV30">
        <v>55</v>
      </c>
      <c r="AW30">
        <v>11</v>
      </c>
      <c r="AX30">
        <v>21</v>
      </c>
      <c r="AY30">
        <v>2</v>
      </c>
      <c r="AZ30">
        <v>2</v>
      </c>
      <c r="BA30">
        <v>3</v>
      </c>
      <c r="BB30">
        <v>22</v>
      </c>
      <c r="BC30">
        <v>35</v>
      </c>
      <c r="BD30" t="s">
        <v>390</v>
      </c>
      <c r="BE30">
        <v>10</v>
      </c>
      <c r="BF30">
        <v>67</v>
      </c>
      <c r="BG30">
        <v>70</v>
      </c>
      <c r="BJ30">
        <v>12</v>
      </c>
      <c r="BK30">
        <v>9</v>
      </c>
      <c r="BL30">
        <v>55</v>
      </c>
      <c r="BM30">
        <v>11</v>
      </c>
      <c r="BN30">
        <v>21</v>
      </c>
      <c r="CU30">
        <v>502273.69799999997</v>
      </c>
      <c r="CV30">
        <v>5016275.9982000003</v>
      </c>
      <c r="CW30">
        <v>45.299991069999997</v>
      </c>
      <c r="CX30">
        <v>-92.971007549999996</v>
      </c>
      <c r="CY30" s="472">
        <v>43834.833333333336</v>
      </c>
      <c r="CZ30" t="s">
        <v>391</v>
      </c>
      <c r="DA30" t="s">
        <v>392</v>
      </c>
      <c r="DB30" t="s">
        <v>397</v>
      </c>
      <c r="DC30" t="s">
        <v>398</v>
      </c>
      <c r="DD30" s="18" t="s">
        <v>428</v>
      </c>
    </row>
    <row r="31" spans="1:108" ht="16.5" customHeight="1" x14ac:dyDescent="0.25">
      <c r="A31">
        <v>2</v>
      </c>
      <c r="B31">
        <v>669309</v>
      </c>
      <c r="C31">
        <v>5</v>
      </c>
      <c r="D31">
        <v>121</v>
      </c>
      <c r="E31">
        <v>1.2509999999999999</v>
      </c>
      <c r="F31">
        <v>13</v>
      </c>
      <c r="G31" t="s">
        <v>383</v>
      </c>
      <c r="I31" t="s">
        <v>384</v>
      </c>
      <c r="J31">
        <v>24</v>
      </c>
      <c r="L31">
        <v>18411426</v>
      </c>
      <c r="M31">
        <v>183520100</v>
      </c>
      <c r="N31">
        <v>12</v>
      </c>
      <c r="O31">
        <v>18</v>
      </c>
      <c r="P31">
        <v>2018</v>
      </c>
      <c r="Q31" t="s">
        <v>402</v>
      </c>
      <c r="R31">
        <v>14</v>
      </c>
      <c r="S31">
        <v>98</v>
      </c>
      <c r="T31">
        <v>4</v>
      </c>
      <c r="U31">
        <v>0</v>
      </c>
      <c r="V31">
        <v>2</v>
      </c>
      <c r="W31">
        <v>12</v>
      </c>
      <c r="X31">
        <v>10</v>
      </c>
      <c r="Y31">
        <v>3</v>
      </c>
      <c r="Z31">
        <v>1</v>
      </c>
      <c r="AA31">
        <v>2</v>
      </c>
      <c r="AC31">
        <v>1</v>
      </c>
      <c r="AD31">
        <v>98</v>
      </c>
      <c r="AE31" t="s">
        <v>429</v>
      </c>
      <c r="AG31" t="s">
        <v>430</v>
      </c>
      <c r="AH31">
        <v>7</v>
      </c>
      <c r="AI31">
        <v>2</v>
      </c>
      <c r="AJ31">
        <v>2</v>
      </c>
      <c r="AK31">
        <v>3</v>
      </c>
      <c r="AL31">
        <v>34</v>
      </c>
      <c r="AM31">
        <v>35</v>
      </c>
      <c r="AN31" t="s">
        <v>384</v>
      </c>
      <c r="AO31">
        <v>5</v>
      </c>
      <c r="AP31">
        <v>1</v>
      </c>
      <c r="AT31">
        <v>12</v>
      </c>
      <c r="AU31">
        <v>20</v>
      </c>
      <c r="AV31">
        <v>55</v>
      </c>
      <c r="AW31">
        <v>11</v>
      </c>
      <c r="AX31">
        <v>21</v>
      </c>
      <c r="AY31">
        <v>2</v>
      </c>
      <c r="AZ31">
        <v>2</v>
      </c>
      <c r="BA31">
        <v>3</v>
      </c>
      <c r="BB31">
        <v>21</v>
      </c>
      <c r="BC31">
        <v>39</v>
      </c>
      <c r="BD31" t="s">
        <v>384</v>
      </c>
      <c r="BE31">
        <v>5</v>
      </c>
      <c r="BF31">
        <v>74</v>
      </c>
      <c r="BJ31">
        <v>12</v>
      </c>
      <c r="BK31">
        <v>20</v>
      </c>
      <c r="BL31">
        <v>55</v>
      </c>
      <c r="BM31">
        <v>11</v>
      </c>
      <c r="BN31">
        <v>21</v>
      </c>
      <c r="CU31">
        <v>502200.67249999999</v>
      </c>
      <c r="CV31">
        <v>5016179.5707999999</v>
      </c>
      <c r="CW31">
        <v>45.29912332</v>
      </c>
      <c r="CX31">
        <v>-92.971939390000003</v>
      </c>
      <c r="CY31" s="472">
        <v>43452.613888888889</v>
      </c>
      <c r="CZ31" t="s">
        <v>391</v>
      </c>
      <c r="DA31" t="s">
        <v>392</v>
      </c>
      <c r="DB31" t="s">
        <v>397</v>
      </c>
      <c r="DC31" t="s">
        <v>398</v>
      </c>
      <c r="DD31" s="18" t="s">
        <v>431</v>
      </c>
    </row>
    <row r="32" spans="1:108" ht="16.5" customHeight="1" x14ac:dyDescent="0.25">
      <c r="A32">
        <v>2</v>
      </c>
      <c r="B32">
        <v>811216</v>
      </c>
      <c r="C32">
        <v>5</v>
      </c>
      <c r="D32">
        <v>121</v>
      </c>
      <c r="E32">
        <v>1.2509999999999999</v>
      </c>
      <c r="F32">
        <v>13</v>
      </c>
      <c r="G32" t="s">
        <v>383</v>
      </c>
      <c r="I32" t="s">
        <v>384</v>
      </c>
      <c r="J32">
        <v>24</v>
      </c>
      <c r="L32">
        <v>20403163</v>
      </c>
      <c r="M32">
        <v>201430023</v>
      </c>
      <c r="N32">
        <v>5</v>
      </c>
      <c r="O32">
        <v>22</v>
      </c>
      <c r="P32">
        <v>2020</v>
      </c>
      <c r="Q32" t="s">
        <v>415</v>
      </c>
      <c r="R32">
        <v>11</v>
      </c>
      <c r="S32">
        <v>98</v>
      </c>
      <c r="T32">
        <v>4</v>
      </c>
      <c r="U32">
        <v>0</v>
      </c>
      <c r="V32">
        <v>2</v>
      </c>
      <c r="W32">
        <v>13</v>
      </c>
      <c r="X32">
        <v>10</v>
      </c>
      <c r="Y32">
        <v>3</v>
      </c>
      <c r="Z32">
        <v>1</v>
      </c>
      <c r="AA32">
        <v>2</v>
      </c>
      <c r="AC32">
        <v>1</v>
      </c>
      <c r="AD32">
        <v>98</v>
      </c>
      <c r="AE32" t="s">
        <v>429</v>
      </c>
      <c r="AG32" t="s">
        <v>430</v>
      </c>
      <c r="AH32">
        <v>8</v>
      </c>
      <c r="AI32">
        <v>2</v>
      </c>
      <c r="AJ32">
        <v>2</v>
      </c>
      <c r="AK32">
        <v>3</v>
      </c>
      <c r="AL32">
        <v>21</v>
      </c>
      <c r="AM32">
        <v>27</v>
      </c>
      <c r="AN32" t="s">
        <v>384</v>
      </c>
      <c r="AO32">
        <v>5</v>
      </c>
      <c r="AP32">
        <v>1</v>
      </c>
      <c r="AT32">
        <v>12</v>
      </c>
      <c r="AU32">
        <v>20</v>
      </c>
      <c r="AV32">
        <v>30</v>
      </c>
      <c r="AW32">
        <v>11</v>
      </c>
      <c r="AX32">
        <v>21</v>
      </c>
      <c r="AY32">
        <v>2</v>
      </c>
      <c r="AZ32">
        <v>2</v>
      </c>
      <c r="BA32">
        <v>4</v>
      </c>
      <c r="BB32">
        <v>24</v>
      </c>
      <c r="BC32">
        <v>17</v>
      </c>
      <c r="BD32" t="s">
        <v>384</v>
      </c>
      <c r="BE32">
        <v>5</v>
      </c>
      <c r="BF32">
        <v>2</v>
      </c>
      <c r="BJ32">
        <v>12</v>
      </c>
      <c r="BK32">
        <v>20</v>
      </c>
      <c r="BL32">
        <v>30</v>
      </c>
      <c r="BM32">
        <v>11</v>
      </c>
      <c r="BN32">
        <v>21</v>
      </c>
      <c r="CU32">
        <v>502200.67249999999</v>
      </c>
      <c r="CV32">
        <v>5016179.5707999999</v>
      </c>
      <c r="CW32">
        <v>45.29912332</v>
      </c>
      <c r="CX32">
        <v>-92.971939390000003</v>
      </c>
      <c r="CY32" s="472">
        <v>43973.486111111109</v>
      </c>
      <c r="CZ32" t="s">
        <v>391</v>
      </c>
      <c r="DA32" t="s">
        <v>392</v>
      </c>
      <c r="DB32" t="s">
        <v>397</v>
      </c>
      <c r="DC32" t="s">
        <v>398</v>
      </c>
      <c r="DD32" s="18" t="s">
        <v>432</v>
      </c>
    </row>
    <row r="33" spans="1:108" ht="16.5" customHeight="1" x14ac:dyDescent="0.25">
      <c r="A33">
        <v>2</v>
      </c>
      <c r="B33">
        <v>839682</v>
      </c>
      <c r="C33">
        <v>5</v>
      </c>
      <c r="D33">
        <v>121</v>
      </c>
      <c r="E33">
        <v>1.2589999999999999</v>
      </c>
      <c r="F33">
        <v>13</v>
      </c>
      <c r="G33">
        <v>2397388</v>
      </c>
      <c r="J33">
        <v>24</v>
      </c>
      <c r="L33">
        <v>20405016</v>
      </c>
      <c r="M33">
        <v>202330243</v>
      </c>
      <c r="N33">
        <v>8</v>
      </c>
      <c r="O33">
        <v>20</v>
      </c>
      <c r="P33">
        <v>2020</v>
      </c>
      <c r="Q33" t="s">
        <v>386</v>
      </c>
      <c r="R33">
        <v>4</v>
      </c>
      <c r="S33" t="s">
        <v>420</v>
      </c>
      <c r="T33">
        <v>3</v>
      </c>
      <c r="U33">
        <v>0</v>
      </c>
      <c r="V33">
        <v>2</v>
      </c>
      <c r="W33">
        <v>5</v>
      </c>
      <c r="X33">
        <v>10</v>
      </c>
      <c r="Y33">
        <v>3</v>
      </c>
      <c r="Z33">
        <v>4</v>
      </c>
      <c r="AA33">
        <v>1</v>
      </c>
      <c r="AC33">
        <v>1</v>
      </c>
      <c r="AD33">
        <v>98</v>
      </c>
      <c r="AE33" t="s">
        <v>429</v>
      </c>
      <c r="AG33" t="s">
        <v>430</v>
      </c>
      <c r="AH33">
        <v>10</v>
      </c>
      <c r="AI33">
        <v>2</v>
      </c>
      <c r="AJ33">
        <v>2</v>
      </c>
      <c r="AK33">
        <v>2</v>
      </c>
      <c r="AL33">
        <v>20</v>
      </c>
      <c r="AM33">
        <v>27</v>
      </c>
      <c r="AN33" t="s">
        <v>390</v>
      </c>
      <c r="AO33">
        <v>10</v>
      </c>
      <c r="AP33">
        <v>63</v>
      </c>
      <c r="AT33">
        <v>12</v>
      </c>
      <c r="AU33">
        <v>20</v>
      </c>
      <c r="AV33">
        <v>30</v>
      </c>
      <c r="AW33">
        <v>11</v>
      </c>
      <c r="AX33">
        <v>21</v>
      </c>
      <c r="AY33">
        <v>2</v>
      </c>
      <c r="AZ33">
        <v>5</v>
      </c>
      <c r="BA33">
        <v>4</v>
      </c>
      <c r="BB33">
        <v>21</v>
      </c>
      <c r="BC33">
        <v>67</v>
      </c>
      <c r="BD33" t="s">
        <v>384</v>
      </c>
      <c r="BE33">
        <v>5</v>
      </c>
      <c r="BF33">
        <v>1</v>
      </c>
      <c r="BJ33">
        <v>12</v>
      </c>
      <c r="BK33">
        <v>20</v>
      </c>
      <c r="BL33">
        <v>55</v>
      </c>
      <c r="BM33">
        <v>11</v>
      </c>
      <c r="BN33">
        <v>21</v>
      </c>
      <c r="CU33">
        <v>502211.92955718999</v>
      </c>
      <c r="CV33">
        <v>5016172.1361442702</v>
      </c>
      <c r="CW33">
        <v>45.299048300000003</v>
      </c>
      <c r="CX33">
        <v>-92.971788140000001</v>
      </c>
      <c r="CY33" s="472">
        <v>44063.170138888891</v>
      </c>
      <c r="CZ33" t="s">
        <v>391</v>
      </c>
      <c r="DA33" t="s">
        <v>392</v>
      </c>
      <c r="DB33" t="s">
        <v>397</v>
      </c>
      <c r="DC33" t="s">
        <v>398</v>
      </c>
      <c r="DD33" s="18" t="s">
        <v>433</v>
      </c>
    </row>
    <row r="34" spans="1:108" ht="16.5" customHeight="1" x14ac:dyDescent="0.25">
      <c r="A34">
        <v>2</v>
      </c>
      <c r="B34">
        <v>706116</v>
      </c>
      <c r="C34">
        <v>5</v>
      </c>
      <c r="D34">
        <v>121</v>
      </c>
      <c r="E34">
        <v>1.2709999999999999</v>
      </c>
      <c r="F34">
        <v>13</v>
      </c>
      <c r="G34" t="s">
        <v>383</v>
      </c>
      <c r="I34" t="s">
        <v>384</v>
      </c>
      <c r="J34">
        <v>24</v>
      </c>
      <c r="L34">
        <v>19404133</v>
      </c>
      <c r="M34">
        <v>191150132</v>
      </c>
      <c r="N34">
        <v>4</v>
      </c>
      <c r="O34">
        <v>25</v>
      </c>
      <c r="P34">
        <v>2019</v>
      </c>
      <c r="Q34" t="s">
        <v>386</v>
      </c>
      <c r="R34">
        <v>15</v>
      </c>
      <c r="S34">
        <v>98</v>
      </c>
      <c r="T34">
        <v>5</v>
      </c>
      <c r="U34">
        <v>0</v>
      </c>
      <c r="V34">
        <v>2</v>
      </c>
      <c r="W34">
        <v>12</v>
      </c>
      <c r="X34">
        <v>10</v>
      </c>
      <c r="Y34">
        <v>3</v>
      </c>
      <c r="Z34">
        <v>1</v>
      </c>
      <c r="AA34">
        <v>1</v>
      </c>
      <c r="AC34">
        <v>1</v>
      </c>
      <c r="AD34">
        <v>98</v>
      </c>
      <c r="AE34" t="s">
        <v>429</v>
      </c>
      <c r="AG34" t="s">
        <v>430</v>
      </c>
      <c r="AH34">
        <v>7</v>
      </c>
      <c r="AI34">
        <v>2</v>
      </c>
      <c r="AJ34">
        <v>3</v>
      </c>
      <c r="AK34">
        <v>1</v>
      </c>
      <c r="AL34">
        <v>34</v>
      </c>
      <c r="AM34">
        <v>33</v>
      </c>
      <c r="AN34" t="s">
        <v>384</v>
      </c>
      <c r="AO34">
        <v>5</v>
      </c>
      <c r="AP34">
        <v>74</v>
      </c>
      <c r="AT34">
        <v>12</v>
      </c>
      <c r="AU34">
        <v>20</v>
      </c>
      <c r="AV34">
        <v>30</v>
      </c>
      <c r="AW34">
        <v>11</v>
      </c>
      <c r="AX34">
        <v>21</v>
      </c>
      <c r="AY34">
        <v>2</v>
      </c>
      <c r="AZ34">
        <v>5</v>
      </c>
      <c r="BA34">
        <v>1</v>
      </c>
      <c r="BB34">
        <v>21</v>
      </c>
      <c r="BC34">
        <v>36</v>
      </c>
      <c r="BD34" t="s">
        <v>384</v>
      </c>
      <c r="BE34">
        <v>5</v>
      </c>
      <c r="BF34">
        <v>1</v>
      </c>
      <c r="BJ34">
        <v>12</v>
      </c>
      <c r="BK34">
        <v>20</v>
      </c>
      <c r="BL34">
        <v>30</v>
      </c>
      <c r="BM34">
        <v>11</v>
      </c>
      <c r="BN34">
        <v>21</v>
      </c>
      <c r="CU34">
        <v>502227.23009999999</v>
      </c>
      <c r="CV34">
        <v>5016161.0871000001</v>
      </c>
      <c r="CW34">
        <v>45.298956850000003</v>
      </c>
      <c r="CX34">
        <v>-92.971600749999993</v>
      </c>
      <c r="CY34" s="472">
        <v>43580.664583333331</v>
      </c>
      <c r="CZ34" t="s">
        <v>391</v>
      </c>
      <c r="DA34" t="s">
        <v>392</v>
      </c>
      <c r="DB34" t="s">
        <v>397</v>
      </c>
      <c r="DC34" t="s">
        <v>398</v>
      </c>
      <c r="DD34" s="18" t="s">
        <v>434</v>
      </c>
    </row>
    <row r="35" spans="1:108" ht="16.5" customHeight="1" x14ac:dyDescent="0.25">
      <c r="A35">
        <v>3</v>
      </c>
      <c r="B35">
        <v>635926</v>
      </c>
      <c r="C35">
        <v>5</v>
      </c>
      <c r="D35">
        <v>135</v>
      </c>
      <c r="E35">
        <v>8.0000000000000002E-3</v>
      </c>
      <c r="F35">
        <v>13</v>
      </c>
      <c r="G35" t="s">
        <v>383</v>
      </c>
      <c r="I35" t="s">
        <v>384</v>
      </c>
      <c r="J35">
        <v>24</v>
      </c>
      <c r="L35" t="s">
        <v>435</v>
      </c>
      <c r="M35">
        <v>182590182</v>
      </c>
      <c r="N35">
        <v>9</v>
      </c>
      <c r="O35">
        <v>16</v>
      </c>
      <c r="P35">
        <v>2018</v>
      </c>
      <c r="Q35" t="s">
        <v>422</v>
      </c>
      <c r="R35">
        <v>16</v>
      </c>
      <c r="S35" t="s">
        <v>436</v>
      </c>
      <c r="T35">
        <v>5</v>
      </c>
      <c r="U35">
        <v>0</v>
      </c>
      <c r="V35">
        <v>2</v>
      </c>
      <c r="W35">
        <v>10</v>
      </c>
      <c r="X35">
        <v>10</v>
      </c>
      <c r="Y35">
        <v>10</v>
      </c>
      <c r="Z35">
        <v>3</v>
      </c>
      <c r="AA35">
        <v>1</v>
      </c>
      <c r="AC35">
        <v>1</v>
      </c>
      <c r="AD35">
        <v>98</v>
      </c>
      <c r="AE35" t="s">
        <v>437</v>
      </c>
      <c r="AG35" t="s">
        <v>438</v>
      </c>
      <c r="AH35">
        <v>5</v>
      </c>
      <c r="AI35">
        <v>2</v>
      </c>
      <c r="AJ35">
        <v>4</v>
      </c>
      <c r="AK35">
        <v>2</v>
      </c>
      <c r="AL35">
        <v>23</v>
      </c>
      <c r="AM35">
        <v>49</v>
      </c>
      <c r="AN35" t="s">
        <v>384</v>
      </c>
      <c r="AO35">
        <v>5</v>
      </c>
      <c r="AP35">
        <v>10</v>
      </c>
      <c r="AT35">
        <v>12</v>
      </c>
      <c r="AU35">
        <v>23</v>
      </c>
      <c r="AV35">
        <v>30</v>
      </c>
      <c r="AW35">
        <v>11</v>
      </c>
      <c r="AX35">
        <v>21</v>
      </c>
      <c r="AY35">
        <v>2</v>
      </c>
      <c r="AZ35">
        <v>2</v>
      </c>
      <c r="BA35">
        <v>2</v>
      </c>
      <c r="BB35">
        <v>23</v>
      </c>
      <c r="BC35">
        <v>17</v>
      </c>
      <c r="BD35" t="s">
        <v>390</v>
      </c>
      <c r="BE35">
        <v>5</v>
      </c>
      <c r="BF35">
        <v>10</v>
      </c>
      <c r="BJ35">
        <v>12</v>
      </c>
      <c r="BK35">
        <v>23</v>
      </c>
      <c r="BL35">
        <v>30</v>
      </c>
      <c r="BM35">
        <v>11</v>
      </c>
      <c r="BN35">
        <v>21</v>
      </c>
      <c r="CU35">
        <v>504442.11810000002</v>
      </c>
      <c r="CV35">
        <v>5017667.4989999998</v>
      </c>
      <c r="CW35">
        <v>45.312506210000002</v>
      </c>
      <c r="CX35">
        <v>-92.943337700000001</v>
      </c>
      <c r="CY35" s="472">
        <v>43359.677083333336</v>
      </c>
      <c r="CZ35" t="s">
        <v>391</v>
      </c>
      <c r="DA35" t="s">
        <v>392</v>
      </c>
      <c r="DB35" t="s">
        <v>393</v>
      </c>
      <c r="DC35" t="s">
        <v>394</v>
      </c>
      <c r="DD35" t="s">
        <v>439</v>
      </c>
    </row>
    <row r="36" spans="1:108" ht="16.5" customHeight="1" x14ac:dyDescent="0.25">
      <c r="CY36" s="472"/>
    </row>
    <row r="37" spans="1:108" ht="16.5" customHeight="1" x14ac:dyDescent="0.25">
      <c r="A37">
        <v>4</v>
      </c>
      <c r="B37">
        <v>945681</v>
      </c>
      <c r="C37">
        <v>2</v>
      </c>
      <c r="D37">
        <v>8</v>
      </c>
      <c r="E37">
        <v>4.4240000000000004</v>
      </c>
      <c r="F37">
        <v>13</v>
      </c>
      <c r="G37" t="s">
        <v>440</v>
      </c>
      <c r="I37" t="s">
        <v>384</v>
      </c>
      <c r="J37">
        <v>24</v>
      </c>
      <c r="L37">
        <v>21406455</v>
      </c>
      <c r="M37">
        <v>212810122</v>
      </c>
      <c r="N37">
        <v>10</v>
      </c>
      <c r="O37">
        <v>8</v>
      </c>
      <c r="P37">
        <v>2021</v>
      </c>
      <c r="Q37" t="s">
        <v>415</v>
      </c>
      <c r="R37">
        <v>18</v>
      </c>
      <c r="S37" t="s">
        <v>420</v>
      </c>
      <c r="T37">
        <v>4</v>
      </c>
      <c r="U37">
        <v>0</v>
      </c>
      <c r="V37">
        <v>2</v>
      </c>
      <c r="W37">
        <v>13</v>
      </c>
      <c r="X37">
        <v>10</v>
      </c>
      <c r="Y37">
        <v>3</v>
      </c>
      <c r="Z37">
        <v>3</v>
      </c>
      <c r="AA37">
        <v>1</v>
      </c>
      <c r="AC37">
        <v>1</v>
      </c>
      <c r="AD37">
        <v>98</v>
      </c>
      <c r="AE37" t="s">
        <v>388</v>
      </c>
      <c r="AG37" t="s">
        <v>389</v>
      </c>
      <c r="AH37">
        <v>7</v>
      </c>
      <c r="AI37">
        <v>2</v>
      </c>
      <c r="AJ37">
        <v>2</v>
      </c>
      <c r="AK37">
        <v>3</v>
      </c>
      <c r="AL37">
        <v>21</v>
      </c>
      <c r="AM37">
        <v>18</v>
      </c>
      <c r="AN37" t="s">
        <v>390</v>
      </c>
      <c r="AO37">
        <v>5</v>
      </c>
      <c r="AP37">
        <v>1</v>
      </c>
      <c r="AT37">
        <v>12</v>
      </c>
      <c r="AU37">
        <v>20</v>
      </c>
      <c r="AV37">
        <v>30</v>
      </c>
      <c r="AW37">
        <v>11</v>
      </c>
      <c r="AX37">
        <v>21</v>
      </c>
      <c r="AY37">
        <v>2</v>
      </c>
      <c r="AZ37">
        <v>4</v>
      </c>
      <c r="BA37">
        <v>3</v>
      </c>
      <c r="BB37">
        <v>24</v>
      </c>
      <c r="BC37">
        <v>17</v>
      </c>
      <c r="BD37" t="s">
        <v>390</v>
      </c>
      <c r="BE37">
        <v>5</v>
      </c>
      <c r="BF37">
        <v>2</v>
      </c>
      <c r="BJ37">
        <v>12</v>
      </c>
      <c r="BK37">
        <v>20</v>
      </c>
      <c r="BL37">
        <v>30</v>
      </c>
      <c r="BM37">
        <v>11</v>
      </c>
      <c r="BN37">
        <v>21</v>
      </c>
      <c r="CU37">
        <v>505382.40279999998</v>
      </c>
      <c r="CV37">
        <v>5018367.3073000005</v>
      </c>
      <c r="CW37">
        <v>45.318798899999997</v>
      </c>
      <c r="CX37">
        <v>-92.931334480000004</v>
      </c>
      <c r="CY37" s="472">
        <v>44477.768055555556</v>
      </c>
      <c r="CZ37" t="s">
        <v>391</v>
      </c>
      <c r="DA37" t="s">
        <v>392</v>
      </c>
      <c r="DB37" t="s">
        <v>397</v>
      </c>
      <c r="DC37" t="s">
        <v>398</v>
      </c>
      <c r="DD37" t="s">
        <v>441</v>
      </c>
    </row>
    <row r="38" spans="1:108" ht="16.5" customHeight="1" x14ac:dyDescent="0.25">
      <c r="CY38" s="472"/>
      <c r="DD38" s="18"/>
    </row>
    <row r="39" spans="1:108" ht="16.5" customHeight="1" x14ac:dyDescent="0.25">
      <c r="A39">
        <v>4</v>
      </c>
      <c r="B39">
        <v>916258</v>
      </c>
      <c r="C39">
        <v>2</v>
      </c>
      <c r="D39">
        <v>8</v>
      </c>
      <c r="E39">
        <v>4.4580000000000002</v>
      </c>
      <c r="F39">
        <v>13</v>
      </c>
      <c r="G39" t="s">
        <v>440</v>
      </c>
      <c r="I39" t="s">
        <v>384</v>
      </c>
      <c r="J39">
        <v>24</v>
      </c>
      <c r="L39">
        <v>21404116</v>
      </c>
      <c r="M39">
        <v>211860029</v>
      </c>
      <c r="N39">
        <v>7</v>
      </c>
      <c r="O39">
        <v>5</v>
      </c>
      <c r="P39">
        <v>2021</v>
      </c>
      <c r="Q39" t="s">
        <v>400</v>
      </c>
      <c r="R39">
        <v>11</v>
      </c>
      <c r="S39" t="s">
        <v>420</v>
      </c>
      <c r="T39">
        <v>3</v>
      </c>
      <c r="U39">
        <v>0</v>
      </c>
      <c r="V39">
        <v>2</v>
      </c>
      <c r="W39">
        <v>12</v>
      </c>
      <c r="X39">
        <v>10</v>
      </c>
      <c r="Y39">
        <v>10</v>
      </c>
      <c r="Z39">
        <v>1</v>
      </c>
      <c r="AA39">
        <v>1</v>
      </c>
      <c r="AC39">
        <v>1</v>
      </c>
      <c r="AD39">
        <v>98</v>
      </c>
      <c r="AE39" t="s">
        <v>388</v>
      </c>
      <c r="AG39" t="s">
        <v>389</v>
      </c>
      <c r="AH39">
        <v>7</v>
      </c>
      <c r="AI39">
        <v>2</v>
      </c>
      <c r="AJ39">
        <v>3</v>
      </c>
      <c r="AK39">
        <v>4</v>
      </c>
      <c r="AL39">
        <v>34</v>
      </c>
      <c r="AM39">
        <v>58</v>
      </c>
      <c r="AN39" t="s">
        <v>384</v>
      </c>
      <c r="AO39">
        <v>5</v>
      </c>
      <c r="AP39">
        <v>1</v>
      </c>
      <c r="AT39">
        <v>12</v>
      </c>
      <c r="AU39">
        <v>20</v>
      </c>
      <c r="AV39">
        <v>55</v>
      </c>
      <c r="AW39">
        <v>11</v>
      </c>
      <c r="AX39">
        <v>21</v>
      </c>
      <c r="AY39">
        <v>2</v>
      </c>
      <c r="AZ39">
        <v>2</v>
      </c>
      <c r="BA39">
        <v>4</v>
      </c>
      <c r="BB39">
        <v>21</v>
      </c>
      <c r="BC39">
        <v>25</v>
      </c>
      <c r="BD39" t="s">
        <v>384</v>
      </c>
      <c r="BE39">
        <v>5</v>
      </c>
      <c r="BF39">
        <v>74</v>
      </c>
      <c r="BJ39">
        <v>12</v>
      </c>
      <c r="BK39">
        <v>20</v>
      </c>
      <c r="BL39">
        <v>55</v>
      </c>
      <c r="BM39">
        <v>11</v>
      </c>
      <c r="BN39">
        <v>21</v>
      </c>
      <c r="CU39">
        <v>505410.57929999998</v>
      </c>
      <c r="CV39">
        <v>5018413.4835999999</v>
      </c>
      <c r="CW39">
        <v>45.319214340000002</v>
      </c>
      <c r="CX39">
        <v>-92.930974469999995</v>
      </c>
      <c r="CY39" s="472">
        <v>44382.484722222223</v>
      </c>
      <c r="CZ39" t="s">
        <v>391</v>
      </c>
      <c r="DA39" t="s">
        <v>392</v>
      </c>
      <c r="DB39" t="s">
        <v>397</v>
      </c>
      <c r="DC39" t="s">
        <v>398</v>
      </c>
      <c r="DD39" s="18" t="s">
        <v>442</v>
      </c>
    </row>
    <row r="40" spans="1:108" ht="16.5" customHeight="1" x14ac:dyDescent="0.25">
      <c r="CY40" s="472"/>
    </row>
    <row r="41" spans="1:108" ht="16.5" customHeight="1" x14ac:dyDescent="0.25">
      <c r="A41">
        <v>4</v>
      </c>
      <c r="B41">
        <v>933284</v>
      </c>
      <c r="C41">
        <v>2</v>
      </c>
      <c r="D41">
        <v>8</v>
      </c>
      <c r="E41">
        <v>4.4809999999999999</v>
      </c>
      <c r="F41">
        <v>13</v>
      </c>
      <c r="G41" t="s">
        <v>440</v>
      </c>
      <c r="I41" t="s">
        <v>384</v>
      </c>
      <c r="J41">
        <v>24</v>
      </c>
      <c r="L41">
        <v>21404981</v>
      </c>
      <c r="M41">
        <v>212210140</v>
      </c>
      <c r="N41">
        <v>8</v>
      </c>
      <c r="O41">
        <v>9</v>
      </c>
      <c r="P41">
        <v>2021</v>
      </c>
      <c r="Q41" t="s">
        <v>400</v>
      </c>
      <c r="R41">
        <v>13</v>
      </c>
      <c r="S41">
        <v>98</v>
      </c>
      <c r="T41">
        <v>5</v>
      </c>
      <c r="U41">
        <v>0</v>
      </c>
      <c r="V41">
        <v>2</v>
      </c>
      <c r="W41">
        <v>12</v>
      </c>
      <c r="X41">
        <v>10</v>
      </c>
      <c r="Y41">
        <v>2</v>
      </c>
      <c r="Z41">
        <v>1</v>
      </c>
      <c r="AA41">
        <v>1</v>
      </c>
      <c r="AC41">
        <v>1</v>
      </c>
      <c r="AD41">
        <v>98</v>
      </c>
      <c r="AE41" t="s">
        <v>412</v>
      </c>
      <c r="AG41" t="s">
        <v>389</v>
      </c>
      <c r="AH41">
        <v>7</v>
      </c>
      <c r="AI41">
        <v>2</v>
      </c>
      <c r="AJ41">
        <v>3</v>
      </c>
      <c r="AK41">
        <v>4</v>
      </c>
      <c r="AL41">
        <v>34</v>
      </c>
      <c r="AM41">
        <v>51</v>
      </c>
      <c r="AN41" t="s">
        <v>384</v>
      </c>
      <c r="AO41">
        <v>5</v>
      </c>
      <c r="AP41">
        <v>1</v>
      </c>
      <c r="AT41">
        <v>12</v>
      </c>
      <c r="AU41">
        <v>20</v>
      </c>
      <c r="AV41">
        <v>55</v>
      </c>
      <c r="AW41">
        <v>11</v>
      </c>
      <c r="AX41">
        <v>21</v>
      </c>
      <c r="AY41">
        <v>2</v>
      </c>
      <c r="AZ41">
        <v>4</v>
      </c>
      <c r="BA41">
        <v>4</v>
      </c>
      <c r="BB41">
        <v>21</v>
      </c>
      <c r="BC41">
        <v>68</v>
      </c>
      <c r="BD41" t="s">
        <v>390</v>
      </c>
      <c r="BE41">
        <v>5</v>
      </c>
      <c r="BF41">
        <v>74</v>
      </c>
      <c r="BJ41">
        <v>12</v>
      </c>
      <c r="BK41">
        <v>20</v>
      </c>
      <c r="BL41">
        <v>55</v>
      </c>
      <c r="BM41">
        <v>11</v>
      </c>
      <c r="BN41">
        <v>21</v>
      </c>
      <c r="CU41">
        <v>505427.74339999998</v>
      </c>
      <c r="CV41">
        <v>5018447.2313000001</v>
      </c>
      <c r="CW41">
        <v>45.319517980000001</v>
      </c>
      <c r="CX41">
        <v>-92.930755110000007</v>
      </c>
      <c r="CY41" s="472">
        <v>44417.574999999997</v>
      </c>
      <c r="CZ41" t="s">
        <v>391</v>
      </c>
      <c r="DA41" t="s">
        <v>392</v>
      </c>
      <c r="DB41" t="s">
        <v>397</v>
      </c>
      <c r="DC41" t="s">
        <v>398</v>
      </c>
      <c r="DD41" t="s">
        <v>443</v>
      </c>
    </row>
    <row r="42" spans="1:108" ht="16.5" customHeight="1" x14ac:dyDescent="0.25">
      <c r="A42">
        <v>4</v>
      </c>
      <c r="B42">
        <v>934346</v>
      </c>
      <c r="C42">
        <v>2</v>
      </c>
      <c r="D42">
        <v>8</v>
      </c>
      <c r="E42">
        <v>4.4859999999999998</v>
      </c>
      <c r="F42">
        <v>13</v>
      </c>
      <c r="G42" t="s">
        <v>440</v>
      </c>
      <c r="I42" t="s">
        <v>384</v>
      </c>
      <c r="J42">
        <v>24</v>
      </c>
      <c r="L42">
        <v>21405128</v>
      </c>
      <c r="M42">
        <v>212270026</v>
      </c>
      <c r="N42">
        <v>8</v>
      </c>
      <c r="O42">
        <v>15</v>
      </c>
      <c r="P42">
        <v>2021</v>
      </c>
      <c r="Q42" t="s">
        <v>422</v>
      </c>
      <c r="R42">
        <v>10</v>
      </c>
      <c r="S42">
        <v>98</v>
      </c>
      <c r="T42">
        <v>5</v>
      </c>
      <c r="U42">
        <v>0</v>
      </c>
      <c r="V42">
        <v>2</v>
      </c>
      <c r="W42">
        <v>12</v>
      </c>
      <c r="X42">
        <v>10</v>
      </c>
      <c r="Y42">
        <v>2</v>
      </c>
      <c r="Z42">
        <v>1</v>
      </c>
      <c r="AA42">
        <v>1</v>
      </c>
      <c r="AC42">
        <v>1</v>
      </c>
      <c r="AD42">
        <v>98</v>
      </c>
      <c r="AE42" t="s">
        <v>412</v>
      </c>
      <c r="AG42" t="s">
        <v>389</v>
      </c>
      <c r="AH42">
        <v>7</v>
      </c>
      <c r="AI42">
        <v>2</v>
      </c>
      <c r="AJ42">
        <v>4</v>
      </c>
      <c r="AK42">
        <v>4</v>
      </c>
      <c r="AL42">
        <v>34</v>
      </c>
      <c r="AM42">
        <v>51</v>
      </c>
      <c r="AN42" t="s">
        <v>390</v>
      </c>
      <c r="AO42">
        <v>5</v>
      </c>
      <c r="AP42">
        <v>1</v>
      </c>
      <c r="AT42">
        <v>12</v>
      </c>
      <c r="AU42">
        <v>9</v>
      </c>
      <c r="AV42">
        <v>55</v>
      </c>
      <c r="AW42">
        <v>11</v>
      </c>
      <c r="AX42">
        <v>21</v>
      </c>
      <c r="AY42">
        <v>2</v>
      </c>
      <c r="AZ42">
        <v>4</v>
      </c>
      <c r="BA42">
        <v>4</v>
      </c>
      <c r="BB42">
        <v>21</v>
      </c>
      <c r="BC42">
        <v>38</v>
      </c>
      <c r="BD42" t="s">
        <v>384</v>
      </c>
      <c r="BE42">
        <v>5</v>
      </c>
      <c r="BF42">
        <v>74</v>
      </c>
      <c r="BJ42">
        <v>12</v>
      </c>
      <c r="BK42">
        <v>9</v>
      </c>
      <c r="BL42">
        <v>55</v>
      </c>
      <c r="BM42">
        <v>11</v>
      </c>
      <c r="BN42">
        <v>21</v>
      </c>
      <c r="CU42">
        <v>505431.16450000001</v>
      </c>
      <c r="CV42">
        <v>5018453.9577000001</v>
      </c>
      <c r="CW42">
        <v>45.319578499999999</v>
      </c>
      <c r="CX42">
        <v>-92.930711380000005</v>
      </c>
      <c r="CY42" s="472">
        <v>44423.434027777781</v>
      </c>
      <c r="CZ42" t="s">
        <v>391</v>
      </c>
      <c r="DA42" t="s">
        <v>392</v>
      </c>
      <c r="DB42" t="s">
        <v>397</v>
      </c>
      <c r="DC42" t="s">
        <v>398</v>
      </c>
      <c r="DD42" t="s">
        <v>444</v>
      </c>
    </row>
    <row r="43" spans="1:108" ht="16.5" customHeight="1" x14ac:dyDescent="0.25">
      <c r="A43">
        <v>4</v>
      </c>
      <c r="B43">
        <v>835268</v>
      </c>
      <c r="C43">
        <v>2</v>
      </c>
      <c r="D43">
        <v>8</v>
      </c>
      <c r="E43">
        <v>4.53</v>
      </c>
      <c r="F43">
        <v>13</v>
      </c>
      <c r="G43" t="s">
        <v>440</v>
      </c>
      <c r="I43" t="s">
        <v>384</v>
      </c>
      <c r="J43">
        <v>24</v>
      </c>
      <c r="L43">
        <v>20003707</v>
      </c>
      <c r="M43">
        <v>202270059</v>
      </c>
      <c r="N43">
        <v>8</v>
      </c>
      <c r="O43">
        <v>14</v>
      </c>
      <c r="P43">
        <v>2020</v>
      </c>
      <c r="Q43" t="s">
        <v>415</v>
      </c>
      <c r="R43">
        <v>13</v>
      </c>
      <c r="S43">
        <v>98</v>
      </c>
      <c r="T43">
        <v>5</v>
      </c>
      <c r="U43">
        <v>0</v>
      </c>
      <c r="V43">
        <v>2</v>
      </c>
      <c r="W43">
        <v>12</v>
      </c>
      <c r="X43">
        <v>10</v>
      </c>
      <c r="Y43">
        <v>10</v>
      </c>
      <c r="Z43">
        <v>1</v>
      </c>
      <c r="AA43">
        <v>1</v>
      </c>
      <c r="AC43">
        <v>1</v>
      </c>
      <c r="AD43">
        <v>98</v>
      </c>
      <c r="AE43" t="s">
        <v>388</v>
      </c>
      <c r="AG43" t="s">
        <v>389</v>
      </c>
      <c r="AH43">
        <v>7</v>
      </c>
      <c r="AI43">
        <v>2</v>
      </c>
      <c r="AJ43">
        <v>2</v>
      </c>
      <c r="AK43">
        <v>4</v>
      </c>
      <c r="AL43">
        <v>21</v>
      </c>
      <c r="AM43">
        <v>30</v>
      </c>
      <c r="AN43" t="s">
        <v>390</v>
      </c>
      <c r="AO43">
        <v>5</v>
      </c>
      <c r="AP43">
        <v>1</v>
      </c>
      <c r="AT43">
        <v>12</v>
      </c>
      <c r="AU43">
        <v>20</v>
      </c>
      <c r="AV43">
        <v>55</v>
      </c>
      <c r="AW43">
        <v>11</v>
      </c>
      <c r="AX43">
        <v>21</v>
      </c>
      <c r="AY43">
        <v>2</v>
      </c>
      <c r="AZ43">
        <v>3</v>
      </c>
      <c r="BA43">
        <v>4</v>
      </c>
      <c r="BB43">
        <v>21</v>
      </c>
      <c r="BC43">
        <v>21</v>
      </c>
      <c r="BD43" t="s">
        <v>384</v>
      </c>
      <c r="BE43">
        <v>5</v>
      </c>
      <c r="BF43">
        <v>1</v>
      </c>
      <c r="BJ43">
        <v>12</v>
      </c>
      <c r="BK43">
        <v>20</v>
      </c>
      <c r="BL43">
        <v>55</v>
      </c>
      <c r="BM43">
        <v>11</v>
      </c>
      <c r="BN43">
        <v>21</v>
      </c>
      <c r="CU43">
        <v>505459.77149999997</v>
      </c>
      <c r="CV43">
        <v>5018518.8147</v>
      </c>
      <c r="CW43">
        <v>45.320162089999997</v>
      </c>
      <c r="CX43">
        <v>-92.930345669999994</v>
      </c>
      <c r="CY43" s="472">
        <v>44057.578472222223</v>
      </c>
      <c r="CZ43" t="s">
        <v>391</v>
      </c>
      <c r="DA43" t="s">
        <v>392</v>
      </c>
      <c r="DB43" t="s">
        <v>445</v>
      </c>
      <c r="DC43" t="s">
        <v>394</v>
      </c>
      <c r="DD43" s="18" t="s">
        <v>446</v>
      </c>
    </row>
    <row r="44" spans="1:108" ht="16.5" customHeight="1" x14ac:dyDescent="0.25">
      <c r="A44">
        <v>4</v>
      </c>
      <c r="B44">
        <v>664671</v>
      </c>
      <c r="C44">
        <v>2</v>
      </c>
      <c r="D44">
        <v>8</v>
      </c>
      <c r="E44">
        <v>4.5380000000000003</v>
      </c>
      <c r="F44">
        <v>13</v>
      </c>
      <c r="G44" t="s">
        <v>440</v>
      </c>
      <c r="I44" t="s">
        <v>384</v>
      </c>
      <c r="J44">
        <v>24</v>
      </c>
      <c r="L44">
        <v>18410844</v>
      </c>
      <c r="M44">
        <v>183350164</v>
      </c>
      <c r="N44">
        <v>12</v>
      </c>
      <c r="O44">
        <v>1</v>
      </c>
      <c r="P44">
        <v>2018</v>
      </c>
      <c r="Q44" t="s">
        <v>405</v>
      </c>
      <c r="R44">
        <v>16</v>
      </c>
      <c r="S44">
        <v>98</v>
      </c>
      <c r="T44">
        <v>5</v>
      </c>
      <c r="U44">
        <v>0</v>
      </c>
      <c r="V44">
        <v>2</v>
      </c>
      <c r="W44">
        <v>12</v>
      </c>
      <c r="X44">
        <v>10</v>
      </c>
      <c r="Y44">
        <v>2</v>
      </c>
      <c r="Z44">
        <v>6</v>
      </c>
      <c r="AA44">
        <v>4</v>
      </c>
      <c r="AC44">
        <v>3</v>
      </c>
      <c r="AD44">
        <v>98</v>
      </c>
      <c r="AE44" t="s">
        <v>388</v>
      </c>
      <c r="AG44" t="s">
        <v>389</v>
      </c>
      <c r="AH44">
        <v>7</v>
      </c>
      <c r="AI44">
        <v>2</v>
      </c>
      <c r="AJ44">
        <v>4</v>
      </c>
      <c r="AK44">
        <v>4</v>
      </c>
      <c r="AL44">
        <v>21</v>
      </c>
      <c r="AM44">
        <v>60</v>
      </c>
      <c r="AN44" t="s">
        <v>384</v>
      </c>
      <c r="AO44">
        <v>5</v>
      </c>
      <c r="AP44">
        <v>71</v>
      </c>
      <c r="AT44">
        <v>12</v>
      </c>
      <c r="AU44">
        <v>9</v>
      </c>
      <c r="AV44">
        <v>55</v>
      </c>
      <c r="AW44">
        <v>11</v>
      </c>
      <c r="AX44">
        <v>21</v>
      </c>
      <c r="AY44">
        <v>2</v>
      </c>
      <c r="AZ44">
        <v>3</v>
      </c>
      <c r="BA44">
        <v>4</v>
      </c>
      <c r="BB44">
        <v>21</v>
      </c>
      <c r="BC44">
        <v>54</v>
      </c>
      <c r="BD44" t="s">
        <v>384</v>
      </c>
      <c r="BE44">
        <v>5</v>
      </c>
      <c r="BF44">
        <v>1</v>
      </c>
      <c r="BJ44">
        <v>12</v>
      </c>
      <c r="BK44">
        <v>9</v>
      </c>
      <c r="BL44">
        <v>55</v>
      </c>
      <c r="BM44">
        <v>11</v>
      </c>
      <c r="BN44">
        <v>21</v>
      </c>
      <c r="CU44">
        <v>505465.10090000002</v>
      </c>
      <c r="CV44">
        <v>5018531.1458000001</v>
      </c>
      <c r="CW44">
        <v>45.320273039999996</v>
      </c>
      <c r="CX44">
        <v>-92.930277540000006</v>
      </c>
      <c r="CY44" s="472">
        <v>43435.69027777778</v>
      </c>
      <c r="CZ44" t="s">
        <v>391</v>
      </c>
      <c r="DA44" t="s">
        <v>392</v>
      </c>
      <c r="DB44" t="s">
        <v>397</v>
      </c>
      <c r="DC44" t="s">
        <v>398</v>
      </c>
      <c r="DD44" s="18" t="s">
        <v>447</v>
      </c>
    </row>
    <row r="45" spans="1:108" ht="16.5" customHeight="1" x14ac:dyDescent="0.25">
      <c r="CY45" s="472"/>
      <c r="DD45" s="18"/>
    </row>
    <row r="46" spans="1:108" ht="16.5" customHeight="1" x14ac:dyDescent="0.25">
      <c r="A46">
        <v>4</v>
      </c>
      <c r="B46">
        <v>767555</v>
      </c>
      <c r="C46">
        <v>4</v>
      </c>
      <c r="D46">
        <v>23</v>
      </c>
      <c r="E46">
        <v>5.0000000000000001E-3</v>
      </c>
      <c r="F46">
        <v>13</v>
      </c>
      <c r="G46" t="s">
        <v>440</v>
      </c>
      <c r="I46" t="s">
        <v>384</v>
      </c>
      <c r="J46">
        <v>24</v>
      </c>
      <c r="L46">
        <v>19005888</v>
      </c>
      <c r="M46">
        <v>193310583</v>
      </c>
      <c r="N46">
        <v>11</v>
      </c>
      <c r="O46">
        <v>27</v>
      </c>
      <c r="P46">
        <v>2019</v>
      </c>
      <c r="Q46" t="s">
        <v>396</v>
      </c>
      <c r="R46">
        <v>6</v>
      </c>
      <c r="S46" t="s">
        <v>448</v>
      </c>
      <c r="T46">
        <v>5</v>
      </c>
      <c r="U46">
        <v>0</v>
      </c>
      <c r="V46">
        <v>2</v>
      </c>
      <c r="W46">
        <v>12</v>
      </c>
      <c r="X46">
        <v>10</v>
      </c>
      <c r="Y46">
        <v>3</v>
      </c>
      <c r="Z46">
        <v>2</v>
      </c>
      <c r="AA46">
        <v>3</v>
      </c>
      <c r="AB46">
        <v>5</v>
      </c>
      <c r="AC46">
        <v>5</v>
      </c>
      <c r="AD46">
        <v>98</v>
      </c>
      <c r="AE46" t="s">
        <v>449</v>
      </c>
      <c r="AG46" t="s">
        <v>450</v>
      </c>
      <c r="AH46">
        <v>7</v>
      </c>
      <c r="AI46">
        <v>2</v>
      </c>
      <c r="AJ46">
        <v>3</v>
      </c>
      <c r="AK46">
        <v>1</v>
      </c>
      <c r="AL46">
        <v>21</v>
      </c>
      <c r="AM46">
        <v>21</v>
      </c>
      <c r="AN46" t="s">
        <v>384</v>
      </c>
      <c r="AO46">
        <v>5</v>
      </c>
      <c r="AP46">
        <v>1</v>
      </c>
      <c r="AT46">
        <v>12</v>
      </c>
      <c r="AU46">
        <v>20</v>
      </c>
      <c r="AV46">
        <v>40</v>
      </c>
      <c r="AW46">
        <v>11</v>
      </c>
      <c r="AX46">
        <v>21</v>
      </c>
      <c r="AY46">
        <v>2</v>
      </c>
      <c r="AZ46">
        <v>4</v>
      </c>
      <c r="BA46">
        <v>1</v>
      </c>
      <c r="BB46">
        <v>21</v>
      </c>
      <c r="BC46">
        <v>34</v>
      </c>
      <c r="BD46" t="s">
        <v>390</v>
      </c>
      <c r="BE46">
        <v>5</v>
      </c>
      <c r="BF46">
        <v>1</v>
      </c>
      <c r="BJ46">
        <v>12</v>
      </c>
      <c r="BK46">
        <v>20</v>
      </c>
      <c r="BL46">
        <v>40</v>
      </c>
      <c r="BM46">
        <v>11</v>
      </c>
      <c r="BN46">
        <v>21</v>
      </c>
      <c r="CU46">
        <v>505390.33689999999</v>
      </c>
      <c r="CV46">
        <v>5018363.9159000004</v>
      </c>
      <c r="CW46">
        <v>45.318768310000003</v>
      </c>
      <c r="CX46">
        <v>-92.931233280000001</v>
      </c>
      <c r="CY46" s="472">
        <v>43796.288194444445</v>
      </c>
      <c r="CZ46" t="s">
        <v>391</v>
      </c>
      <c r="DA46" t="s">
        <v>392</v>
      </c>
      <c r="DB46" t="s">
        <v>445</v>
      </c>
      <c r="DC46" t="s">
        <v>394</v>
      </c>
      <c r="DD46" t="s">
        <v>451</v>
      </c>
    </row>
    <row r="47" spans="1:108" ht="16.5" customHeight="1" x14ac:dyDescent="0.25">
      <c r="A47">
        <v>4</v>
      </c>
      <c r="B47">
        <v>774815</v>
      </c>
      <c r="C47">
        <v>4</v>
      </c>
      <c r="D47">
        <v>23</v>
      </c>
      <c r="E47">
        <v>1.4E-2</v>
      </c>
      <c r="F47">
        <v>13</v>
      </c>
      <c r="G47" t="s">
        <v>440</v>
      </c>
      <c r="I47" t="s">
        <v>384</v>
      </c>
      <c r="J47">
        <v>24</v>
      </c>
      <c r="L47">
        <v>19006378</v>
      </c>
      <c r="M47">
        <v>193620161</v>
      </c>
      <c r="N47">
        <v>12</v>
      </c>
      <c r="O47">
        <v>28</v>
      </c>
      <c r="P47">
        <v>2019</v>
      </c>
      <c r="Q47" t="s">
        <v>405</v>
      </c>
      <c r="R47">
        <v>8</v>
      </c>
      <c r="S47">
        <v>98</v>
      </c>
      <c r="T47">
        <v>5</v>
      </c>
      <c r="U47">
        <v>0</v>
      </c>
      <c r="V47">
        <v>3</v>
      </c>
      <c r="W47">
        <v>90</v>
      </c>
      <c r="X47">
        <v>10</v>
      </c>
      <c r="Y47">
        <v>3</v>
      </c>
      <c r="Z47">
        <v>1</v>
      </c>
      <c r="AA47">
        <v>3</v>
      </c>
      <c r="AC47">
        <v>5</v>
      </c>
      <c r="AD47">
        <v>98</v>
      </c>
      <c r="AE47" t="s">
        <v>449</v>
      </c>
      <c r="AG47" t="s">
        <v>450</v>
      </c>
      <c r="AH47">
        <v>90</v>
      </c>
      <c r="AI47">
        <v>2</v>
      </c>
      <c r="AJ47">
        <v>2</v>
      </c>
      <c r="AK47">
        <v>4</v>
      </c>
      <c r="AL47">
        <v>90</v>
      </c>
      <c r="AM47">
        <v>45</v>
      </c>
      <c r="AN47" t="s">
        <v>390</v>
      </c>
      <c r="AO47">
        <v>5</v>
      </c>
      <c r="AP47">
        <v>1</v>
      </c>
      <c r="AT47">
        <v>12</v>
      </c>
      <c r="AU47">
        <v>20</v>
      </c>
      <c r="AV47">
        <v>45</v>
      </c>
      <c r="AW47">
        <v>13</v>
      </c>
      <c r="AX47">
        <v>21</v>
      </c>
      <c r="AY47">
        <v>2</v>
      </c>
      <c r="AZ47">
        <v>4</v>
      </c>
      <c r="BA47">
        <v>4</v>
      </c>
      <c r="BB47">
        <v>34</v>
      </c>
      <c r="BC47">
        <v>53</v>
      </c>
      <c r="BD47" t="s">
        <v>384</v>
      </c>
      <c r="BE47">
        <v>5</v>
      </c>
      <c r="BF47">
        <v>1</v>
      </c>
      <c r="BJ47">
        <v>12</v>
      </c>
      <c r="BK47">
        <v>20</v>
      </c>
      <c r="BL47">
        <v>45</v>
      </c>
      <c r="BM47">
        <v>13</v>
      </c>
      <c r="BN47">
        <v>21</v>
      </c>
      <c r="BO47">
        <v>2</v>
      </c>
      <c r="BP47">
        <v>49</v>
      </c>
      <c r="BQ47">
        <v>4</v>
      </c>
      <c r="BR47">
        <v>21</v>
      </c>
      <c r="BS47">
        <v>55</v>
      </c>
      <c r="BT47" t="s">
        <v>384</v>
      </c>
      <c r="BU47">
        <v>5</v>
      </c>
      <c r="BV47">
        <v>1</v>
      </c>
      <c r="BZ47">
        <v>12</v>
      </c>
      <c r="CA47">
        <v>20</v>
      </c>
      <c r="CB47">
        <v>45</v>
      </c>
      <c r="CC47">
        <v>13</v>
      </c>
      <c r="CD47">
        <v>21</v>
      </c>
      <c r="CU47">
        <v>505403.30609999999</v>
      </c>
      <c r="CV47">
        <v>5018357.1266999999</v>
      </c>
      <c r="CW47">
        <v>45.318707099999997</v>
      </c>
      <c r="CX47">
        <v>-92.931067880000001</v>
      </c>
      <c r="CY47" s="472">
        <v>43827.365972222222</v>
      </c>
      <c r="CZ47" t="s">
        <v>391</v>
      </c>
      <c r="DA47" t="s">
        <v>392</v>
      </c>
      <c r="DB47" t="s">
        <v>445</v>
      </c>
      <c r="DC47" t="s">
        <v>394</v>
      </c>
      <c r="DD47" t="s">
        <v>452</v>
      </c>
    </row>
    <row r="48" spans="1:108" ht="16.5" customHeight="1" x14ac:dyDescent="0.25">
      <c r="A48">
        <v>4</v>
      </c>
      <c r="B48">
        <v>747332</v>
      </c>
      <c r="C48">
        <v>5</v>
      </c>
      <c r="D48">
        <v>126</v>
      </c>
      <c r="E48">
        <v>3.0000000000000001E-3</v>
      </c>
      <c r="F48">
        <v>13</v>
      </c>
      <c r="G48" t="s">
        <v>440</v>
      </c>
      <c r="I48" t="s">
        <v>384</v>
      </c>
      <c r="J48">
        <v>24</v>
      </c>
      <c r="L48">
        <v>19408165</v>
      </c>
      <c r="M48">
        <v>192570078</v>
      </c>
      <c r="N48">
        <v>9</v>
      </c>
      <c r="O48">
        <v>14</v>
      </c>
      <c r="P48">
        <v>2019</v>
      </c>
      <c r="Q48" t="s">
        <v>405</v>
      </c>
      <c r="R48">
        <v>14</v>
      </c>
      <c r="S48">
        <v>98</v>
      </c>
      <c r="T48">
        <v>4</v>
      </c>
      <c r="U48">
        <v>0</v>
      </c>
      <c r="V48">
        <v>2</v>
      </c>
      <c r="W48">
        <v>5</v>
      </c>
      <c r="X48">
        <v>10</v>
      </c>
      <c r="Y48">
        <v>3</v>
      </c>
      <c r="Z48">
        <v>1</v>
      </c>
      <c r="AA48">
        <v>2</v>
      </c>
      <c r="AC48">
        <v>2</v>
      </c>
      <c r="AD48">
        <v>98</v>
      </c>
      <c r="AE48" t="s">
        <v>453</v>
      </c>
      <c r="AG48" t="s">
        <v>454</v>
      </c>
      <c r="AH48">
        <v>9</v>
      </c>
      <c r="AI48">
        <v>2</v>
      </c>
      <c r="AJ48">
        <v>2</v>
      </c>
      <c r="AK48">
        <v>3</v>
      </c>
      <c r="AL48">
        <v>21</v>
      </c>
      <c r="AM48">
        <v>52</v>
      </c>
      <c r="AN48" t="s">
        <v>390</v>
      </c>
      <c r="AO48">
        <v>5</v>
      </c>
      <c r="AP48">
        <v>1</v>
      </c>
      <c r="AT48">
        <v>12</v>
      </c>
      <c r="AU48">
        <v>20</v>
      </c>
      <c r="AV48">
        <v>40</v>
      </c>
      <c r="AW48">
        <v>11</v>
      </c>
      <c r="AX48">
        <v>23</v>
      </c>
      <c r="AY48">
        <v>2</v>
      </c>
      <c r="AZ48">
        <v>2</v>
      </c>
      <c r="BA48">
        <v>4</v>
      </c>
      <c r="BB48">
        <v>24</v>
      </c>
      <c r="BC48">
        <v>37</v>
      </c>
      <c r="BD48" t="s">
        <v>390</v>
      </c>
      <c r="BE48">
        <v>5</v>
      </c>
      <c r="BF48">
        <v>2</v>
      </c>
      <c r="BG48">
        <v>10</v>
      </c>
      <c r="BJ48">
        <v>12</v>
      </c>
      <c r="BK48">
        <v>20</v>
      </c>
      <c r="BL48">
        <v>40</v>
      </c>
      <c r="BM48">
        <v>11</v>
      </c>
      <c r="BN48">
        <v>23</v>
      </c>
      <c r="CU48">
        <v>505378.74479999999</v>
      </c>
      <c r="CV48">
        <v>5018371.3279999997</v>
      </c>
      <c r="CW48">
        <v>45.318835120000003</v>
      </c>
      <c r="CX48">
        <v>-92.931381099999996</v>
      </c>
      <c r="CY48" s="472">
        <v>43722.619444444441</v>
      </c>
      <c r="CZ48" t="s">
        <v>391</v>
      </c>
      <c r="DA48" t="s">
        <v>392</v>
      </c>
      <c r="DB48" t="s">
        <v>397</v>
      </c>
      <c r="DC48" t="s">
        <v>398</v>
      </c>
      <c r="DD48" s="18" t="s">
        <v>455</v>
      </c>
    </row>
    <row r="49" spans="1:108" ht="16.5" customHeight="1" x14ac:dyDescent="0.25">
      <c r="A49">
        <v>4</v>
      </c>
      <c r="B49">
        <v>755950</v>
      </c>
      <c r="C49">
        <v>5</v>
      </c>
      <c r="D49">
        <v>126</v>
      </c>
      <c r="E49">
        <v>3.0000000000000001E-3</v>
      </c>
      <c r="F49">
        <v>13</v>
      </c>
      <c r="G49" t="s">
        <v>440</v>
      </c>
      <c r="I49" t="s">
        <v>384</v>
      </c>
      <c r="J49">
        <v>24</v>
      </c>
      <c r="L49">
        <v>19409248</v>
      </c>
      <c r="M49">
        <v>192940010</v>
      </c>
      <c r="N49">
        <v>10</v>
      </c>
      <c r="O49">
        <v>21</v>
      </c>
      <c r="P49">
        <v>2019</v>
      </c>
      <c r="Q49" t="s">
        <v>400</v>
      </c>
      <c r="R49">
        <v>6</v>
      </c>
      <c r="S49">
        <v>98</v>
      </c>
      <c r="T49">
        <v>5</v>
      </c>
      <c r="U49">
        <v>0</v>
      </c>
      <c r="V49">
        <v>2</v>
      </c>
      <c r="W49">
        <v>5</v>
      </c>
      <c r="X49">
        <v>10</v>
      </c>
      <c r="Y49">
        <v>3</v>
      </c>
      <c r="Z49">
        <v>4</v>
      </c>
      <c r="AA49">
        <v>2</v>
      </c>
      <c r="AC49">
        <v>2</v>
      </c>
      <c r="AD49">
        <v>98</v>
      </c>
      <c r="AE49" t="s">
        <v>453</v>
      </c>
      <c r="AG49" t="s">
        <v>454</v>
      </c>
      <c r="AH49">
        <v>9</v>
      </c>
      <c r="AI49">
        <v>2</v>
      </c>
      <c r="AJ49">
        <v>3</v>
      </c>
      <c r="AK49">
        <v>3</v>
      </c>
      <c r="AL49">
        <v>21</v>
      </c>
      <c r="AM49">
        <v>32</v>
      </c>
      <c r="AN49" t="s">
        <v>384</v>
      </c>
      <c r="AO49">
        <v>5</v>
      </c>
      <c r="AP49">
        <v>1</v>
      </c>
      <c r="AT49">
        <v>12</v>
      </c>
      <c r="AU49">
        <v>20</v>
      </c>
      <c r="AV49">
        <v>40</v>
      </c>
      <c r="AW49">
        <v>11</v>
      </c>
      <c r="AX49">
        <v>23</v>
      </c>
      <c r="AY49">
        <v>2</v>
      </c>
      <c r="AZ49">
        <v>2</v>
      </c>
      <c r="BA49">
        <v>4</v>
      </c>
      <c r="BB49">
        <v>24</v>
      </c>
      <c r="BC49">
        <v>31</v>
      </c>
      <c r="BD49" t="s">
        <v>384</v>
      </c>
      <c r="BE49">
        <v>5</v>
      </c>
      <c r="BF49">
        <v>2</v>
      </c>
      <c r="BG49">
        <v>4</v>
      </c>
      <c r="BJ49">
        <v>12</v>
      </c>
      <c r="BK49">
        <v>20</v>
      </c>
      <c r="BL49">
        <v>40</v>
      </c>
      <c r="BM49">
        <v>11</v>
      </c>
      <c r="BN49">
        <v>23</v>
      </c>
      <c r="CU49">
        <v>505378.74479999999</v>
      </c>
      <c r="CV49">
        <v>5018371.3279999997</v>
      </c>
      <c r="CW49">
        <v>45.318835120000003</v>
      </c>
      <c r="CX49">
        <v>-92.931381099999996</v>
      </c>
      <c r="CY49" s="472">
        <v>43759.258333333331</v>
      </c>
      <c r="CZ49" t="s">
        <v>391</v>
      </c>
      <c r="DA49" t="s">
        <v>392</v>
      </c>
      <c r="DB49" t="s">
        <v>397</v>
      </c>
      <c r="DC49" t="s">
        <v>398</v>
      </c>
      <c r="DD49" s="18" t="s">
        <v>456</v>
      </c>
    </row>
    <row r="50" spans="1:108" ht="16.5" customHeight="1" x14ac:dyDescent="0.25">
      <c r="A50">
        <v>4</v>
      </c>
      <c r="B50">
        <v>887929</v>
      </c>
      <c r="C50">
        <v>5</v>
      </c>
      <c r="D50">
        <v>126</v>
      </c>
      <c r="E50">
        <v>5.0000000000000001E-3</v>
      </c>
      <c r="F50">
        <v>13</v>
      </c>
      <c r="G50" t="s">
        <v>440</v>
      </c>
      <c r="I50" t="s">
        <v>384</v>
      </c>
      <c r="J50">
        <v>24</v>
      </c>
      <c r="L50">
        <v>21400637</v>
      </c>
      <c r="M50">
        <v>210340111</v>
      </c>
      <c r="N50">
        <v>2</v>
      </c>
      <c r="O50">
        <v>3</v>
      </c>
      <c r="P50">
        <v>2021</v>
      </c>
      <c r="Q50" t="s">
        <v>396</v>
      </c>
      <c r="R50">
        <v>15</v>
      </c>
      <c r="S50">
        <v>98</v>
      </c>
      <c r="T50">
        <v>5</v>
      </c>
      <c r="U50">
        <v>0</v>
      </c>
      <c r="V50">
        <v>2</v>
      </c>
      <c r="W50">
        <v>5</v>
      </c>
      <c r="X50">
        <v>10</v>
      </c>
      <c r="Y50">
        <v>3</v>
      </c>
      <c r="Z50">
        <v>1</v>
      </c>
      <c r="AA50">
        <v>1</v>
      </c>
      <c r="AC50">
        <v>1</v>
      </c>
      <c r="AD50">
        <v>98</v>
      </c>
      <c r="AE50" t="s">
        <v>457</v>
      </c>
      <c r="AG50" t="s">
        <v>454</v>
      </c>
      <c r="AH50">
        <v>9</v>
      </c>
      <c r="AI50">
        <v>2</v>
      </c>
      <c r="AJ50">
        <v>4</v>
      </c>
      <c r="AK50">
        <v>3</v>
      </c>
      <c r="AL50">
        <v>24</v>
      </c>
      <c r="AM50">
        <v>16</v>
      </c>
      <c r="AN50" t="s">
        <v>390</v>
      </c>
      <c r="AO50">
        <v>5</v>
      </c>
      <c r="AP50">
        <v>63</v>
      </c>
      <c r="AT50">
        <v>13</v>
      </c>
      <c r="AU50">
        <v>20</v>
      </c>
      <c r="AV50">
        <v>55</v>
      </c>
      <c r="AW50">
        <v>11</v>
      </c>
      <c r="AX50">
        <v>21</v>
      </c>
      <c r="AY50">
        <v>1</v>
      </c>
      <c r="AZ50">
        <v>2</v>
      </c>
      <c r="BA50">
        <v>4</v>
      </c>
      <c r="BB50">
        <v>21</v>
      </c>
      <c r="BC50">
        <v>24</v>
      </c>
      <c r="BD50" t="s">
        <v>390</v>
      </c>
      <c r="BE50">
        <v>5</v>
      </c>
      <c r="BF50">
        <v>1</v>
      </c>
      <c r="BJ50">
        <v>13</v>
      </c>
      <c r="BK50">
        <v>20</v>
      </c>
      <c r="BL50">
        <v>55</v>
      </c>
      <c r="BM50">
        <v>11</v>
      </c>
      <c r="BN50">
        <v>21</v>
      </c>
      <c r="CU50">
        <v>505376.65210000001</v>
      </c>
      <c r="CV50">
        <v>5018373.1185999997</v>
      </c>
      <c r="CW50">
        <v>45.318851260000002</v>
      </c>
      <c r="CX50">
        <v>-92.931407789999994</v>
      </c>
      <c r="CY50" s="472">
        <v>44230.660416666666</v>
      </c>
      <c r="CZ50" t="s">
        <v>391</v>
      </c>
      <c r="DA50" t="s">
        <v>392</v>
      </c>
      <c r="DB50" t="s">
        <v>397</v>
      </c>
      <c r="DC50" t="s">
        <v>398</v>
      </c>
      <c r="DD50" s="18" t="s">
        <v>458</v>
      </c>
    </row>
    <row r="51" spans="1:108" ht="16.5" customHeight="1" x14ac:dyDescent="0.25">
      <c r="CY51" s="472"/>
    </row>
    <row r="52" spans="1:108" ht="16.5" customHeight="1" x14ac:dyDescent="0.25">
      <c r="A52">
        <v>7</v>
      </c>
      <c r="B52">
        <v>535726</v>
      </c>
      <c r="C52">
        <v>2</v>
      </c>
      <c r="D52">
        <v>8</v>
      </c>
      <c r="E52">
        <v>7.2770000000000001</v>
      </c>
      <c r="F52">
        <v>13</v>
      </c>
      <c r="G52" t="s">
        <v>440</v>
      </c>
      <c r="I52" t="s">
        <v>384</v>
      </c>
      <c r="J52">
        <v>24</v>
      </c>
      <c r="L52">
        <v>18400552</v>
      </c>
      <c r="M52">
        <v>180120514</v>
      </c>
      <c r="N52">
        <v>1</v>
      </c>
      <c r="O52">
        <v>12</v>
      </c>
      <c r="P52">
        <v>2018</v>
      </c>
      <c r="Q52" t="s">
        <v>415</v>
      </c>
      <c r="R52">
        <v>15</v>
      </c>
      <c r="S52" t="s">
        <v>420</v>
      </c>
      <c r="T52">
        <v>3</v>
      </c>
      <c r="U52">
        <v>0</v>
      </c>
      <c r="V52">
        <v>3</v>
      </c>
      <c r="W52">
        <v>13</v>
      </c>
      <c r="X52">
        <v>10</v>
      </c>
      <c r="Y52">
        <v>10</v>
      </c>
      <c r="Z52">
        <v>1</v>
      </c>
      <c r="AA52">
        <v>1</v>
      </c>
      <c r="AC52">
        <v>5</v>
      </c>
      <c r="AD52">
        <v>98</v>
      </c>
      <c r="AE52" t="s">
        <v>388</v>
      </c>
      <c r="AG52" t="s">
        <v>389</v>
      </c>
      <c r="AH52">
        <v>8</v>
      </c>
      <c r="AI52">
        <v>2</v>
      </c>
      <c r="AJ52">
        <v>2</v>
      </c>
      <c r="AK52">
        <v>3</v>
      </c>
      <c r="AL52">
        <v>26</v>
      </c>
      <c r="AM52">
        <v>18</v>
      </c>
      <c r="AN52" t="s">
        <v>384</v>
      </c>
      <c r="AO52">
        <v>5</v>
      </c>
      <c r="AP52">
        <v>70</v>
      </c>
      <c r="AQ52">
        <v>68</v>
      </c>
      <c r="AT52">
        <v>12</v>
      </c>
      <c r="AU52">
        <v>20</v>
      </c>
      <c r="AV52">
        <v>55</v>
      </c>
      <c r="AW52">
        <v>11</v>
      </c>
      <c r="AX52">
        <v>21</v>
      </c>
      <c r="AY52">
        <v>2</v>
      </c>
      <c r="AZ52">
        <v>3</v>
      </c>
      <c r="BA52">
        <v>4</v>
      </c>
      <c r="BB52">
        <v>21</v>
      </c>
      <c r="BC52">
        <v>40</v>
      </c>
      <c r="BD52" t="s">
        <v>384</v>
      </c>
      <c r="BE52">
        <v>5</v>
      </c>
      <c r="BF52">
        <v>1</v>
      </c>
      <c r="BJ52">
        <v>12</v>
      </c>
      <c r="BK52">
        <v>20</v>
      </c>
      <c r="BL52">
        <v>55</v>
      </c>
      <c r="BM52">
        <v>11</v>
      </c>
      <c r="BN52">
        <v>21</v>
      </c>
      <c r="BO52">
        <v>2</v>
      </c>
      <c r="BP52">
        <v>4</v>
      </c>
      <c r="BQ52">
        <v>3</v>
      </c>
      <c r="BR52">
        <v>34</v>
      </c>
      <c r="BS52">
        <v>46</v>
      </c>
      <c r="BT52" t="s">
        <v>384</v>
      </c>
      <c r="BU52">
        <v>5</v>
      </c>
      <c r="BV52">
        <v>1</v>
      </c>
      <c r="BZ52">
        <v>12</v>
      </c>
      <c r="CA52">
        <v>20</v>
      </c>
      <c r="CB52">
        <v>55</v>
      </c>
      <c r="CC52">
        <v>11</v>
      </c>
      <c r="CD52">
        <v>21</v>
      </c>
      <c r="CU52">
        <v>507024.98259999999</v>
      </c>
      <c r="CV52">
        <v>5022500.3106000004</v>
      </c>
      <c r="CW52">
        <v>45.355987130000003</v>
      </c>
      <c r="CX52">
        <v>-92.910318369999999</v>
      </c>
      <c r="CY52" s="472">
        <v>43112.651388888888</v>
      </c>
      <c r="CZ52" t="s">
        <v>391</v>
      </c>
      <c r="DA52" t="s">
        <v>392</v>
      </c>
      <c r="DB52" t="s">
        <v>397</v>
      </c>
      <c r="DC52" t="s">
        <v>398</v>
      </c>
      <c r="DD52" t="s">
        <v>459</v>
      </c>
    </row>
    <row r="53" spans="1:108" ht="16.5" customHeight="1" x14ac:dyDescent="0.25">
      <c r="A53">
        <v>7</v>
      </c>
      <c r="B53">
        <v>621427</v>
      </c>
      <c r="C53">
        <v>2</v>
      </c>
      <c r="D53">
        <v>8</v>
      </c>
      <c r="E53">
        <v>7.2779999999999996</v>
      </c>
      <c r="F53">
        <v>13</v>
      </c>
      <c r="G53" t="s">
        <v>440</v>
      </c>
      <c r="I53" t="s">
        <v>384</v>
      </c>
      <c r="J53">
        <v>24</v>
      </c>
      <c r="L53">
        <v>18406622</v>
      </c>
      <c r="M53">
        <v>181980065</v>
      </c>
      <c r="N53">
        <v>7</v>
      </c>
      <c r="O53">
        <v>17</v>
      </c>
      <c r="P53">
        <v>2018</v>
      </c>
      <c r="Q53" t="s">
        <v>402</v>
      </c>
      <c r="R53">
        <v>12</v>
      </c>
      <c r="S53">
        <v>98</v>
      </c>
      <c r="T53">
        <v>5</v>
      </c>
      <c r="U53">
        <v>0</v>
      </c>
      <c r="V53">
        <v>2</v>
      </c>
      <c r="W53">
        <v>12</v>
      </c>
      <c r="X53">
        <v>10</v>
      </c>
      <c r="Y53">
        <v>2</v>
      </c>
      <c r="Z53">
        <v>1</v>
      </c>
      <c r="AA53">
        <v>1</v>
      </c>
      <c r="AC53">
        <v>1</v>
      </c>
      <c r="AD53">
        <v>98</v>
      </c>
      <c r="AE53" t="s">
        <v>412</v>
      </c>
      <c r="AG53" t="s">
        <v>389</v>
      </c>
      <c r="AH53">
        <v>7</v>
      </c>
      <c r="AI53">
        <v>2</v>
      </c>
      <c r="AJ53">
        <v>2</v>
      </c>
      <c r="AK53">
        <v>3</v>
      </c>
      <c r="AL53">
        <v>26</v>
      </c>
      <c r="AM53">
        <v>56</v>
      </c>
      <c r="AN53" t="s">
        <v>390</v>
      </c>
      <c r="AO53">
        <v>5</v>
      </c>
      <c r="AP53">
        <v>1</v>
      </c>
      <c r="AT53">
        <v>12</v>
      </c>
      <c r="AU53">
        <v>9</v>
      </c>
      <c r="AV53">
        <v>55</v>
      </c>
      <c r="AW53">
        <v>11</v>
      </c>
      <c r="AX53">
        <v>21</v>
      </c>
      <c r="AY53">
        <v>2</v>
      </c>
      <c r="AZ53">
        <v>2</v>
      </c>
      <c r="BA53">
        <v>3</v>
      </c>
      <c r="BB53">
        <v>21</v>
      </c>
      <c r="BC53">
        <v>37</v>
      </c>
      <c r="BD53" t="s">
        <v>390</v>
      </c>
      <c r="BE53">
        <v>5</v>
      </c>
      <c r="BF53">
        <v>4</v>
      </c>
      <c r="BJ53">
        <v>12</v>
      </c>
      <c r="BK53">
        <v>9</v>
      </c>
      <c r="BL53">
        <v>55</v>
      </c>
      <c r="BM53">
        <v>11</v>
      </c>
      <c r="BN53">
        <v>21</v>
      </c>
      <c r="CU53">
        <v>507025.47080000001</v>
      </c>
      <c r="CV53">
        <v>5022501.6627000002</v>
      </c>
      <c r="CW53">
        <v>45.35599929</v>
      </c>
      <c r="CX53">
        <v>-92.91031212</v>
      </c>
      <c r="CY53" s="472">
        <v>43298.532638888886</v>
      </c>
      <c r="CZ53" t="s">
        <v>391</v>
      </c>
      <c r="DA53" t="s">
        <v>392</v>
      </c>
      <c r="DB53" t="s">
        <v>397</v>
      </c>
      <c r="DC53" t="s">
        <v>398</v>
      </c>
      <c r="DD53" t="s">
        <v>460</v>
      </c>
    </row>
    <row r="54" spans="1:108" ht="16.5" customHeight="1" x14ac:dyDescent="0.25">
      <c r="A54">
        <v>7</v>
      </c>
      <c r="B54">
        <v>750240</v>
      </c>
      <c r="C54">
        <v>2</v>
      </c>
      <c r="D54">
        <v>8</v>
      </c>
      <c r="E54">
        <v>7.2779999999999996</v>
      </c>
      <c r="F54">
        <v>13</v>
      </c>
      <c r="G54" t="s">
        <v>440</v>
      </c>
      <c r="I54" t="s">
        <v>384</v>
      </c>
      <c r="J54">
        <v>24</v>
      </c>
      <c r="L54">
        <v>19407593</v>
      </c>
      <c r="M54">
        <v>192380320</v>
      </c>
      <c r="N54">
        <v>8</v>
      </c>
      <c r="O54">
        <v>26</v>
      </c>
      <c r="P54">
        <v>2019</v>
      </c>
      <c r="Q54" t="s">
        <v>400</v>
      </c>
      <c r="R54">
        <v>17</v>
      </c>
      <c r="S54" t="s">
        <v>387</v>
      </c>
      <c r="T54">
        <v>5</v>
      </c>
      <c r="U54">
        <v>0</v>
      </c>
      <c r="V54">
        <v>2</v>
      </c>
      <c r="W54">
        <v>12</v>
      </c>
      <c r="X54">
        <v>10</v>
      </c>
      <c r="Y54">
        <v>2</v>
      </c>
      <c r="Z54">
        <v>1</v>
      </c>
      <c r="AA54">
        <v>2</v>
      </c>
      <c r="AC54">
        <v>2</v>
      </c>
      <c r="AD54">
        <v>98</v>
      </c>
      <c r="AE54" t="s">
        <v>461</v>
      </c>
      <c r="AG54" t="s">
        <v>389</v>
      </c>
      <c r="AH54">
        <v>7</v>
      </c>
      <c r="AI54">
        <v>2</v>
      </c>
      <c r="AJ54">
        <v>2</v>
      </c>
      <c r="AK54">
        <v>3</v>
      </c>
      <c r="AL54">
        <v>21</v>
      </c>
      <c r="AM54">
        <v>61</v>
      </c>
      <c r="AN54" t="s">
        <v>384</v>
      </c>
      <c r="AO54">
        <v>9</v>
      </c>
      <c r="AP54">
        <v>74</v>
      </c>
      <c r="AT54">
        <v>14</v>
      </c>
      <c r="AU54">
        <v>20</v>
      </c>
      <c r="AV54">
        <v>60</v>
      </c>
      <c r="AW54">
        <v>11</v>
      </c>
      <c r="AX54">
        <v>21</v>
      </c>
      <c r="AY54">
        <v>2</v>
      </c>
      <c r="AZ54">
        <v>2</v>
      </c>
      <c r="BA54">
        <v>3</v>
      </c>
      <c r="BB54">
        <v>34</v>
      </c>
      <c r="BC54">
        <v>57</v>
      </c>
      <c r="BD54" t="s">
        <v>390</v>
      </c>
      <c r="BE54">
        <v>5</v>
      </c>
      <c r="BF54">
        <v>1</v>
      </c>
      <c r="BJ54">
        <v>14</v>
      </c>
      <c r="BK54">
        <v>20</v>
      </c>
      <c r="BL54">
        <v>60</v>
      </c>
      <c r="BM54">
        <v>11</v>
      </c>
      <c r="BN54">
        <v>21</v>
      </c>
      <c r="CU54">
        <v>507025.84820000001</v>
      </c>
      <c r="CV54">
        <v>5022502.7082000002</v>
      </c>
      <c r="CW54">
        <v>45.356008699999997</v>
      </c>
      <c r="CX54">
        <v>-92.910307290000006</v>
      </c>
      <c r="CY54" s="472">
        <v>43703.723611111112</v>
      </c>
      <c r="CZ54" t="s">
        <v>391</v>
      </c>
      <c r="DA54" t="s">
        <v>392</v>
      </c>
      <c r="DB54" t="s">
        <v>397</v>
      </c>
      <c r="DC54" t="s">
        <v>398</v>
      </c>
      <c r="DD54" s="18" t="s">
        <v>462</v>
      </c>
    </row>
    <row r="55" spans="1:108" ht="16.5" customHeight="1" x14ac:dyDescent="0.25">
      <c r="A55">
        <v>7</v>
      </c>
      <c r="B55">
        <v>892800</v>
      </c>
      <c r="C55">
        <v>2</v>
      </c>
      <c r="D55">
        <v>8</v>
      </c>
      <c r="E55">
        <v>7.2839999999999998</v>
      </c>
      <c r="F55">
        <v>13</v>
      </c>
      <c r="G55" t="s">
        <v>440</v>
      </c>
      <c r="I55" t="s">
        <v>384</v>
      </c>
      <c r="J55">
        <v>24</v>
      </c>
      <c r="L55">
        <v>21000726</v>
      </c>
      <c r="M55">
        <v>210550097</v>
      </c>
      <c r="N55">
        <v>2</v>
      </c>
      <c r="O55">
        <v>24</v>
      </c>
      <c r="P55">
        <v>2021</v>
      </c>
      <c r="Q55" t="s">
        <v>396</v>
      </c>
      <c r="R55">
        <v>16</v>
      </c>
      <c r="S55">
        <v>98</v>
      </c>
      <c r="T55">
        <v>4</v>
      </c>
      <c r="U55">
        <v>0</v>
      </c>
      <c r="V55">
        <v>2</v>
      </c>
      <c r="W55">
        <v>12</v>
      </c>
      <c r="X55">
        <v>10</v>
      </c>
      <c r="Y55">
        <v>3</v>
      </c>
      <c r="Z55">
        <v>1</v>
      </c>
      <c r="AA55">
        <v>1</v>
      </c>
      <c r="AC55">
        <v>1</v>
      </c>
      <c r="AD55">
        <v>98</v>
      </c>
      <c r="AE55" t="s">
        <v>388</v>
      </c>
      <c r="AG55" t="s">
        <v>389</v>
      </c>
      <c r="AH55">
        <v>7</v>
      </c>
      <c r="AI55">
        <v>2</v>
      </c>
      <c r="AJ55">
        <v>4</v>
      </c>
      <c r="AK55">
        <v>3</v>
      </c>
      <c r="AL55">
        <v>21</v>
      </c>
      <c r="AM55">
        <v>26</v>
      </c>
      <c r="AN55" t="s">
        <v>384</v>
      </c>
      <c r="AO55">
        <v>5</v>
      </c>
      <c r="AP55">
        <v>1</v>
      </c>
      <c r="AT55">
        <v>12</v>
      </c>
      <c r="AU55">
        <v>20</v>
      </c>
      <c r="AV55">
        <v>55</v>
      </c>
      <c r="AW55">
        <v>11</v>
      </c>
      <c r="AX55">
        <v>21</v>
      </c>
      <c r="AY55">
        <v>2</v>
      </c>
      <c r="AZ55">
        <v>5</v>
      </c>
      <c r="BA55">
        <v>3</v>
      </c>
      <c r="BB55">
        <v>34</v>
      </c>
      <c r="BC55">
        <v>24</v>
      </c>
      <c r="BD55" t="s">
        <v>390</v>
      </c>
      <c r="BE55">
        <v>5</v>
      </c>
      <c r="BF55">
        <v>1</v>
      </c>
      <c r="BJ55">
        <v>12</v>
      </c>
      <c r="BK55">
        <v>20</v>
      </c>
      <c r="BL55">
        <v>55</v>
      </c>
      <c r="BM55">
        <v>11</v>
      </c>
      <c r="BN55">
        <v>21</v>
      </c>
      <c r="CU55">
        <v>507028.75709999999</v>
      </c>
      <c r="CV55">
        <v>5022510.7659</v>
      </c>
      <c r="CW55">
        <v>45.356081199999998</v>
      </c>
      <c r="CX55">
        <v>-92.910270030000007</v>
      </c>
      <c r="CY55" s="472">
        <v>44251.682638888888</v>
      </c>
      <c r="CZ55" t="s">
        <v>391</v>
      </c>
      <c r="DA55" t="s">
        <v>392</v>
      </c>
      <c r="DB55" t="s">
        <v>445</v>
      </c>
      <c r="DC55" t="s">
        <v>394</v>
      </c>
      <c r="DD55" t="s">
        <v>463</v>
      </c>
    </row>
    <row r="56" spans="1:108" ht="16.5" customHeight="1" x14ac:dyDescent="0.25">
      <c r="A56">
        <v>7</v>
      </c>
      <c r="B56">
        <v>745366</v>
      </c>
      <c r="C56">
        <v>2</v>
      </c>
      <c r="D56">
        <v>8</v>
      </c>
      <c r="E56">
        <v>7.2839999999999998</v>
      </c>
      <c r="F56">
        <v>13</v>
      </c>
      <c r="G56" t="s">
        <v>440</v>
      </c>
      <c r="I56" t="s">
        <v>384</v>
      </c>
      <c r="J56">
        <v>24</v>
      </c>
      <c r="L56">
        <v>19407850</v>
      </c>
      <c r="M56">
        <v>192480179</v>
      </c>
      <c r="N56">
        <v>9</v>
      </c>
      <c r="O56">
        <v>5</v>
      </c>
      <c r="P56">
        <v>2019</v>
      </c>
      <c r="Q56" t="s">
        <v>386</v>
      </c>
      <c r="R56">
        <v>6</v>
      </c>
      <c r="S56" t="s">
        <v>420</v>
      </c>
      <c r="T56">
        <v>5</v>
      </c>
      <c r="U56">
        <v>0</v>
      </c>
      <c r="V56">
        <v>2</v>
      </c>
      <c r="W56">
        <v>12</v>
      </c>
      <c r="X56">
        <v>10</v>
      </c>
      <c r="Y56">
        <v>10</v>
      </c>
      <c r="Z56">
        <v>1</v>
      </c>
      <c r="AA56">
        <v>1</v>
      </c>
      <c r="AC56">
        <v>1</v>
      </c>
      <c r="AD56">
        <v>98</v>
      </c>
      <c r="AE56" t="s">
        <v>388</v>
      </c>
      <c r="AG56" t="s">
        <v>389</v>
      </c>
      <c r="AH56">
        <v>7</v>
      </c>
      <c r="AI56">
        <v>2</v>
      </c>
      <c r="AJ56">
        <v>3</v>
      </c>
      <c r="AK56">
        <v>4</v>
      </c>
      <c r="AL56">
        <v>34</v>
      </c>
      <c r="AM56">
        <v>39</v>
      </c>
      <c r="AN56" t="s">
        <v>384</v>
      </c>
      <c r="AO56">
        <v>5</v>
      </c>
      <c r="AP56">
        <v>1</v>
      </c>
      <c r="AT56">
        <v>13</v>
      </c>
      <c r="AU56">
        <v>20</v>
      </c>
      <c r="AV56">
        <v>55</v>
      </c>
      <c r="AW56">
        <v>11</v>
      </c>
      <c r="AX56">
        <v>21</v>
      </c>
      <c r="AY56">
        <v>2</v>
      </c>
      <c r="AZ56">
        <v>3</v>
      </c>
      <c r="BA56">
        <v>4</v>
      </c>
      <c r="BB56">
        <v>21</v>
      </c>
      <c r="BC56">
        <v>25</v>
      </c>
      <c r="BD56" t="s">
        <v>390</v>
      </c>
      <c r="BE56">
        <v>10</v>
      </c>
      <c r="BF56">
        <v>70</v>
      </c>
      <c r="BG56">
        <v>74</v>
      </c>
      <c r="BJ56">
        <v>13</v>
      </c>
      <c r="BK56">
        <v>20</v>
      </c>
      <c r="BL56">
        <v>55</v>
      </c>
      <c r="BM56">
        <v>11</v>
      </c>
      <c r="BN56">
        <v>21</v>
      </c>
      <c r="CU56">
        <v>507029.0416</v>
      </c>
      <c r="CV56">
        <v>5022511.5537999999</v>
      </c>
      <c r="CW56">
        <v>45.356088290000002</v>
      </c>
      <c r="CX56">
        <v>-92.910266390000004</v>
      </c>
      <c r="CY56" s="472">
        <v>43713.263194444444</v>
      </c>
      <c r="CZ56" t="s">
        <v>391</v>
      </c>
      <c r="DA56" t="s">
        <v>392</v>
      </c>
      <c r="DB56" t="s">
        <v>397</v>
      </c>
      <c r="DC56" t="s">
        <v>398</v>
      </c>
      <c r="DD56" s="18" t="s">
        <v>464</v>
      </c>
    </row>
    <row r="57" spans="1:108" ht="16.5" customHeight="1" x14ac:dyDescent="0.25">
      <c r="A57">
        <v>7</v>
      </c>
      <c r="B57">
        <v>943075</v>
      </c>
      <c r="C57">
        <v>2</v>
      </c>
      <c r="D57">
        <v>8</v>
      </c>
      <c r="E57">
        <v>7.2869999999999999</v>
      </c>
      <c r="F57">
        <v>13</v>
      </c>
      <c r="G57" t="s">
        <v>440</v>
      </c>
      <c r="I57" t="s">
        <v>384</v>
      </c>
      <c r="J57">
        <v>24</v>
      </c>
      <c r="L57">
        <v>21406151</v>
      </c>
      <c r="M57">
        <v>212690072</v>
      </c>
      <c r="N57">
        <v>9</v>
      </c>
      <c r="O57">
        <v>26</v>
      </c>
      <c r="P57">
        <v>2021</v>
      </c>
      <c r="Q57" t="s">
        <v>422</v>
      </c>
      <c r="R57">
        <v>20</v>
      </c>
      <c r="S57">
        <v>98</v>
      </c>
      <c r="T57">
        <v>4</v>
      </c>
      <c r="U57">
        <v>0</v>
      </c>
      <c r="V57">
        <v>1</v>
      </c>
      <c r="X57">
        <v>34</v>
      </c>
      <c r="Y57">
        <v>2</v>
      </c>
      <c r="Z57">
        <v>4</v>
      </c>
      <c r="AA57">
        <v>1</v>
      </c>
      <c r="AC57">
        <v>1</v>
      </c>
      <c r="AD57">
        <v>98</v>
      </c>
      <c r="AE57" t="s">
        <v>465</v>
      </c>
      <c r="AG57" t="s">
        <v>389</v>
      </c>
      <c r="AH57">
        <v>4</v>
      </c>
      <c r="AI57">
        <v>2</v>
      </c>
      <c r="AJ57">
        <v>31</v>
      </c>
      <c r="AK57">
        <v>4</v>
      </c>
      <c r="AL57">
        <v>21</v>
      </c>
      <c r="AM57">
        <v>31</v>
      </c>
      <c r="AN57" t="s">
        <v>384</v>
      </c>
      <c r="AO57">
        <v>10</v>
      </c>
      <c r="AP57">
        <v>70</v>
      </c>
      <c r="AT57">
        <v>12</v>
      </c>
      <c r="AU57">
        <v>9</v>
      </c>
      <c r="AV57">
        <v>55</v>
      </c>
      <c r="AW57">
        <v>11</v>
      </c>
      <c r="AX57">
        <v>21</v>
      </c>
      <c r="CU57">
        <v>507030.61869999999</v>
      </c>
      <c r="CV57">
        <v>5022515.9226000002</v>
      </c>
      <c r="CW57">
        <v>45.356127600000001</v>
      </c>
      <c r="CX57">
        <v>-92.910246189999995</v>
      </c>
      <c r="CY57" s="472">
        <v>44465.84652777778</v>
      </c>
      <c r="CZ57" t="s">
        <v>391</v>
      </c>
      <c r="DA57" t="s">
        <v>392</v>
      </c>
      <c r="DB57" t="s">
        <v>397</v>
      </c>
      <c r="DC57" t="s">
        <v>398</v>
      </c>
      <c r="DD57" t="s">
        <v>466</v>
      </c>
    </row>
    <row r="58" spans="1:108" ht="16.5" customHeight="1" x14ac:dyDescent="0.25">
      <c r="A58">
        <v>7</v>
      </c>
      <c r="B58">
        <v>654120</v>
      </c>
      <c r="C58">
        <v>2</v>
      </c>
      <c r="D58">
        <v>8</v>
      </c>
      <c r="E58">
        <v>7.3029999999999999</v>
      </c>
      <c r="F58">
        <v>13</v>
      </c>
      <c r="G58" t="s">
        <v>440</v>
      </c>
      <c r="I58" t="s">
        <v>384</v>
      </c>
      <c r="J58">
        <v>24</v>
      </c>
      <c r="L58">
        <v>18409442</v>
      </c>
      <c r="M58">
        <v>182940177</v>
      </c>
      <c r="N58">
        <v>10</v>
      </c>
      <c r="O58">
        <v>21</v>
      </c>
      <c r="P58">
        <v>2018</v>
      </c>
      <c r="Q58" t="s">
        <v>422</v>
      </c>
      <c r="R58">
        <v>10</v>
      </c>
      <c r="S58" t="s">
        <v>387</v>
      </c>
      <c r="T58">
        <v>3</v>
      </c>
      <c r="U58">
        <v>0</v>
      </c>
      <c r="V58">
        <v>2</v>
      </c>
      <c r="W58">
        <v>12</v>
      </c>
      <c r="X58">
        <v>10</v>
      </c>
      <c r="Y58">
        <v>10</v>
      </c>
      <c r="Z58">
        <v>1</v>
      </c>
      <c r="AA58">
        <v>1</v>
      </c>
      <c r="AC58">
        <v>1</v>
      </c>
      <c r="AD58">
        <v>98</v>
      </c>
      <c r="AE58" t="s">
        <v>388</v>
      </c>
      <c r="AG58" t="s">
        <v>389</v>
      </c>
      <c r="AH58">
        <v>7</v>
      </c>
      <c r="AI58">
        <v>2</v>
      </c>
      <c r="AJ58">
        <v>4</v>
      </c>
      <c r="AK58">
        <v>3</v>
      </c>
      <c r="AL58">
        <v>34</v>
      </c>
      <c r="AM58">
        <v>66</v>
      </c>
      <c r="AN58" t="s">
        <v>390</v>
      </c>
      <c r="AO58">
        <v>5</v>
      </c>
      <c r="AP58">
        <v>1</v>
      </c>
      <c r="AT58">
        <v>12</v>
      </c>
      <c r="AU58">
        <v>20</v>
      </c>
      <c r="AV58">
        <v>55</v>
      </c>
      <c r="AW58">
        <v>11</v>
      </c>
      <c r="AX58">
        <v>21</v>
      </c>
      <c r="AY58">
        <v>2</v>
      </c>
      <c r="AZ58">
        <v>4</v>
      </c>
      <c r="BA58">
        <v>3</v>
      </c>
      <c r="BB58">
        <v>21</v>
      </c>
      <c r="BC58">
        <v>61</v>
      </c>
      <c r="BD58" t="s">
        <v>384</v>
      </c>
      <c r="BE58">
        <v>5</v>
      </c>
      <c r="BF58">
        <v>2</v>
      </c>
      <c r="BG58">
        <v>74</v>
      </c>
      <c r="BJ58">
        <v>12</v>
      </c>
      <c r="BK58">
        <v>20</v>
      </c>
      <c r="BL58">
        <v>55</v>
      </c>
      <c r="BM58">
        <v>11</v>
      </c>
      <c r="BN58">
        <v>21</v>
      </c>
      <c r="CU58">
        <v>507039.10369999998</v>
      </c>
      <c r="CV58">
        <v>5022539.426</v>
      </c>
      <c r="CW58">
        <v>45.356339079999998</v>
      </c>
      <c r="CX58">
        <v>-92.91013753</v>
      </c>
      <c r="CY58" s="472">
        <v>43394.45</v>
      </c>
      <c r="CZ58" t="s">
        <v>391</v>
      </c>
      <c r="DA58" t="s">
        <v>392</v>
      </c>
      <c r="DB58" t="s">
        <v>397</v>
      </c>
      <c r="DC58" t="s">
        <v>398</v>
      </c>
      <c r="DD58" s="18" t="s">
        <v>467</v>
      </c>
    </row>
    <row r="59" spans="1:108" ht="16.5" customHeight="1" x14ac:dyDescent="0.25">
      <c r="A59">
        <v>7</v>
      </c>
      <c r="B59">
        <v>730731</v>
      </c>
      <c r="C59">
        <v>2</v>
      </c>
      <c r="D59">
        <v>8</v>
      </c>
      <c r="E59">
        <v>7.3029999999999999</v>
      </c>
      <c r="F59">
        <v>13</v>
      </c>
      <c r="G59" t="s">
        <v>440</v>
      </c>
      <c r="I59" t="s">
        <v>384</v>
      </c>
      <c r="J59">
        <v>24</v>
      </c>
      <c r="L59">
        <v>19003111</v>
      </c>
      <c r="M59">
        <v>191820113</v>
      </c>
      <c r="N59">
        <v>7</v>
      </c>
      <c r="O59">
        <v>1</v>
      </c>
      <c r="P59">
        <v>2019</v>
      </c>
      <c r="Q59" t="s">
        <v>400</v>
      </c>
      <c r="R59">
        <v>15</v>
      </c>
      <c r="S59" t="s">
        <v>387</v>
      </c>
      <c r="T59">
        <v>5</v>
      </c>
      <c r="U59">
        <v>0</v>
      </c>
      <c r="V59">
        <v>2</v>
      </c>
      <c r="W59">
        <v>12</v>
      </c>
      <c r="X59">
        <v>10</v>
      </c>
      <c r="Y59">
        <v>2</v>
      </c>
      <c r="Z59">
        <v>1</v>
      </c>
      <c r="AA59">
        <v>2</v>
      </c>
      <c r="AB59">
        <v>3</v>
      </c>
      <c r="AC59">
        <v>2</v>
      </c>
      <c r="AD59">
        <v>98</v>
      </c>
      <c r="AE59" t="s">
        <v>388</v>
      </c>
      <c r="AG59" t="s">
        <v>389</v>
      </c>
      <c r="AH59">
        <v>7</v>
      </c>
      <c r="AI59">
        <v>2</v>
      </c>
      <c r="AJ59">
        <v>2</v>
      </c>
      <c r="AK59">
        <v>3</v>
      </c>
      <c r="AL59">
        <v>21</v>
      </c>
      <c r="AM59">
        <v>84</v>
      </c>
      <c r="AN59" t="s">
        <v>384</v>
      </c>
      <c r="AO59">
        <v>5</v>
      </c>
      <c r="AP59">
        <v>1</v>
      </c>
      <c r="AT59">
        <v>12</v>
      </c>
      <c r="AU59">
        <v>20</v>
      </c>
      <c r="AV59">
        <v>55</v>
      </c>
      <c r="AW59">
        <v>11</v>
      </c>
      <c r="AX59">
        <v>21</v>
      </c>
      <c r="AY59">
        <v>2</v>
      </c>
      <c r="AZ59">
        <v>2</v>
      </c>
      <c r="BA59">
        <v>3</v>
      </c>
      <c r="BB59">
        <v>21</v>
      </c>
      <c r="BC59">
        <v>56</v>
      </c>
      <c r="BD59" t="s">
        <v>390</v>
      </c>
      <c r="BE59">
        <v>5</v>
      </c>
      <c r="BF59">
        <v>1</v>
      </c>
      <c r="BJ59">
        <v>12</v>
      </c>
      <c r="BK59">
        <v>20</v>
      </c>
      <c r="BL59">
        <v>55</v>
      </c>
      <c r="BM59">
        <v>11</v>
      </c>
      <c r="BN59">
        <v>21</v>
      </c>
      <c r="CU59">
        <v>507039.46230000001</v>
      </c>
      <c r="CV59">
        <v>5022540.4193000002</v>
      </c>
      <c r="CW59">
        <v>45.356348009999998</v>
      </c>
      <c r="CX59">
        <v>-92.910132930000003</v>
      </c>
      <c r="CY59" s="472">
        <v>43647.662499999999</v>
      </c>
      <c r="CZ59" t="s">
        <v>391</v>
      </c>
      <c r="DA59" t="s">
        <v>392</v>
      </c>
      <c r="DB59" t="s">
        <v>445</v>
      </c>
      <c r="DC59" t="s">
        <v>394</v>
      </c>
      <c r="DD59" s="18" t="s">
        <v>468</v>
      </c>
    </row>
    <row r="60" spans="1:108" ht="16.5" customHeight="1" x14ac:dyDescent="0.25">
      <c r="CY60" s="472"/>
    </row>
    <row r="61" spans="1:108" ht="16.5" customHeight="1" x14ac:dyDescent="0.25">
      <c r="CY61" s="472"/>
      <c r="DD61" s="18"/>
    </row>
    <row r="62" spans="1:108" ht="16.5" customHeight="1" x14ac:dyDescent="0.25">
      <c r="CY62" s="472"/>
      <c r="DD62" s="18"/>
    </row>
    <row r="63" spans="1:108" ht="16.5" customHeight="1" x14ac:dyDescent="0.25">
      <c r="A63">
        <v>7</v>
      </c>
      <c r="B63">
        <v>685551</v>
      </c>
      <c r="C63">
        <v>2</v>
      </c>
      <c r="D63">
        <v>8</v>
      </c>
      <c r="E63">
        <v>7.3230000000000004</v>
      </c>
      <c r="F63">
        <v>13</v>
      </c>
      <c r="G63" t="s">
        <v>440</v>
      </c>
      <c r="I63" t="s">
        <v>384</v>
      </c>
      <c r="J63">
        <v>24</v>
      </c>
      <c r="L63">
        <v>19000540</v>
      </c>
      <c r="M63">
        <v>190390526</v>
      </c>
      <c r="N63">
        <v>2</v>
      </c>
      <c r="O63">
        <v>8</v>
      </c>
      <c r="P63">
        <v>2019</v>
      </c>
      <c r="Q63" t="s">
        <v>415</v>
      </c>
      <c r="R63">
        <v>7</v>
      </c>
      <c r="S63" t="s">
        <v>387</v>
      </c>
      <c r="T63">
        <v>5</v>
      </c>
      <c r="U63">
        <v>0</v>
      </c>
      <c r="V63">
        <v>2</v>
      </c>
      <c r="W63">
        <v>13</v>
      </c>
      <c r="X63">
        <v>10</v>
      </c>
      <c r="Y63">
        <v>2</v>
      </c>
      <c r="Z63">
        <v>1</v>
      </c>
      <c r="AA63">
        <v>1</v>
      </c>
      <c r="AC63">
        <v>5</v>
      </c>
      <c r="AD63">
        <v>98</v>
      </c>
      <c r="AE63" t="s">
        <v>388</v>
      </c>
      <c r="AG63" t="s">
        <v>389</v>
      </c>
      <c r="AH63">
        <v>7</v>
      </c>
      <c r="AI63">
        <v>2</v>
      </c>
      <c r="AJ63">
        <v>2</v>
      </c>
      <c r="AK63">
        <v>3</v>
      </c>
      <c r="AL63">
        <v>21</v>
      </c>
      <c r="AM63">
        <v>20</v>
      </c>
      <c r="AN63" t="s">
        <v>390</v>
      </c>
      <c r="AO63">
        <v>5</v>
      </c>
      <c r="AP63">
        <v>72</v>
      </c>
      <c r="AT63">
        <v>12</v>
      </c>
      <c r="AU63">
        <v>20</v>
      </c>
      <c r="AV63">
        <v>55</v>
      </c>
      <c r="AW63">
        <v>11</v>
      </c>
      <c r="AX63">
        <v>21</v>
      </c>
      <c r="AY63">
        <v>2</v>
      </c>
      <c r="AZ63">
        <v>4</v>
      </c>
      <c r="BA63">
        <v>3</v>
      </c>
      <c r="BB63">
        <v>26</v>
      </c>
      <c r="BC63">
        <v>27</v>
      </c>
      <c r="BD63" t="s">
        <v>384</v>
      </c>
      <c r="BE63">
        <v>5</v>
      </c>
      <c r="BF63">
        <v>1</v>
      </c>
      <c r="BJ63">
        <v>12</v>
      </c>
      <c r="BK63">
        <v>20</v>
      </c>
      <c r="BL63">
        <v>55</v>
      </c>
      <c r="BM63">
        <v>11</v>
      </c>
      <c r="BN63">
        <v>21</v>
      </c>
      <c r="CU63">
        <v>507050.39610000001</v>
      </c>
      <c r="CV63">
        <v>5022570.2939999998</v>
      </c>
      <c r="CW63">
        <v>45.356616819999999</v>
      </c>
      <c r="CX63">
        <v>-92.90999291</v>
      </c>
      <c r="CY63" s="472">
        <v>43504.328472222223</v>
      </c>
      <c r="CZ63" t="s">
        <v>391</v>
      </c>
      <c r="DA63" t="s">
        <v>392</v>
      </c>
      <c r="DB63" t="s">
        <v>445</v>
      </c>
      <c r="DC63" t="s">
        <v>394</v>
      </c>
      <c r="DD63" s="18" t="s">
        <v>469</v>
      </c>
    </row>
    <row r="64" spans="1:108" ht="16.5" customHeight="1" x14ac:dyDescent="0.25">
      <c r="A64">
        <v>7</v>
      </c>
      <c r="B64">
        <v>765669</v>
      </c>
      <c r="C64">
        <v>2</v>
      </c>
      <c r="D64">
        <v>8</v>
      </c>
      <c r="E64">
        <v>7.3330000000000002</v>
      </c>
      <c r="F64">
        <v>13</v>
      </c>
      <c r="G64" t="s">
        <v>440</v>
      </c>
      <c r="I64" t="s">
        <v>384</v>
      </c>
      <c r="J64">
        <v>24</v>
      </c>
      <c r="L64">
        <v>19410491</v>
      </c>
      <c r="M64">
        <v>193310158</v>
      </c>
      <c r="N64">
        <v>11</v>
      </c>
      <c r="O64">
        <v>27</v>
      </c>
      <c r="P64">
        <v>2019</v>
      </c>
      <c r="Q64" t="s">
        <v>396</v>
      </c>
      <c r="R64">
        <v>6</v>
      </c>
      <c r="S64">
        <v>98</v>
      </c>
      <c r="T64">
        <v>5</v>
      </c>
      <c r="U64">
        <v>0</v>
      </c>
      <c r="V64">
        <v>2</v>
      </c>
      <c r="W64">
        <v>5</v>
      </c>
      <c r="X64">
        <v>10</v>
      </c>
      <c r="Y64">
        <v>3</v>
      </c>
      <c r="Z64">
        <v>1</v>
      </c>
      <c r="AA64">
        <v>4</v>
      </c>
      <c r="AB64">
        <v>2</v>
      </c>
      <c r="AC64">
        <v>3</v>
      </c>
      <c r="AD64">
        <v>98</v>
      </c>
      <c r="AE64" t="s">
        <v>412</v>
      </c>
      <c r="AG64" t="s">
        <v>389</v>
      </c>
      <c r="AH64">
        <v>10</v>
      </c>
      <c r="AI64">
        <v>2</v>
      </c>
      <c r="AJ64">
        <v>3</v>
      </c>
      <c r="AK64">
        <v>2</v>
      </c>
      <c r="AL64">
        <v>34</v>
      </c>
      <c r="AM64">
        <v>43</v>
      </c>
      <c r="AN64" t="s">
        <v>384</v>
      </c>
      <c r="AO64">
        <v>5</v>
      </c>
      <c r="AP64">
        <v>1</v>
      </c>
      <c r="AT64">
        <v>12</v>
      </c>
      <c r="AU64">
        <v>20</v>
      </c>
      <c r="AV64">
        <v>30</v>
      </c>
      <c r="AW64">
        <v>11</v>
      </c>
      <c r="AX64">
        <v>21</v>
      </c>
      <c r="AY64">
        <v>2</v>
      </c>
      <c r="AZ64">
        <v>2</v>
      </c>
      <c r="BA64">
        <v>4</v>
      </c>
      <c r="BB64">
        <v>21</v>
      </c>
      <c r="BC64">
        <v>23</v>
      </c>
      <c r="BD64" t="s">
        <v>390</v>
      </c>
      <c r="BE64">
        <v>5</v>
      </c>
      <c r="BF64">
        <v>68</v>
      </c>
      <c r="BJ64">
        <v>12</v>
      </c>
      <c r="BK64">
        <v>20</v>
      </c>
      <c r="BL64">
        <v>55</v>
      </c>
      <c r="BM64">
        <v>11</v>
      </c>
      <c r="BN64">
        <v>21</v>
      </c>
      <c r="CU64">
        <v>507056.10320000001</v>
      </c>
      <c r="CV64">
        <v>5022585.0528999995</v>
      </c>
      <c r="CW64">
        <v>45.356749610000001</v>
      </c>
      <c r="CX64">
        <v>-92.909919840000001</v>
      </c>
      <c r="CY64" s="472">
        <v>43796.286111111112</v>
      </c>
      <c r="CZ64" t="s">
        <v>391</v>
      </c>
      <c r="DA64" t="s">
        <v>392</v>
      </c>
      <c r="DB64" t="s">
        <v>397</v>
      </c>
      <c r="DC64" t="s">
        <v>398</v>
      </c>
      <c r="DD64" s="18" t="s">
        <v>470</v>
      </c>
    </row>
    <row r="65" spans="1:108" ht="16.5" customHeight="1" x14ac:dyDescent="0.25">
      <c r="A65">
        <v>7</v>
      </c>
      <c r="B65">
        <v>869286</v>
      </c>
      <c r="C65">
        <v>2</v>
      </c>
      <c r="D65">
        <v>8</v>
      </c>
      <c r="E65">
        <v>7.3369999999999997</v>
      </c>
      <c r="F65">
        <v>13</v>
      </c>
      <c r="G65" t="s">
        <v>440</v>
      </c>
      <c r="I65" t="s">
        <v>384</v>
      </c>
      <c r="J65">
        <v>24</v>
      </c>
      <c r="L65">
        <v>20407741</v>
      </c>
      <c r="M65">
        <v>203560071</v>
      </c>
      <c r="N65">
        <v>12</v>
      </c>
      <c r="O65">
        <v>21</v>
      </c>
      <c r="P65">
        <v>2020</v>
      </c>
      <c r="Q65" t="s">
        <v>400</v>
      </c>
      <c r="R65">
        <v>14</v>
      </c>
      <c r="S65">
        <v>98</v>
      </c>
      <c r="T65">
        <v>3</v>
      </c>
      <c r="U65">
        <v>0</v>
      </c>
      <c r="V65">
        <v>3</v>
      </c>
      <c r="W65">
        <v>12</v>
      </c>
      <c r="X65">
        <v>10</v>
      </c>
      <c r="Y65">
        <v>3</v>
      </c>
      <c r="Z65">
        <v>1</v>
      </c>
      <c r="AA65">
        <v>2</v>
      </c>
      <c r="AC65">
        <v>1</v>
      </c>
      <c r="AD65">
        <v>98</v>
      </c>
      <c r="AE65" t="s">
        <v>388</v>
      </c>
      <c r="AG65" t="s">
        <v>389</v>
      </c>
      <c r="AH65">
        <v>7</v>
      </c>
      <c r="AI65">
        <v>2</v>
      </c>
      <c r="AJ65">
        <v>2</v>
      </c>
      <c r="AK65">
        <v>4</v>
      </c>
      <c r="AL65">
        <v>34</v>
      </c>
      <c r="AM65">
        <v>16</v>
      </c>
      <c r="AN65" t="s">
        <v>384</v>
      </c>
      <c r="AO65">
        <v>5</v>
      </c>
      <c r="AP65">
        <v>1</v>
      </c>
      <c r="AT65">
        <v>12</v>
      </c>
      <c r="AU65">
        <v>20</v>
      </c>
      <c r="AV65">
        <v>55</v>
      </c>
      <c r="AW65">
        <v>11</v>
      </c>
      <c r="AX65">
        <v>21</v>
      </c>
      <c r="AY65">
        <v>2</v>
      </c>
      <c r="AZ65">
        <v>4</v>
      </c>
      <c r="BA65">
        <v>4</v>
      </c>
      <c r="BB65">
        <v>34</v>
      </c>
      <c r="BC65">
        <v>40</v>
      </c>
      <c r="BD65" t="s">
        <v>384</v>
      </c>
      <c r="BE65">
        <v>5</v>
      </c>
      <c r="BF65">
        <v>1</v>
      </c>
      <c r="BJ65">
        <v>12</v>
      </c>
      <c r="BK65">
        <v>20</v>
      </c>
      <c r="BL65">
        <v>55</v>
      </c>
      <c r="BM65">
        <v>11</v>
      </c>
      <c r="BN65">
        <v>21</v>
      </c>
      <c r="BO65">
        <v>2</v>
      </c>
      <c r="BP65">
        <v>3</v>
      </c>
      <c r="BQ65">
        <v>4</v>
      </c>
      <c r="BR65">
        <v>21</v>
      </c>
      <c r="BS65">
        <v>61</v>
      </c>
      <c r="BT65" t="s">
        <v>384</v>
      </c>
      <c r="BU65">
        <v>5</v>
      </c>
      <c r="BV65">
        <v>74</v>
      </c>
      <c r="BZ65">
        <v>12</v>
      </c>
      <c r="CA65">
        <v>20</v>
      </c>
      <c r="CB65">
        <v>55</v>
      </c>
      <c r="CC65">
        <v>11</v>
      </c>
      <c r="CD65">
        <v>21</v>
      </c>
      <c r="CU65">
        <v>507058.72230000002</v>
      </c>
      <c r="CV65">
        <v>5022591.8261000002</v>
      </c>
      <c r="CW65">
        <v>45.356810549999999</v>
      </c>
      <c r="CX65">
        <v>-92.909886299999997</v>
      </c>
      <c r="CY65" s="472">
        <v>44186.593055555553</v>
      </c>
      <c r="CZ65" t="s">
        <v>391</v>
      </c>
      <c r="DA65" t="s">
        <v>392</v>
      </c>
      <c r="DB65" t="s">
        <v>397</v>
      </c>
      <c r="DC65" t="s">
        <v>398</v>
      </c>
      <c r="DD65" s="18" t="s">
        <v>471</v>
      </c>
    </row>
    <row r="66" spans="1:108" ht="16.5" customHeight="1" x14ac:dyDescent="0.25">
      <c r="A66">
        <v>7</v>
      </c>
      <c r="B66">
        <v>539900</v>
      </c>
      <c r="C66">
        <v>2</v>
      </c>
      <c r="D66">
        <v>8</v>
      </c>
      <c r="E66">
        <v>7.34</v>
      </c>
      <c r="F66">
        <v>13</v>
      </c>
      <c r="G66" t="s">
        <v>440</v>
      </c>
      <c r="I66" t="s">
        <v>384</v>
      </c>
      <c r="J66">
        <v>24</v>
      </c>
      <c r="L66">
        <v>18401174</v>
      </c>
      <c r="M66">
        <v>180240220</v>
      </c>
      <c r="N66">
        <v>1</v>
      </c>
      <c r="O66">
        <v>24</v>
      </c>
      <c r="P66">
        <v>2018</v>
      </c>
      <c r="Q66" t="s">
        <v>396</v>
      </c>
      <c r="R66">
        <v>16</v>
      </c>
      <c r="S66">
        <v>98</v>
      </c>
      <c r="T66">
        <v>5</v>
      </c>
      <c r="U66">
        <v>0</v>
      </c>
      <c r="V66">
        <v>2</v>
      </c>
      <c r="W66">
        <v>12</v>
      </c>
      <c r="X66">
        <v>10</v>
      </c>
      <c r="Y66">
        <v>2</v>
      </c>
      <c r="Z66">
        <v>6</v>
      </c>
      <c r="AA66">
        <v>2</v>
      </c>
      <c r="AC66">
        <v>1</v>
      </c>
      <c r="AD66">
        <v>98</v>
      </c>
      <c r="AE66" t="s">
        <v>472</v>
      </c>
      <c r="AG66" t="s">
        <v>389</v>
      </c>
      <c r="AH66">
        <v>7</v>
      </c>
      <c r="AI66">
        <v>2</v>
      </c>
      <c r="AJ66">
        <v>4</v>
      </c>
      <c r="AK66">
        <v>3</v>
      </c>
      <c r="AL66">
        <v>26</v>
      </c>
      <c r="AM66">
        <v>26</v>
      </c>
      <c r="AN66" t="s">
        <v>390</v>
      </c>
      <c r="AO66">
        <v>5</v>
      </c>
      <c r="AP66">
        <v>1</v>
      </c>
      <c r="AT66">
        <v>12</v>
      </c>
      <c r="AU66">
        <v>9</v>
      </c>
      <c r="AV66">
        <v>55</v>
      </c>
      <c r="AW66">
        <v>11</v>
      </c>
      <c r="AX66">
        <v>21</v>
      </c>
      <c r="AY66">
        <v>2</v>
      </c>
      <c r="AZ66">
        <v>5</v>
      </c>
      <c r="BA66">
        <v>3</v>
      </c>
      <c r="BB66">
        <v>21</v>
      </c>
      <c r="BC66">
        <v>21</v>
      </c>
      <c r="BD66" t="s">
        <v>384</v>
      </c>
      <c r="BE66">
        <v>5</v>
      </c>
      <c r="BF66">
        <v>4</v>
      </c>
      <c r="BJ66">
        <v>12</v>
      </c>
      <c r="BK66">
        <v>9</v>
      </c>
      <c r="BL66">
        <v>55</v>
      </c>
      <c r="BM66">
        <v>11</v>
      </c>
      <c r="BN66">
        <v>21</v>
      </c>
      <c r="CU66">
        <v>507060.36839999998</v>
      </c>
      <c r="CV66">
        <v>5022596.0828999998</v>
      </c>
      <c r="CW66">
        <v>45.356848849999999</v>
      </c>
      <c r="CX66">
        <v>-92.909865229999994</v>
      </c>
      <c r="CY66" s="472">
        <v>43124.704861111109</v>
      </c>
      <c r="CZ66" t="s">
        <v>391</v>
      </c>
      <c r="DA66" t="s">
        <v>392</v>
      </c>
      <c r="DB66" t="s">
        <v>397</v>
      </c>
      <c r="DC66" t="s">
        <v>398</v>
      </c>
      <c r="DD66" s="18" t="s">
        <v>473</v>
      </c>
    </row>
    <row r="67" spans="1:108" ht="16.5" customHeight="1" x14ac:dyDescent="0.25">
      <c r="A67">
        <v>7</v>
      </c>
      <c r="B67">
        <v>649392</v>
      </c>
      <c r="C67">
        <v>2</v>
      </c>
      <c r="D67">
        <v>8</v>
      </c>
      <c r="E67">
        <v>7.3440000000000003</v>
      </c>
      <c r="F67">
        <v>13</v>
      </c>
      <c r="G67" t="s">
        <v>440</v>
      </c>
      <c r="I67" t="s">
        <v>384</v>
      </c>
      <c r="J67">
        <v>24</v>
      </c>
      <c r="L67">
        <v>18408857</v>
      </c>
      <c r="M67">
        <v>182740235</v>
      </c>
      <c r="N67">
        <v>10</v>
      </c>
      <c r="O67">
        <v>1</v>
      </c>
      <c r="P67">
        <v>2018</v>
      </c>
      <c r="Q67" t="s">
        <v>400</v>
      </c>
      <c r="R67">
        <v>12</v>
      </c>
      <c r="S67" t="s">
        <v>420</v>
      </c>
      <c r="T67">
        <v>4</v>
      </c>
      <c r="U67">
        <v>0</v>
      </c>
      <c r="V67">
        <v>2</v>
      </c>
      <c r="W67">
        <v>12</v>
      </c>
      <c r="X67">
        <v>10</v>
      </c>
      <c r="Y67">
        <v>10</v>
      </c>
      <c r="Z67">
        <v>1</v>
      </c>
      <c r="AA67">
        <v>2</v>
      </c>
      <c r="AB67">
        <v>3</v>
      </c>
      <c r="AC67">
        <v>2</v>
      </c>
      <c r="AD67">
        <v>98</v>
      </c>
      <c r="AE67" t="s">
        <v>388</v>
      </c>
      <c r="AG67" t="s">
        <v>389</v>
      </c>
      <c r="AH67">
        <v>7</v>
      </c>
      <c r="AI67">
        <v>2</v>
      </c>
      <c r="AJ67">
        <v>49</v>
      </c>
      <c r="AK67">
        <v>4</v>
      </c>
      <c r="AL67">
        <v>21</v>
      </c>
      <c r="AM67">
        <v>36</v>
      </c>
      <c r="AN67" t="s">
        <v>384</v>
      </c>
      <c r="AO67">
        <v>5</v>
      </c>
      <c r="AP67">
        <v>1</v>
      </c>
      <c r="AT67">
        <v>12</v>
      </c>
      <c r="AU67">
        <v>20</v>
      </c>
      <c r="AV67">
        <v>55</v>
      </c>
      <c r="AW67">
        <v>11</v>
      </c>
      <c r="AX67">
        <v>21</v>
      </c>
      <c r="AY67">
        <v>2</v>
      </c>
      <c r="AZ67">
        <v>2</v>
      </c>
      <c r="BA67">
        <v>4</v>
      </c>
      <c r="BB67">
        <v>21</v>
      </c>
      <c r="BC67">
        <v>16</v>
      </c>
      <c r="BD67" t="s">
        <v>390</v>
      </c>
      <c r="BE67">
        <v>5</v>
      </c>
      <c r="BF67">
        <v>74</v>
      </c>
      <c r="BJ67">
        <v>12</v>
      </c>
      <c r="BK67">
        <v>20</v>
      </c>
      <c r="BL67">
        <v>55</v>
      </c>
      <c r="BM67">
        <v>11</v>
      </c>
      <c r="BN67">
        <v>21</v>
      </c>
      <c r="CU67">
        <v>507062.66590000002</v>
      </c>
      <c r="CV67">
        <v>5022602.0241999999</v>
      </c>
      <c r="CW67">
        <v>45.356902310000002</v>
      </c>
      <c r="CX67">
        <v>-92.909835810000004</v>
      </c>
      <c r="CY67" s="472">
        <v>43374.525000000001</v>
      </c>
      <c r="CZ67" t="s">
        <v>391</v>
      </c>
      <c r="DA67" t="s">
        <v>392</v>
      </c>
      <c r="DB67" t="s">
        <v>397</v>
      </c>
      <c r="DC67" t="s">
        <v>398</v>
      </c>
      <c r="DD67" s="18" t="s">
        <v>474</v>
      </c>
    </row>
    <row r="68" spans="1:108" ht="16.5" customHeight="1" x14ac:dyDescent="0.25">
      <c r="A68">
        <v>7</v>
      </c>
      <c r="B68">
        <v>729837</v>
      </c>
      <c r="C68">
        <v>2</v>
      </c>
      <c r="D68">
        <v>8</v>
      </c>
      <c r="E68">
        <v>7.3470000000000004</v>
      </c>
      <c r="F68">
        <v>13</v>
      </c>
      <c r="G68" t="s">
        <v>440</v>
      </c>
      <c r="I68" t="s">
        <v>384</v>
      </c>
      <c r="J68">
        <v>24</v>
      </c>
      <c r="L68">
        <v>19003046</v>
      </c>
      <c r="M68">
        <v>191780122</v>
      </c>
      <c r="N68">
        <v>6</v>
      </c>
      <c r="O68">
        <v>27</v>
      </c>
      <c r="P68">
        <v>2019</v>
      </c>
      <c r="Q68" t="s">
        <v>386</v>
      </c>
      <c r="R68">
        <v>16</v>
      </c>
      <c r="S68">
        <v>98</v>
      </c>
      <c r="T68">
        <v>5</v>
      </c>
      <c r="U68">
        <v>0</v>
      </c>
      <c r="V68">
        <v>2</v>
      </c>
      <c r="W68">
        <v>12</v>
      </c>
      <c r="X68">
        <v>10</v>
      </c>
      <c r="Y68">
        <v>3</v>
      </c>
      <c r="Z68">
        <v>1</v>
      </c>
      <c r="AA68">
        <v>1</v>
      </c>
      <c r="AC68">
        <v>1</v>
      </c>
      <c r="AD68">
        <v>98</v>
      </c>
      <c r="AE68" t="s">
        <v>388</v>
      </c>
      <c r="AG68" t="s">
        <v>389</v>
      </c>
      <c r="AH68">
        <v>7</v>
      </c>
      <c r="AI68">
        <v>2</v>
      </c>
      <c r="AJ68">
        <v>48</v>
      </c>
      <c r="AK68">
        <v>4</v>
      </c>
      <c r="AL68">
        <v>34</v>
      </c>
      <c r="AM68">
        <v>30</v>
      </c>
      <c r="AN68" t="s">
        <v>384</v>
      </c>
      <c r="AO68">
        <v>5</v>
      </c>
      <c r="AP68">
        <v>1</v>
      </c>
      <c r="AT68">
        <v>12</v>
      </c>
      <c r="AU68">
        <v>20</v>
      </c>
      <c r="AV68">
        <v>55</v>
      </c>
      <c r="AW68">
        <v>11</v>
      </c>
      <c r="AX68">
        <v>21</v>
      </c>
      <c r="AY68">
        <v>2</v>
      </c>
      <c r="AZ68">
        <v>4</v>
      </c>
      <c r="BA68">
        <v>4</v>
      </c>
      <c r="BB68">
        <v>21</v>
      </c>
      <c r="BC68">
        <v>20</v>
      </c>
      <c r="BD68" t="s">
        <v>390</v>
      </c>
      <c r="BE68">
        <v>5</v>
      </c>
      <c r="BF68">
        <v>4</v>
      </c>
      <c r="BG68">
        <v>99</v>
      </c>
      <c r="BJ68">
        <v>12</v>
      </c>
      <c r="BK68">
        <v>20</v>
      </c>
      <c r="BL68">
        <v>55</v>
      </c>
      <c r="BM68">
        <v>11</v>
      </c>
      <c r="BN68">
        <v>21</v>
      </c>
      <c r="CU68">
        <v>507064.56670000002</v>
      </c>
      <c r="CV68">
        <v>5022606.9398999996</v>
      </c>
      <c r="CW68">
        <v>45.356946540000003</v>
      </c>
      <c r="CX68">
        <v>-92.909811469999994</v>
      </c>
      <c r="CY68" s="472">
        <v>43643.695833333331</v>
      </c>
      <c r="CZ68" t="s">
        <v>391</v>
      </c>
      <c r="DA68" t="s">
        <v>392</v>
      </c>
      <c r="DB68" t="s">
        <v>445</v>
      </c>
      <c r="DC68" t="s">
        <v>394</v>
      </c>
      <c r="DD68" t="s">
        <v>475</v>
      </c>
    </row>
    <row r="69" spans="1:108" ht="16.5" customHeight="1" x14ac:dyDescent="0.25">
      <c r="CY69" s="472"/>
      <c r="DD69" s="18"/>
    </row>
    <row r="70" spans="1:108" ht="16.5" customHeight="1" x14ac:dyDescent="0.25">
      <c r="A70">
        <v>7</v>
      </c>
      <c r="B70">
        <v>539901</v>
      </c>
      <c r="C70">
        <v>2</v>
      </c>
      <c r="D70">
        <v>8</v>
      </c>
      <c r="E70">
        <v>7.35</v>
      </c>
      <c r="F70">
        <v>13</v>
      </c>
      <c r="G70" t="s">
        <v>440</v>
      </c>
      <c r="I70" t="s">
        <v>384</v>
      </c>
      <c r="J70">
        <v>24</v>
      </c>
      <c r="L70">
        <v>18401176</v>
      </c>
      <c r="M70">
        <v>180240222</v>
      </c>
      <c r="N70">
        <v>1</v>
      </c>
      <c r="O70">
        <v>24</v>
      </c>
      <c r="P70">
        <v>2018</v>
      </c>
      <c r="Q70" t="s">
        <v>396</v>
      </c>
      <c r="R70">
        <v>17</v>
      </c>
      <c r="S70">
        <v>98</v>
      </c>
      <c r="T70">
        <v>5</v>
      </c>
      <c r="U70">
        <v>0</v>
      </c>
      <c r="V70">
        <v>2</v>
      </c>
      <c r="W70">
        <v>12</v>
      </c>
      <c r="X70">
        <v>10</v>
      </c>
      <c r="Y70">
        <v>2</v>
      </c>
      <c r="Z70">
        <v>6</v>
      </c>
      <c r="AA70">
        <v>2</v>
      </c>
      <c r="AC70">
        <v>1</v>
      </c>
      <c r="AD70">
        <v>98</v>
      </c>
      <c r="AE70" t="s">
        <v>476</v>
      </c>
      <c r="AG70" t="s">
        <v>389</v>
      </c>
      <c r="AH70">
        <v>7</v>
      </c>
      <c r="AI70">
        <v>2</v>
      </c>
      <c r="AJ70">
        <v>3</v>
      </c>
      <c r="AK70">
        <v>3</v>
      </c>
      <c r="AL70">
        <v>26</v>
      </c>
      <c r="AM70">
        <v>33</v>
      </c>
      <c r="AN70" t="s">
        <v>384</v>
      </c>
      <c r="AO70">
        <v>5</v>
      </c>
      <c r="AP70">
        <v>1</v>
      </c>
      <c r="AT70">
        <v>12</v>
      </c>
      <c r="AU70">
        <v>9</v>
      </c>
      <c r="AV70">
        <v>55</v>
      </c>
      <c r="AW70">
        <v>11</v>
      </c>
      <c r="AX70">
        <v>21</v>
      </c>
      <c r="AY70">
        <v>2</v>
      </c>
      <c r="AZ70">
        <v>2</v>
      </c>
      <c r="BA70">
        <v>3</v>
      </c>
      <c r="BB70">
        <v>21</v>
      </c>
      <c r="BC70">
        <v>58</v>
      </c>
      <c r="BD70" t="s">
        <v>384</v>
      </c>
      <c r="BE70">
        <v>5</v>
      </c>
      <c r="BF70">
        <v>74</v>
      </c>
      <c r="BJ70">
        <v>12</v>
      </c>
      <c r="BK70">
        <v>9</v>
      </c>
      <c r="BL70">
        <v>55</v>
      </c>
      <c r="BM70">
        <v>11</v>
      </c>
      <c r="BN70">
        <v>21</v>
      </c>
      <c r="CU70">
        <v>507066.07500000001</v>
      </c>
      <c r="CV70">
        <v>5022610.7962999996</v>
      </c>
      <c r="CW70">
        <v>45.356981240000003</v>
      </c>
      <c r="CX70">
        <v>-92.909792159999995</v>
      </c>
      <c r="CY70" s="472">
        <v>43124.730555555558</v>
      </c>
      <c r="CZ70" t="s">
        <v>391</v>
      </c>
      <c r="DA70" t="s">
        <v>392</v>
      </c>
      <c r="DB70" t="s">
        <v>397</v>
      </c>
      <c r="DC70" t="s">
        <v>398</v>
      </c>
      <c r="DD70" s="18" t="s">
        <v>477</v>
      </c>
    </row>
    <row r="71" spans="1:108" ht="16.5" customHeight="1" x14ac:dyDescent="0.25">
      <c r="A71">
        <v>7</v>
      </c>
      <c r="B71">
        <v>608694</v>
      </c>
      <c r="C71">
        <v>2</v>
      </c>
      <c r="D71">
        <v>8</v>
      </c>
      <c r="E71">
        <v>7.351</v>
      </c>
      <c r="F71">
        <v>13</v>
      </c>
      <c r="G71" t="s">
        <v>440</v>
      </c>
      <c r="I71" t="s">
        <v>384</v>
      </c>
      <c r="J71">
        <v>24</v>
      </c>
      <c r="L71">
        <v>18406216</v>
      </c>
      <c r="M71">
        <v>181820185</v>
      </c>
      <c r="N71">
        <v>7</v>
      </c>
      <c r="O71">
        <v>1</v>
      </c>
      <c r="P71">
        <v>2018</v>
      </c>
      <c r="Q71" t="s">
        <v>422</v>
      </c>
      <c r="R71">
        <v>11</v>
      </c>
      <c r="S71">
        <v>98</v>
      </c>
      <c r="T71">
        <v>5</v>
      </c>
      <c r="U71">
        <v>0</v>
      </c>
      <c r="V71">
        <v>3</v>
      </c>
      <c r="W71">
        <v>12</v>
      </c>
      <c r="X71">
        <v>10</v>
      </c>
      <c r="Y71">
        <v>3</v>
      </c>
      <c r="Z71">
        <v>1</v>
      </c>
      <c r="AA71">
        <v>3</v>
      </c>
      <c r="AC71">
        <v>2</v>
      </c>
      <c r="AD71">
        <v>98</v>
      </c>
      <c r="AE71" t="s">
        <v>388</v>
      </c>
      <c r="AG71" t="s">
        <v>389</v>
      </c>
      <c r="AH71">
        <v>7</v>
      </c>
      <c r="AI71">
        <v>2</v>
      </c>
      <c r="AJ71">
        <v>4</v>
      </c>
      <c r="AK71">
        <v>4</v>
      </c>
      <c r="AL71">
        <v>34</v>
      </c>
      <c r="AM71">
        <v>61</v>
      </c>
      <c r="AN71" t="s">
        <v>390</v>
      </c>
      <c r="AO71">
        <v>5</v>
      </c>
      <c r="AP71">
        <v>1</v>
      </c>
      <c r="AT71">
        <v>12</v>
      </c>
      <c r="AU71">
        <v>20</v>
      </c>
      <c r="AV71">
        <v>55</v>
      </c>
      <c r="AW71">
        <v>11</v>
      </c>
      <c r="AX71">
        <v>21</v>
      </c>
      <c r="AY71">
        <v>2</v>
      </c>
      <c r="AZ71">
        <v>4</v>
      </c>
      <c r="BA71">
        <v>4</v>
      </c>
      <c r="BB71">
        <v>34</v>
      </c>
      <c r="BC71">
        <v>50</v>
      </c>
      <c r="BD71" t="s">
        <v>384</v>
      </c>
      <c r="BE71">
        <v>5</v>
      </c>
      <c r="BF71">
        <v>1</v>
      </c>
      <c r="BJ71">
        <v>12</v>
      </c>
      <c r="BK71">
        <v>20</v>
      </c>
      <c r="BL71">
        <v>55</v>
      </c>
      <c r="BM71">
        <v>11</v>
      </c>
      <c r="BN71">
        <v>21</v>
      </c>
      <c r="BO71">
        <v>2</v>
      </c>
      <c r="BP71">
        <v>2</v>
      </c>
      <c r="BQ71">
        <v>4</v>
      </c>
      <c r="BR71">
        <v>21</v>
      </c>
      <c r="BS71">
        <v>34</v>
      </c>
      <c r="BT71" t="s">
        <v>384</v>
      </c>
      <c r="BU71">
        <v>5</v>
      </c>
      <c r="BV71">
        <v>70</v>
      </c>
      <c r="BW71">
        <v>75</v>
      </c>
      <c r="BZ71">
        <v>12</v>
      </c>
      <c r="CA71">
        <v>20</v>
      </c>
      <c r="CB71">
        <v>55</v>
      </c>
      <c r="CC71">
        <v>11</v>
      </c>
      <c r="CD71">
        <v>21</v>
      </c>
      <c r="CU71">
        <v>507066.61900000001</v>
      </c>
      <c r="CV71">
        <v>5022612.1289999997</v>
      </c>
      <c r="CW71">
        <v>45.35699323</v>
      </c>
      <c r="CX71">
        <v>-92.909785189999994</v>
      </c>
      <c r="CY71" s="472">
        <v>43282.493750000001</v>
      </c>
      <c r="CZ71" t="s">
        <v>391</v>
      </c>
      <c r="DA71" t="s">
        <v>392</v>
      </c>
      <c r="DB71" t="s">
        <v>397</v>
      </c>
      <c r="DC71" t="s">
        <v>398</v>
      </c>
      <c r="DD71" s="18" t="s">
        <v>478</v>
      </c>
    </row>
    <row r="72" spans="1:108" ht="16.5" customHeight="1" x14ac:dyDescent="0.25">
      <c r="A72">
        <v>7</v>
      </c>
      <c r="B72">
        <v>846076</v>
      </c>
      <c r="C72">
        <v>2</v>
      </c>
      <c r="D72">
        <v>8</v>
      </c>
      <c r="E72">
        <v>7.35</v>
      </c>
      <c r="F72">
        <v>13</v>
      </c>
      <c r="G72" t="s">
        <v>440</v>
      </c>
      <c r="I72" t="s">
        <v>384</v>
      </c>
      <c r="J72">
        <v>24</v>
      </c>
      <c r="L72">
        <v>20406204</v>
      </c>
      <c r="M72">
        <v>202870012</v>
      </c>
      <c r="N72">
        <v>10</v>
      </c>
      <c r="O72">
        <v>13</v>
      </c>
      <c r="P72">
        <v>2020</v>
      </c>
      <c r="Q72" t="s">
        <v>402</v>
      </c>
      <c r="R72">
        <v>6</v>
      </c>
      <c r="S72">
        <v>98</v>
      </c>
      <c r="T72">
        <v>5</v>
      </c>
      <c r="U72">
        <v>0</v>
      </c>
      <c r="V72">
        <v>2</v>
      </c>
      <c r="W72">
        <v>12</v>
      </c>
      <c r="X72">
        <v>10</v>
      </c>
      <c r="Y72">
        <v>10</v>
      </c>
      <c r="Z72">
        <v>2</v>
      </c>
      <c r="AA72">
        <v>1</v>
      </c>
      <c r="AC72">
        <v>1</v>
      </c>
      <c r="AD72">
        <v>98</v>
      </c>
      <c r="AE72" t="s">
        <v>388</v>
      </c>
      <c r="AG72" t="s">
        <v>389</v>
      </c>
      <c r="AH72">
        <v>7</v>
      </c>
      <c r="AI72">
        <v>2</v>
      </c>
      <c r="AJ72">
        <v>3</v>
      </c>
      <c r="AK72">
        <v>4</v>
      </c>
      <c r="AL72">
        <v>34</v>
      </c>
      <c r="AM72">
        <v>41</v>
      </c>
      <c r="AN72" t="s">
        <v>384</v>
      </c>
      <c r="AO72">
        <v>5</v>
      </c>
      <c r="AP72">
        <v>1</v>
      </c>
      <c r="AT72">
        <v>12</v>
      </c>
      <c r="AU72">
        <v>20</v>
      </c>
      <c r="AV72">
        <v>55</v>
      </c>
      <c r="AW72">
        <v>11</v>
      </c>
      <c r="AX72">
        <v>21</v>
      </c>
      <c r="AY72">
        <v>2</v>
      </c>
      <c r="AZ72">
        <v>2</v>
      </c>
      <c r="BA72">
        <v>4</v>
      </c>
      <c r="BB72">
        <v>21</v>
      </c>
      <c r="BC72">
        <v>18</v>
      </c>
      <c r="BD72" t="s">
        <v>384</v>
      </c>
      <c r="BE72">
        <v>5</v>
      </c>
      <c r="BF72">
        <v>74</v>
      </c>
      <c r="BG72">
        <v>70</v>
      </c>
      <c r="BJ72">
        <v>12</v>
      </c>
      <c r="BK72">
        <v>20</v>
      </c>
      <c r="BL72">
        <v>55</v>
      </c>
      <c r="BM72">
        <v>11</v>
      </c>
      <c r="BN72">
        <v>21</v>
      </c>
      <c r="CU72">
        <v>507066.3504</v>
      </c>
      <c r="CV72">
        <v>5022611.4709000001</v>
      </c>
      <c r="CW72">
        <v>45.3569873</v>
      </c>
      <c r="CX72">
        <v>-92.909788629999994</v>
      </c>
      <c r="CY72" s="472">
        <v>44117.281944444447</v>
      </c>
      <c r="CZ72" t="s">
        <v>391</v>
      </c>
      <c r="DA72" t="s">
        <v>392</v>
      </c>
      <c r="DB72" t="s">
        <v>397</v>
      </c>
      <c r="DC72" t="s">
        <v>398</v>
      </c>
      <c r="DD72" s="18" t="s">
        <v>479</v>
      </c>
    </row>
    <row r="73" spans="1:108" ht="16.5" customHeight="1" x14ac:dyDescent="0.25">
      <c r="A73">
        <v>7</v>
      </c>
      <c r="B73">
        <v>760204</v>
      </c>
      <c r="C73">
        <v>2</v>
      </c>
      <c r="D73">
        <v>8</v>
      </c>
      <c r="E73">
        <v>7.3520000000000003</v>
      </c>
      <c r="F73">
        <v>13</v>
      </c>
      <c r="G73" t="s">
        <v>440</v>
      </c>
      <c r="I73" t="s">
        <v>384</v>
      </c>
      <c r="J73">
        <v>24</v>
      </c>
      <c r="L73">
        <v>19409829</v>
      </c>
      <c r="M73">
        <v>193100231</v>
      </c>
      <c r="N73">
        <v>11</v>
      </c>
      <c r="O73">
        <v>6</v>
      </c>
      <c r="P73">
        <v>2019</v>
      </c>
      <c r="Q73" t="s">
        <v>396</v>
      </c>
      <c r="R73">
        <v>12</v>
      </c>
      <c r="S73">
        <v>98</v>
      </c>
      <c r="T73">
        <v>5</v>
      </c>
      <c r="U73">
        <v>0</v>
      </c>
      <c r="V73">
        <v>2</v>
      </c>
      <c r="W73">
        <v>12</v>
      </c>
      <c r="X73">
        <v>10</v>
      </c>
      <c r="Y73">
        <v>4</v>
      </c>
      <c r="Z73">
        <v>1</v>
      </c>
      <c r="AA73">
        <v>1</v>
      </c>
      <c r="AC73">
        <v>1</v>
      </c>
      <c r="AD73">
        <v>98</v>
      </c>
      <c r="AE73" t="s">
        <v>388</v>
      </c>
      <c r="AG73" t="s">
        <v>389</v>
      </c>
      <c r="AH73">
        <v>7</v>
      </c>
      <c r="AI73">
        <v>2</v>
      </c>
      <c r="AJ73">
        <v>4</v>
      </c>
      <c r="AK73">
        <v>4</v>
      </c>
      <c r="AL73">
        <v>21</v>
      </c>
      <c r="AM73">
        <v>18</v>
      </c>
      <c r="AN73" t="s">
        <v>384</v>
      </c>
      <c r="AO73">
        <v>5</v>
      </c>
      <c r="AP73">
        <v>90</v>
      </c>
      <c r="AT73">
        <v>12</v>
      </c>
      <c r="AU73">
        <v>20</v>
      </c>
      <c r="AV73">
        <v>55</v>
      </c>
      <c r="AW73">
        <v>11</v>
      </c>
      <c r="AX73">
        <v>21</v>
      </c>
      <c r="AY73">
        <v>2</v>
      </c>
      <c r="AZ73">
        <v>2</v>
      </c>
      <c r="BA73">
        <v>4</v>
      </c>
      <c r="BB73">
        <v>34</v>
      </c>
      <c r="BC73">
        <v>62</v>
      </c>
      <c r="BD73" t="s">
        <v>390</v>
      </c>
      <c r="BE73">
        <v>5</v>
      </c>
      <c r="BF73">
        <v>1</v>
      </c>
      <c r="BJ73">
        <v>12</v>
      </c>
      <c r="BK73">
        <v>20</v>
      </c>
      <c r="BL73">
        <v>55</v>
      </c>
      <c r="BM73">
        <v>11</v>
      </c>
      <c r="BN73">
        <v>21</v>
      </c>
      <c r="CU73">
        <v>507067.55959999998</v>
      </c>
      <c r="CV73">
        <v>5022614.4332999997</v>
      </c>
      <c r="CW73">
        <v>45.357013960000003</v>
      </c>
      <c r="CX73">
        <v>-92.909773150000007</v>
      </c>
      <c r="CY73" s="472">
        <v>43775.504861111112</v>
      </c>
      <c r="CZ73" t="s">
        <v>391</v>
      </c>
      <c r="DA73" t="s">
        <v>392</v>
      </c>
      <c r="DB73" t="s">
        <v>397</v>
      </c>
      <c r="DC73" t="s">
        <v>398</v>
      </c>
      <c r="DD73" s="18" t="s">
        <v>480</v>
      </c>
    </row>
    <row r="74" spans="1:108" ht="16.5" customHeight="1" x14ac:dyDescent="0.25">
      <c r="A74">
        <v>7</v>
      </c>
      <c r="B74">
        <v>907458</v>
      </c>
      <c r="C74">
        <v>2</v>
      </c>
      <c r="D74">
        <v>8</v>
      </c>
      <c r="E74">
        <v>7.36</v>
      </c>
      <c r="F74">
        <v>13</v>
      </c>
      <c r="G74" t="s">
        <v>440</v>
      </c>
      <c r="I74" t="s">
        <v>384</v>
      </c>
      <c r="J74">
        <v>24</v>
      </c>
      <c r="L74">
        <v>21403052</v>
      </c>
      <c r="M74">
        <v>211420171</v>
      </c>
      <c r="N74">
        <v>5</v>
      </c>
      <c r="O74">
        <v>22</v>
      </c>
      <c r="P74">
        <v>2021</v>
      </c>
      <c r="Q74" t="s">
        <v>405</v>
      </c>
      <c r="R74">
        <v>14</v>
      </c>
      <c r="S74">
        <v>98</v>
      </c>
      <c r="T74">
        <v>4</v>
      </c>
      <c r="U74">
        <v>0</v>
      </c>
      <c r="V74">
        <v>3</v>
      </c>
      <c r="W74">
        <v>12</v>
      </c>
      <c r="X74">
        <v>10</v>
      </c>
      <c r="Y74">
        <v>2</v>
      </c>
      <c r="Z74">
        <v>1</v>
      </c>
      <c r="AA74">
        <v>1</v>
      </c>
      <c r="AC74">
        <v>1</v>
      </c>
      <c r="AD74">
        <v>1</v>
      </c>
      <c r="AE74" t="s">
        <v>412</v>
      </c>
      <c r="AG74" t="s">
        <v>389</v>
      </c>
      <c r="AH74">
        <v>7</v>
      </c>
      <c r="AI74">
        <v>2</v>
      </c>
      <c r="AJ74">
        <v>31</v>
      </c>
      <c r="AK74">
        <v>3</v>
      </c>
      <c r="AL74">
        <v>26</v>
      </c>
      <c r="AM74">
        <v>70</v>
      </c>
      <c r="AN74" t="s">
        <v>384</v>
      </c>
      <c r="AO74">
        <v>5</v>
      </c>
      <c r="AP74">
        <v>1</v>
      </c>
      <c r="AT74">
        <v>12</v>
      </c>
      <c r="AU74">
        <v>9</v>
      </c>
      <c r="AV74">
        <v>55</v>
      </c>
      <c r="AW74">
        <v>11</v>
      </c>
      <c r="AX74">
        <v>21</v>
      </c>
      <c r="AY74">
        <v>2</v>
      </c>
      <c r="AZ74">
        <v>31</v>
      </c>
      <c r="BA74">
        <v>3</v>
      </c>
      <c r="BB74">
        <v>21</v>
      </c>
      <c r="BC74">
        <v>59</v>
      </c>
      <c r="BD74" t="s">
        <v>384</v>
      </c>
      <c r="BE74">
        <v>5</v>
      </c>
      <c r="BF74">
        <v>4</v>
      </c>
      <c r="BJ74">
        <v>12</v>
      </c>
      <c r="BK74">
        <v>9</v>
      </c>
      <c r="BL74">
        <v>55</v>
      </c>
      <c r="BM74">
        <v>11</v>
      </c>
      <c r="BN74">
        <v>21</v>
      </c>
      <c r="BO74">
        <v>2</v>
      </c>
      <c r="BP74">
        <v>2</v>
      </c>
      <c r="BQ74">
        <v>3</v>
      </c>
      <c r="BR74">
        <v>34</v>
      </c>
      <c r="BS74">
        <v>74</v>
      </c>
      <c r="BT74" t="s">
        <v>384</v>
      </c>
      <c r="BU74">
        <v>5</v>
      </c>
      <c r="BV74">
        <v>1</v>
      </c>
      <c r="BZ74">
        <v>12</v>
      </c>
      <c r="CA74">
        <v>9</v>
      </c>
      <c r="CB74">
        <v>55</v>
      </c>
      <c r="CC74">
        <v>11</v>
      </c>
      <c r="CD74">
        <v>21</v>
      </c>
      <c r="CU74">
        <v>507072.00329999998</v>
      </c>
      <c r="CV74">
        <v>5022625.3197999997</v>
      </c>
      <c r="CW74">
        <v>45.35711191</v>
      </c>
      <c r="CX74">
        <v>-92.909716259999996</v>
      </c>
      <c r="CY74" s="472">
        <v>44338.59097222222</v>
      </c>
      <c r="CZ74" t="s">
        <v>391</v>
      </c>
      <c r="DA74" t="s">
        <v>392</v>
      </c>
      <c r="DB74" t="s">
        <v>397</v>
      </c>
      <c r="DC74" t="s">
        <v>398</v>
      </c>
      <c r="DD74" t="s">
        <v>481</v>
      </c>
    </row>
    <row r="75" spans="1:108" ht="16.5" customHeight="1" x14ac:dyDescent="0.25">
      <c r="A75">
        <v>7</v>
      </c>
      <c r="B75">
        <v>906738</v>
      </c>
      <c r="C75">
        <v>2</v>
      </c>
      <c r="D75">
        <v>8</v>
      </c>
      <c r="E75">
        <v>7.367</v>
      </c>
      <c r="F75">
        <v>13</v>
      </c>
      <c r="G75" t="s">
        <v>440</v>
      </c>
      <c r="I75" t="s">
        <v>384</v>
      </c>
      <c r="J75">
        <v>24</v>
      </c>
      <c r="L75">
        <v>21402579</v>
      </c>
      <c r="M75">
        <v>211210207</v>
      </c>
      <c r="N75">
        <v>5</v>
      </c>
      <c r="O75">
        <v>1</v>
      </c>
      <c r="P75">
        <v>2021</v>
      </c>
      <c r="Q75" t="s">
        <v>405</v>
      </c>
      <c r="R75">
        <v>14</v>
      </c>
      <c r="T75">
        <v>5</v>
      </c>
      <c r="U75">
        <v>0</v>
      </c>
      <c r="V75">
        <v>2</v>
      </c>
      <c r="W75">
        <v>12</v>
      </c>
      <c r="X75">
        <v>10</v>
      </c>
      <c r="Y75">
        <v>2</v>
      </c>
      <c r="Z75">
        <v>1</v>
      </c>
      <c r="AA75">
        <v>1</v>
      </c>
      <c r="AC75">
        <v>1</v>
      </c>
      <c r="AD75">
        <v>98</v>
      </c>
      <c r="AE75" t="s">
        <v>388</v>
      </c>
      <c r="AG75" t="s">
        <v>389</v>
      </c>
      <c r="AH75">
        <v>7</v>
      </c>
      <c r="AI75">
        <v>2</v>
      </c>
      <c r="AJ75">
        <v>3</v>
      </c>
      <c r="AK75">
        <v>1</v>
      </c>
      <c r="AL75">
        <v>34</v>
      </c>
      <c r="AM75">
        <v>73</v>
      </c>
      <c r="AN75" t="s">
        <v>384</v>
      </c>
      <c r="AO75">
        <v>5</v>
      </c>
      <c r="AP75">
        <v>1</v>
      </c>
      <c r="AT75">
        <v>12</v>
      </c>
      <c r="AU75">
        <v>9</v>
      </c>
      <c r="AV75">
        <v>55</v>
      </c>
      <c r="AW75">
        <v>11</v>
      </c>
      <c r="AX75">
        <v>21</v>
      </c>
      <c r="AY75">
        <v>2</v>
      </c>
      <c r="AZ75">
        <v>4</v>
      </c>
      <c r="BA75">
        <v>1</v>
      </c>
      <c r="BB75">
        <v>21</v>
      </c>
      <c r="BC75">
        <v>28</v>
      </c>
      <c r="BD75" t="s">
        <v>384</v>
      </c>
      <c r="BE75">
        <v>5</v>
      </c>
      <c r="BF75">
        <v>4</v>
      </c>
      <c r="BG75">
        <v>90</v>
      </c>
      <c r="BJ75">
        <v>12</v>
      </c>
      <c r="BK75">
        <v>9</v>
      </c>
      <c r="BL75">
        <v>55</v>
      </c>
      <c r="BM75">
        <v>11</v>
      </c>
      <c r="BN75">
        <v>21</v>
      </c>
      <c r="CU75">
        <v>507076.17499999999</v>
      </c>
      <c r="CV75">
        <v>5022635.5399000002</v>
      </c>
      <c r="CW75">
        <v>45.357203859999998</v>
      </c>
      <c r="CX75">
        <v>-92.909662850000004</v>
      </c>
      <c r="CY75" s="472">
        <v>44317.585416666669</v>
      </c>
      <c r="CZ75" t="s">
        <v>391</v>
      </c>
      <c r="DA75" t="s">
        <v>392</v>
      </c>
      <c r="DB75" t="s">
        <v>397</v>
      </c>
      <c r="DC75" t="s">
        <v>398</v>
      </c>
      <c r="DD75" t="s">
        <v>482</v>
      </c>
    </row>
    <row r="76" spans="1:108" ht="16.5" customHeight="1" x14ac:dyDescent="0.25">
      <c r="A76">
        <v>7</v>
      </c>
      <c r="B76">
        <v>603040</v>
      </c>
      <c r="C76">
        <v>2</v>
      </c>
      <c r="D76">
        <v>8</v>
      </c>
      <c r="E76">
        <v>7.3719999999999999</v>
      </c>
      <c r="F76">
        <v>13</v>
      </c>
      <c r="G76" t="s">
        <v>440</v>
      </c>
      <c r="I76" t="s">
        <v>384</v>
      </c>
      <c r="J76">
        <v>24</v>
      </c>
      <c r="L76">
        <v>18405555</v>
      </c>
      <c r="M76">
        <v>181590180</v>
      </c>
      <c r="N76">
        <v>6</v>
      </c>
      <c r="O76">
        <v>8</v>
      </c>
      <c r="P76">
        <v>2018</v>
      </c>
      <c r="Q76" t="s">
        <v>415</v>
      </c>
      <c r="R76">
        <v>13</v>
      </c>
      <c r="S76">
        <v>98</v>
      </c>
      <c r="T76">
        <v>5</v>
      </c>
      <c r="U76">
        <v>0</v>
      </c>
      <c r="V76">
        <v>2</v>
      </c>
      <c r="W76">
        <v>12</v>
      </c>
      <c r="X76">
        <v>10</v>
      </c>
      <c r="Y76">
        <v>2</v>
      </c>
      <c r="Z76">
        <v>1</v>
      </c>
      <c r="AA76">
        <v>2</v>
      </c>
      <c r="AC76">
        <v>1</v>
      </c>
      <c r="AD76">
        <v>98</v>
      </c>
      <c r="AE76" t="s">
        <v>412</v>
      </c>
      <c r="AG76" t="s">
        <v>389</v>
      </c>
      <c r="AH76">
        <v>7</v>
      </c>
      <c r="AI76">
        <v>2</v>
      </c>
      <c r="AJ76">
        <v>4</v>
      </c>
      <c r="AK76">
        <v>4</v>
      </c>
      <c r="AL76">
        <v>34</v>
      </c>
      <c r="AM76">
        <v>56</v>
      </c>
      <c r="AN76" t="s">
        <v>384</v>
      </c>
      <c r="AO76">
        <v>5</v>
      </c>
      <c r="AP76">
        <v>1</v>
      </c>
      <c r="AT76">
        <v>12</v>
      </c>
      <c r="AU76">
        <v>9</v>
      </c>
      <c r="AV76">
        <v>55</v>
      </c>
      <c r="AW76">
        <v>11</v>
      </c>
      <c r="AX76">
        <v>21</v>
      </c>
      <c r="AY76">
        <v>2</v>
      </c>
      <c r="AZ76">
        <v>2</v>
      </c>
      <c r="BA76">
        <v>4</v>
      </c>
      <c r="BB76">
        <v>21</v>
      </c>
      <c r="BC76">
        <v>21</v>
      </c>
      <c r="BD76" t="s">
        <v>384</v>
      </c>
      <c r="BE76">
        <v>5</v>
      </c>
      <c r="BF76">
        <v>74</v>
      </c>
      <c r="BJ76">
        <v>12</v>
      </c>
      <c r="BK76">
        <v>9</v>
      </c>
      <c r="BL76">
        <v>55</v>
      </c>
      <c r="BM76">
        <v>11</v>
      </c>
      <c r="BN76">
        <v>21</v>
      </c>
      <c r="CU76">
        <v>507079.13380000001</v>
      </c>
      <c r="CV76">
        <v>5022642.7887000004</v>
      </c>
      <c r="CW76">
        <v>45.357269080000002</v>
      </c>
      <c r="CX76">
        <v>-92.909624969999996</v>
      </c>
      <c r="CY76" s="472">
        <v>43259.582638888889</v>
      </c>
      <c r="CZ76" t="s">
        <v>391</v>
      </c>
      <c r="DA76" t="s">
        <v>392</v>
      </c>
      <c r="DB76" t="s">
        <v>397</v>
      </c>
      <c r="DC76" t="s">
        <v>398</v>
      </c>
      <c r="DD76" s="18" t="s">
        <v>483</v>
      </c>
    </row>
    <row r="77" spans="1:108" ht="16.5" customHeight="1" x14ac:dyDescent="0.25">
      <c r="A77">
        <v>7</v>
      </c>
      <c r="B77">
        <v>935026</v>
      </c>
      <c r="C77">
        <v>2</v>
      </c>
      <c r="D77">
        <v>8</v>
      </c>
      <c r="E77">
        <v>7.3860000000000001</v>
      </c>
      <c r="F77">
        <v>13</v>
      </c>
      <c r="G77" t="s">
        <v>440</v>
      </c>
      <c r="I77" t="s">
        <v>384</v>
      </c>
      <c r="J77">
        <v>24</v>
      </c>
      <c r="L77">
        <v>21405216</v>
      </c>
      <c r="M77">
        <v>212300080</v>
      </c>
      <c r="N77">
        <v>8</v>
      </c>
      <c r="O77">
        <v>18</v>
      </c>
      <c r="P77">
        <v>2021</v>
      </c>
      <c r="Q77" t="s">
        <v>396</v>
      </c>
      <c r="R77">
        <v>15</v>
      </c>
      <c r="S77" t="s">
        <v>420</v>
      </c>
      <c r="T77">
        <v>5</v>
      </c>
      <c r="U77">
        <v>0</v>
      </c>
      <c r="V77">
        <v>3</v>
      </c>
      <c r="W77">
        <v>12</v>
      </c>
      <c r="X77">
        <v>10</v>
      </c>
      <c r="Y77">
        <v>10</v>
      </c>
      <c r="Z77">
        <v>1</v>
      </c>
      <c r="AA77">
        <v>1</v>
      </c>
      <c r="AC77">
        <v>1</v>
      </c>
      <c r="AD77">
        <v>98</v>
      </c>
      <c r="AE77" t="s">
        <v>388</v>
      </c>
      <c r="AF77">
        <v>36</v>
      </c>
      <c r="AG77" t="s">
        <v>389</v>
      </c>
      <c r="AH77">
        <v>7</v>
      </c>
      <c r="AI77">
        <v>2</v>
      </c>
      <c r="AJ77">
        <v>3</v>
      </c>
      <c r="AK77">
        <v>4</v>
      </c>
      <c r="AL77">
        <v>34</v>
      </c>
      <c r="AM77">
        <v>19</v>
      </c>
      <c r="AN77" t="s">
        <v>390</v>
      </c>
      <c r="AO77">
        <v>5</v>
      </c>
      <c r="AP77">
        <v>1</v>
      </c>
      <c r="AT77">
        <v>12</v>
      </c>
      <c r="AU77">
        <v>20</v>
      </c>
      <c r="AV77">
        <v>55</v>
      </c>
      <c r="AW77">
        <v>11</v>
      </c>
      <c r="AX77">
        <v>21</v>
      </c>
      <c r="AY77">
        <v>2</v>
      </c>
      <c r="AZ77">
        <v>3</v>
      </c>
      <c r="BA77">
        <v>4</v>
      </c>
      <c r="BB77">
        <v>26</v>
      </c>
      <c r="BC77">
        <v>22</v>
      </c>
      <c r="BD77" t="s">
        <v>384</v>
      </c>
      <c r="BE77">
        <v>5</v>
      </c>
      <c r="BF77">
        <v>1</v>
      </c>
      <c r="BJ77">
        <v>12</v>
      </c>
      <c r="BK77">
        <v>20</v>
      </c>
      <c r="BL77">
        <v>55</v>
      </c>
      <c r="BM77">
        <v>11</v>
      </c>
      <c r="BN77">
        <v>21</v>
      </c>
      <c r="BO77">
        <v>2</v>
      </c>
      <c r="BP77">
        <v>2</v>
      </c>
      <c r="BQ77">
        <v>4</v>
      </c>
      <c r="BR77">
        <v>21</v>
      </c>
      <c r="BS77">
        <v>20</v>
      </c>
      <c r="BT77" t="s">
        <v>390</v>
      </c>
      <c r="BU77">
        <v>5</v>
      </c>
      <c r="BV77">
        <v>4</v>
      </c>
      <c r="BZ77">
        <v>12</v>
      </c>
      <c r="CA77">
        <v>20</v>
      </c>
      <c r="CB77">
        <v>55</v>
      </c>
      <c r="CC77">
        <v>11</v>
      </c>
      <c r="CD77">
        <v>21</v>
      </c>
      <c r="CU77">
        <v>507087.75280000002</v>
      </c>
      <c r="CV77">
        <v>5022663.9041999998</v>
      </c>
      <c r="CW77">
        <v>45.357459059999996</v>
      </c>
      <c r="CX77">
        <v>-92.909514630000004</v>
      </c>
      <c r="CY77" s="472">
        <v>44426.658333333333</v>
      </c>
      <c r="CZ77" t="s">
        <v>391</v>
      </c>
      <c r="DA77" t="s">
        <v>392</v>
      </c>
      <c r="DB77" t="s">
        <v>397</v>
      </c>
      <c r="DC77" t="s">
        <v>398</v>
      </c>
      <c r="DD77" s="18" t="s">
        <v>484</v>
      </c>
    </row>
    <row r="78" spans="1:108" ht="16.5" customHeight="1" x14ac:dyDescent="0.25">
      <c r="A78">
        <v>7</v>
      </c>
      <c r="B78">
        <v>780798</v>
      </c>
      <c r="C78">
        <v>2</v>
      </c>
      <c r="D78">
        <v>8</v>
      </c>
      <c r="E78">
        <v>7.4180000000000001</v>
      </c>
      <c r="F78">
        <v>13</v>
      </c>
      <c r="G78" t="s">
        <v>440</v>
      </c>
      <c r="I78" t="s">
        <v>384</v>
      </c>
      <c r="J78">
        <v>24</v>
      </c>
      <c r="L78">
        <v>20400552</v>
      </c>
      <c r="M78">
        <v>200180202</v>
      </c>
      <c r="N78">
        <v>1</v>
      </c>
      <c r="O78">
        <v>18</v>
      </c>
      <c r="P78">
        <v>2020</v>
      </c>
      <c r="Q78" t="s">
        <v>405</v>
      </c>
      <c r="R78">
        <v>17</v>
      </c>
      <c r="S78">
        <v>98</v>
      </c>
      <c r="T78">
        <v>5</v>
      </c>
      <c r="U78">
        <v>0</v>
      </c>
      <c r="V78">
        <v>1</v>
      </c>
      <c r="X78">
        <v>83</v>
      </c>
      <c r="Y78">
        <v>2</v>
      </c>
      <c r="Z78">
        <v>6</v>
      </c>
      <c r="AA78">
        <v>7</v>
      </c>
      <c r="AC78">
        <v>5</v>
      </c>
      <c r="AD78">
        <v>98</v>
      </c>
      <c r="AE78" t="s">
        <v>476</v>
      </c>
      <c r="AG78" t="s">
        <v>389</v>
      </c>
      <c r="AH78">
        <v>3</v>
      </c>
      <c r="AI78">
        <v>2</v>
      </c>
      <c r="AJ78">
        <v>4</v>
      </c>
      <c r="AK78">
        <v>3</v>
      </c>
      <c r="AL78">
        <v>21</v>
      </c>
      <c r="AM78">
        <v>18</v>
      </c>
      <c r="AN78" t="s">
        <v>384</v>
      </c>
      <c r="AO78">
        <v>5</v>
      </c>
      <c r="AP78">
        <v>99</v>
      </c>
      <c r="AT78">
        <v>12</v>
      </c>
      <c r="AU78">
        <v>9</v>
      </c>
      <c r="AV78">
        <v>55</v>
      </c>
      <c r="AW78">
        <v>11</v>
      </c>
      <c r="AX78">
        <v>21</v>
      </c>
      <c r="CU78">
        <v>507107.4019</v>
      </c>
      <c r="CV78">
        <v>5022712.0422999999</v>
      </c>
      <c r="CW78">
        <v>45.35789217</v>
      </c>
      <c r="CX78">
        <v>-92.909263060000001</v>
      </c>
      <c r="CY78" s="472">
        <v>43848.739583333336</v>
      </c>
      <c r="CZ78" t="s">
        <v>391</v>
      </c>
      <c r="DA78" t="s">
        <v>392</v>
      </c>
      <c r="DB78" t="s">
        <v>397</v>
      </c>
      <c r="DC78" t="s">
        <v>398</v>
      </c>
      <c r="DD78" t="s">
        <v>485</v>
      </c>
    </row>
    <row r="79" spans="1:108" ht="16.5" customHeight="1" x14ac:dyDescent="0.25">
      <c r="CY79" s="472"/>
    </row>
    <row r="80" spans="1:108" ht="16.5" customHeight="1" x14ac:dyDescent="0.25">
      <c r="A80">
        <v>7</v>
      </c>
      <c r="B80">
        <v>938116</v>
      </c>
      <c r="C80">
        <v>2</v>
      </c>
      <c r="D80">
        <v>8</v>
      </c>
      <c r="E80">
        <v>7.4939999999999998</v>
      </c>
      <c r="F80">
        <v>13</v>
      </c>
      <c r="G80" t="s">
        <v>440</v>
      </c>
      <c r="I80" t="s">
        <v>384</v>
      </c>
      <c r="J80">
        <v>24</v>
      </c>
      <c r="L80">
        <v>21404706</v>
      </c>
      <c r="M80">
        <v>212100245</v>
      </c>
      <c r="N80">
        <v>7</v>
      </c>
      <c r="O80">
        <v>29</v>
      </c>
      <c r="P80">
        <v>2021</v>
      </c>
      <c r="Q80" t="s">
        <v>386</v>
      </c>
      <c r="R80">
        <v>16</v>
      </c>
      <c r="S80" t="s">
        <v>448</v>
      </c>
      <c r="T80">
        <v>5</v>
      </c>
      <c r="U80">
        <v>0</v>
      </c>
      <c r="V80">
        <v>2</v>
      </c>
      <c r="W80">
        <v>12</v>
      </c>
      <c r="X80">
        <v>10</v>
      </c>
      <c r="Y80">
        <v>2</v>
      </c>
      <c r="Z80">
        <v>1</v>
      </c>
      <c r="AA80">
        <v>1</v>
      </c>
      <c r="AC80">
        <v>1</v>
      </c>
      <c r="AD80">
        <v>98</v>
      </c>
      <c r="AE80" t="s">
        <v>388</v>
      </c>
      <c r="AG80" t="s">
        <v>389</v>
      </c>
      <c r="AH80">
        <v>7</v>
      </c>
      <c r="AI80">
        <v>2</v>
      </c>
      <c r="AJ80">
        <v>4</v>
      </c>
      <c r="AK80">
        <v>1</v>
      </c>
      <c r="AL80">
        <v>26</v>
      </c>
      <c r="AM80">
        <v>36</v>
      </c>
      <c r="AN80" t="s">
        <v>384</v>
      </c>
      <c r="AO80">
        <v>5</v>
      </c>
      <c r="AP80">
        <v>1</v>
      </c>
      <c r="AT80">
        <v>12</v>
      </c>
      <c r="AU80">
        <v>9</v>
      </c>
      <c r="AV80">
        <v>55</v>
      </c>
      <c r="AW80">
        <v>11</v>
      </c>
      <c r="AX80">
        <v>21</v>
      </c>
      <c r="AY80">
        <v>2</v>
      </c>
      <c r="AZ80">
        <v>2</v>
      </c>
      <c r="BA80">
        <v>1</v>
      </c>
      <c r="BB80">
        <v>21</v>
      </c>
      <c r="BC80">
        <v>19</v>
      </c>
      <c r="BD80" t="s">
        <v>384</v>
      </c>
      <c r="BE80">
        <v>5</v>
      </c>
      <c r="BF80">
        <v>4</v>
      </c>
      <c r="BJ80">
        <v>12</v>
      </c>
      <c r="BK80">
        <v>9</v>
      </c>
      <c r="BL80">
        <v>55</v>
      </c>
      <c r="BM80">
        <v>11</v>
      </c>
      <c r="BN80">
        <v>21</v>
      </c>
      <c r="CU80">
        <v>507153.4411</v>
      </c>
      <c r="CV80">
        <v>5022824.8331000004</v>
      </c>
      <c r="CW80">
        <v>45.35890697</v>
      </c>
      <c r="CX80">
        <v>-92.908673620000002</v>
      </c>
      <c r="CY80" s="472">
        <v>44406.694444444445</v>
      </c>
      <c r="CZ80" t="s">
        <v>391</v>
      </c>
      <c r="DA80" t="s">
        <v>392</v>
      </c>
      <c r="DB80" t="s">
        <v>397</v>
      </c>
      <c r="DC80" t="s">
        <v>398</v>
      </c>
      <c r="DD80" s="18" t="s">
        <v>486</v>
      </c>
    </row>
    <row r="81" spans="1:108" ht="16.5" customHeight="1" x14ac:dyDescent="0.25">
      <c r="A81">
        <v>7</v>
      </c>
      <c r="B81">
        <v>765698</v>
      </c>
      <c r="C81">
        <v>4</v>
      </c>
      <c r="D81">
        <v>36</v>
      </c>
      <c r="E81">
        <v>4.68</v>
      </c>
      <c r="F81">
        <v>13</v>
      </c>
      <c r="G81" t="s">
        <v>440</v>
      </c>
      <c r="I81" t="s">
        <v>384</v>
      </c>
      <c r="J81">
        <v>24</v>
      </c>
      <c r="L81">
        <v>19410521</v>
      </c>
      <c r="M81">
        <v>193310188</v>
      </c>
      <c r="N81">
        <v>11</v>
      </c>
      <c r="O81">
        <v>27</v>
      </c>
      <c r="P81">
        <v>2019</v>
      </c>
      <c r="Q81" t="s">
        <v>396</v>
      </c>
      <c r="R81">
        <v>12</v>
      </c>
      <c r="S81">
        <v>98</v>
      </c>
      <c r="T81">
        <v>5</v>
      </c>
      <c r="U81">
        <v>0</v>
      </c>
      <c r="V81">
        <v>1</v>
      </c>
      <c r="X81">
        <v>32</v>
      </c>
      <c r="Y81">
        <v>3</v>
      </c>
      <c r="Z81">
        <v>1</v>
      </c>
      <c r="AA81">
        <v>2</v>
      </c>
      <c r="AC81">
        <v>2</v>
      </c>
      <c r="AD81">
        <v>98</v>
      </c>
      <c r="AE81" t="s">
        <v>487</v>
      </c>
      <c r="AG81" t="s">
        <v>488</v>
      </c>
      <c r="AH81">
        <v>3</v>
      </c>
      <c r="AI81">
        <v>2</v>
      </c>
      <c r="AJ81">
        <v>2</v>
      </c>
      <c r="AK81">
        <v>4</v>
      </c>
      <c r="AL81">
        <v>21</v>
      </c>
      <c r="AM81">
        <v>22</v>
      </c>
      <c r="AN81" t="s">
        <v>384</v>
      </c>
      <c r="AO81">
        <v>5</v>
      </c>
      <c r="AP81">
        <v>75</v>
      </c>
      <c r="AT81">
        <v>12</v>
      </c>
      <c r="AU81">
        <v>20</v>
      </c>
      <c r="AV81">
        <v>55</v>
      </c>
      <c r="AW81">
        <v>11</v>
      </c>
      <c r="AX81">
        <v>21</v>
      </c>
      <c r="CU81">
        <v>507028.48430000001</v>
      </c>
      <c r="CV81">
        <v>5022578.5690000001</v>
      </c>
      <c r="CW81">
        <v>45.356691519999998</v>
      </c>
      <c r="CX81">
        <v>-92.910272550000002</v>
      </c>
      <c r="CY81" s="472">
        <v>43796.535416666666</v>
      </c>
      <c r="CZ81" t="s">
        <v>391</v>
      </c>
      <c r="DA81" t="s">
        <v>392</v>
      </c>
      <c r="DB81" t="s">
        <v>397</v>
      </c>
      <c r="DC81" t="s">
        <v>398</v>
      </c>
      <c r="DD81" t="s">
        <v>489</v>
      </c>
    </row>
    <row r="82" spans="1:108" ht="16.5" customHeight="1" x14ac:dyDescent="0.25">
      <c r="A82">
        <v>9</v>
      </c>
      <c r="B82">
        <v>672906</v>
      </c>
      <c r="C82">
        <v>2</v>
      </c>
      <c r="D82">
        <v>8</v>
      </c>
      <c r="E82">
        <v>8.3529999999999998</v>
      </c>
      <c r="F82">
        <v>13</v>
      </c>
      <c r="G82" t="s">
        <v>440</v>
      </c>
      <c r="I82" t="s">
        <v>384</v>
      </c>
      <c r="J82">
        <v>24</v>
      </c>
      <c r="L82">
        <v>18411790</v>
      </c>
      <c r="M82">
        <v>183650154</v>
      </c>
      <c r="N82">
        <v>12</v>
      </c>
      <c r="O82">
        <v>31</v>
      </c>
      <c r="P82">
        <v>2018</v>
      </c>
      <c r="Q82" t="s">
        <v>400</v>
      </c>
      <c r="R82">
        <v>16</v>
      </c>
      <c r="S82">
        <v>98</v>
      </c>
      <c r="T82">
        <v>5</v>
      </c>
      <c r="U82">
        <v>0</v>
      </c>
      <c r="V82">
        <v>2</v>
      </c>
      <c r="W82">
        <v>12</v>
      </c>
      <c r="X82">
        <v>10</v>
      </c>
      <c r="Y82">
        <v>3</v>
      </c>
      <c r="Z82">
        <v>1</v>
      </c>
      <c r="AA82">
        <v>4</v>
      </c>
      <c r="AC82">
        <v>3</v>
      </c>
      <c r="AD82">
        <v>98</v>
      </c>
      <c r="AE82" t="s">
        <v>490</v>
      </c>
      <c r="AG82" t="s">
        <v>389</v>
      </c>
      <c r="AH82">
        <v>7</v>
      </c>
      <c r="AI82">
        <v>2</v>
      </c>
      <c r="AJ82">
        <v>4</v>
      </c>
      <c r="AK82">
        <v>4</v>
      </c>
      <c r="AL82">
        <v>34</v>
      </c>
      <c r="AM82">
        <v>66</v>
      </c>
      <c r="AN82" t="s">
        <v>384</v>
      </c>
      <c r="AO82">
        <v>5</v>
      </c>
      <c r="AP82">
        <v>1</v>
      </c>
      <c r="AT82">
        <v>14</v>
      </c>
      <c r="AU82">
        <v>20</v>
      </c>
      <c r="AV82">
        <v>35</v>
      </c>
      <c r="AW82">
        <v>11</v>
      </c>
      <c r="AX82">
        <v>21</v>
      </c>
      <c r="AY82">
        <v>2</v>
      </c>
      <c r="AZ82">
        <v>4</v>
      </c>
      <c r="BA82">
        <v>4</v>
      </c>
      <c r="BB82">
        <v>26</v>
      </c>
      <c r="BC82">
        <v>82</v>
      </c>
      <c r="BD82" t="s">
        <v>384</v>
      </c>
      <c r="BE82">
        <v>5</v>
      </c>
      <c r="BF82">
        <v>4</v>
      </c>
      <c r="BJ82">
        <v>14</v>
      </c>
      <c r="BK82">
        <v>20</v>
      </c>
      <c r="BL82">
        <v>35</v>
      </c>
      <c r="BM82">
        <v>11</v>
      </c>
      <c r="BN82">
        <v>21</v>
      </c>
      <c r="CU82">
        <v>507884.35609999998</v>
      </c>
      <c r="CV82">
        <v>5023984.6028000005</v>
      </c>
      <c r="CW82">
        <v>45.36933861</v>
      </c>
      <c r="CX82">
        <v>-92.899322900000001</v>
      </c>
      <c r="CY82" s="472">
        <v>43465.684027777781</v>
      </c>
      <c r="CZ82" t="s">
        <v>391</v>
      </c>
      <c r="DA82" t="s">
        <v>392</v>
      </c>
      <c r="DB82" t="s">
        <v>397</v>
      </c>
      <c r="DC82" t="s">
        <v>398</v>
      </c>
      <c r="DD82" s="18" t="s">
        <v>491</v>
      </c>
    </row>
    <row r="83" spans="1:108" ht="16.5" customHeight="1" x14ac:dyDescent="0.25">
      <c r="CY83" s="472"/>
      <c r="DD83" s="18"/>
    </row>
    <row r="84" spans="1:108" ht="16.5" customHeight="1" x14ac:dyDescent="0.25">
      <c r="A84">
        <v>9</v>
      </c>
      <c r="B84">
        <v>838424</v>
      </c>
      <c r="C84">
        <v>2</v>
      </c>
      <c r="D84">
        <v>8</v>
      </c>
      <c r="E84">
        <v>8.3870000000000005</v>
      </c>
      <c r="F84">
        <v>13</v>
      </c>
      <c r="G84" t="s">
        <v>440</v>
      </c>
      <c r="I84" t="s">
        <v>384</v>
      </c>
      <c r="J84">
        <v>24</v>
      </c>
      <c r="L84">
        <v>20004104</v>
      </c>
      <c r="M84">
        <v>202450106</v>
      </c>
      <c r="N84">
        <v>9</v>
      </c>
      <c r="O84">
        <v>1</v>
      </c>
      <c r="P84">
        <v>2020</v>
      </c>
      <c r="Q84" t="s">
        <v>402</v>
      </c>
      <c r="R84">
        <v>18</v>
      </c>
      <c r="S84" t="s">
        <v>387</v>
      </c>
      <c r="T84">
        <v>5</v>
      </c>
      <c r="U84">
        <v>0</v>
      </c>
      <c r="V84">
        <v>1</v>
      </c>
      <c r="X84">
        <v>32</v>
      </c>
      <c r="Y84">
        <v>3</v>
      </c>
      <c r="Z84">
        <v>1</v>
      </c>
      <c r="AA84">
        <v>2</v>
      </c>
      <c r="AC84">
        <v>1</v>
      </c>
      <c r="AD84">
        <v>98</v>
      </c>
      <c r="AE84" t="s">
        <v>492</v>
      </c>
      <c r="AG84" t="s">
        <v>389</v>
      </c>
      <c r="AH84">
        <v>3</v>
      </c>
      <c r="AI84">
        <v>1</v>
      </c>
      <c r="AJ84">
        <v>2</v>
      </c>
      <c r="AK84">
        <v>3</v>
      </c>
      <c r="AL84">
        <v>21</v>
      </c>
      <c r="AM84">
        <v>39</v>
      </c>
      <c r="AN84" t="s">
        <v>390</v>
      </c>
      <c r="AO84">
        <v>5</v>
      </c>
      <c r="AP84">
        <v>99</v>
      </c>
      <c r="AT84">
        <v>15</v>
      </c>
      <c r="AU84">
        <v>9</v>
      </c>
      <c r="AV84">
        <v>45</v>
      </c>
      <c r="AW84">
        <v>11</v>
      </c>
      <c r="AX84">
        <v>21</v>
      </c>
      <c r="CU84">
        <v>507918.54749999999</v>
      </c>
      <c r="CV84">
        <v>5024027.5598999998</v>
      </c>
      <c r="CW84">
        <v>45.369724890000001</v>
      </c>
      <c r="CX84">
        <v>-92.898885579999998</v>
      </c>
      <c r="CY84" s="472">
        <v>44075.753472222219</v>
      </c>
      <c r="CZ84" t="s">
        <v>391</v>
      </c>
      <c r="DA84" t="s">
        <v>392</v>
      </c>
      <c r="DB84" t="s">
        <v>445</v>
      </c>
      <c r="DC84" t="s">
        <v>394</v>
      </c>
      <c r="DD84" t="s">
        <v>493</v>
      </c>
    </row>
    <row r="85" spans="1:108" ht="16.5" customHeight="1" x14ac:dyDescent="0.25">
      <c r="A85">
        <v>9</v>
      </c>
      <c r="B85">
        <v>539318</v>
      </c>
      <c r="C85">
        <v>2</v>
      </c>
      <c r="D85">
        <v>8</v>
      </c>
      <c r="E85">
        <v>8.4290000000000003</v>
      </c>
      <c r="F85">
        <v>13</v>
      </c>
      <c r="G85" t="s">
        <v>440</v>
      </c>
      <c r="I85" t="s">
        <v>384</v>
      </c>
      <c r="J85">
        <v>24</v>
      </c>
      <c r="L85">
        <v>18401089</v>
      </c>
      <c r="M85">
        <v>180230031</v>
      </c>
      <c r="N85">
        <v>1</v>
      </c>
      <c r="O85">
        <v>23</v>
      </c>
      <c r="P85">
        <v>2018</v>
      </c>
      <c r="Q85" t="s">
        <v>402</v>
      </c>
      <c r="R85">
        <v>7</v>
      </c>
      <c r="S85">
        <v>98</v>
      </c>
      <c r="T85">
        <v>5</v>
      </c>
      <c r="U85">
        <v>0</v>
      </c>
      <c r="V85">
        <v>1</v>
      </c>
      <c r="X85">
        <v>32</v>
      </c>
      <c r="Y85">
        <v>3</v>
      </c>
      <c r="Z85">
        <v>7</v>
      </c>
      <c r="AA85">
        <v>2</v>
      </c>
      <c r="AC85">
        <v>3</v>
      </c>
      <c r="AD85">
        <v>98</v>
      </c>
      <c r="AE85" t="s">
        <v>492</v>
      </c>
      <c r="AG85" t="s">
        <v>389</v>
      </c>
      <c r="AH85">
        <v>3</v>
      </c>
      <c r="AI85">
        <v>1</v>
      </c>
      <c r="AK85">
        <v>99</v>
      </c>
      <c r="AL85">
        <v>99</v>
      </c>
      <c r="AT85">
        <v>14</v>
      </c>
      <c r="AU85">
        <v>9</v>
      </c>
      <c r="AV85">
        <v>55</v>
      </c>
      <c r="AW85">
        <v>11</v>
      </c>
      <c r="AX85">
        <v>21</v>
      </c>
      <c r="CU85">
        <v>507960.4938</v>
      </c>
      <c r="CV85">
        <v>5024080.3926999997</v>
      </c>
      <c r="CW85">
        <v>45.370199980000002</v>
      </c>
      <c r="CX85">
        <v>-92.898349060000001</v>
      </c>
      <c r="CY85" s="472">
        <v>43123.299305555556</v>
      </c>
      <c r="CZ85" t="s">
        <v>391</v>
      </c>
      <c r="DA85" t="s">
        <v>392</v>
      </c>
      <c r="DB85" t="s">
        <v>397</v>
      </c>
      <c r="DC85" t="s">
        <v>398</v>
      </c>
      <c r="DD85" s="18" t="s">
        <v>494</v>
      </c>
    </row>
    <row r="86" spans="1:108" ht="16.5" customHeight="1" x14ac:dyDescent="0.25">
      <c r="CY86" s="472"/>
      <c r="DD86" s="18"/>
    </row>
    <row r="87" spans="1:108" ht="16.5" customHeight="1" x14ac:dyDescent="0.25">
      <c r="A87">
        <v>11</v>
      </c>
      <c r="B87">
        <v>697214</v>
      </c>
      <c r="C87">
        <v>2</v>
      </c>
      <c r="D87">
        <v>8</v>
      </c>
      <c r="E87">
        <v>5.5890000000000004</v>
      </c>
      <c r="F87">
        <v>13</v>
      </c>
      <c r="G87" t="s">
        <v>440</v>
      </c>
      <c r="I87" t="s">
        <v>384</v>
      </c>
      <c r="J87">
        <v>24</v>
      </c>
      <c r="L87">
        <v>19403054</v>
      </c>
      <c r="M87">
        <v>190700240</v>
      </c>
      <c r="N87">
        <v>3</v>
      </c>
      <c r="O87">
        <v>11</v>
      </c>
      <c r="P87">
        <v>2019</v>
      </c>
      <c r="Q87" t="s">
        <v>400</v>
      </c>
      <c r="R87">
        <v>15</v>
      </c>
      <c r="S87">
        <v>98</v>
      </c>
      <c r="T87">
        <v>5</v>
      </c>
      <c r="U87">
        <v>0</v>
      </c>
      <c r="V87">
        <v>2</v>
      </c>
      <c r="W87">
        <v>12</v>
      </c>
      <c r="X87">
        <v>10</v>
      </c>
      <c r="Y87">
        <v>2</v>
      </c>
      <c r="Z87">
        <v>1</v>
      </c>
      <c r="AA87">
        <v>1</v>
      </c>
      <c r="AC87">
        <v>1</v>
      </c>
      <c r="AD87">
        <v>98</v>
      </c>
      <c r="AE87" t="s">
        <v>412</v>
      </c>
      <c r="AG87" t="s">
        <v>389</v>
      </c>
      <c r="AH87">
        <v>7</v>
      </c>
      <c r="AI87">
        <v>2</v>
      </c>
      <c r="AJ87">
        <v>2</v>
      </c>
      <c r="AK87">
        <v>3</v>
      </c>
      <c r="AL87">
        <v>34</v>
      </c>
      <c r="AM87">
        <v>64</v>
      </c>
      <c r="AN87" t="s">
        <v>390</v>
      </c>
      <c r="AO87">
        <v>5</v>
      </c>
      <c r="AP87">
        <v>1</v>
      </c>
      <c r="AT87">
        <v>12</v>
      </c>
      <c r="AU87">
        <v>9</v>
      </c>
      <c r="AV87">
        <v>55</v>
      </c>
      <c r="AW87">
        <v>11</v>
      </c>
      <c r="AX87">
        <v>21</v>
      </c>
      <c r="AY87">
        <v>2</v>
      </c>
      <c r="AZ87">
        <v>3</v>
      </c>
      <c r="BA87">
        <v>3</v>
      </c>
      <c r="BB87">
        <v>21</v>
      </c>
      <c r="BC87">
        <v>28</v>
      </c>
      <c r="BD87" t="s">
        <v>384</v>
      </c>
      <c r="BE87">
        <v>10</v>
      </c>
      <c r="BF87">
        <v>4</v>
      </c>
      <c r="BJ87">
        <v>12</v>
      </c>
      <c r="BK87">
        <v>9</v>
      </c>
      <c r="BL87">
        <v>55</v>
      </c>
      <c r="BM87">
        <v>11</v>
      </c>
      <c r="BN87">
        <v>21</v>
      </c>
      <c r="CU87">
        <v>506122.75260000001</v>
      </c>
      <c r="CV87">
        <v>5020047.9647000004</v>
      </c>
      <c r="CW87">
        <v>45.333921109999999</v>
      </c>
      <c r="CX87">
        <v>-92.921867680000005</v>
      </c>
      <c r="CY87" s="472">
        <v>43535.635416666664</v>
      </c>
      <c r="CZ87" t="s">
        <v>391</v>
      </c>
      <c r="DA87" t="s">
        <v>392</v>
      </c>
      <c r="DB87" t="s">
        <v>397</v>
      </c>
      <c r="DC87" t="s">
        <v>398</v>
      </c>
      <c r="DD87" t="s">
        <v>495</v>
      </c>
    </row>
    <row r="88" spans="1:108" ht="16.5" customHeight="1" x14ac:dyDescent="0.25">
      <c r="A88">
        <v>11</v>
      </c>
      <c r="B88">
        <v>979304</v>
      </c>
      <c r="C88">
        <v>2</v>
      </c>
      <c r="D88">
        <v>8</v>
      </c>
      <c r="E88">
        <v>5.5890000000000004</v>
      </c>
      <c r="F88">
        <v>13</v>
      </c>
      <c r="G88" t="s">
        <v>440</v>
      </c>
      <c r="I88" t="s">
        <v>384</v>
      </c>
      <c r="J88">
        <v>24</v>
      </c>
      <c r="L88">
        <v>21408138</v>
      </c>
      <c r="M88">
        <v>213430236</v>
      </c>
      <c r="N88">
        <v>12</v>
      </c>
      <c r="O88">
        <v>9</v>
      </c>
      <c r="P88">
        <v>2021</v>
      </c>
      <c r="Q88" t="s">
        <v>386</v>
      </c>
      <c r="R88">
        <v>14</v>
      </c>
      <c r="S88">
        <v>98</v>
      </c>
      <c r="T88">
        <v>5</v>
      </c>
      <c r="U88">
        <v>0</v>
      </c>
      <c r="V88">
        <v>2</v>
      </c>
      <c r="W88">
        <v>12</v>
      </c>
      <c r="X88">
        <v>10</v>
      </c>
      <c r="Y88">
        <v>4</v>
      </c>
      <c r="Z88">
        <v>1</v>
      </c>
      <c r="AA88">
        <v>1</v>
      </c>
      <c r="AC88">
        <v>1</v>
      </c>
      <c r="AD88">
        <v>98</v>
      </c>
      <c r="AE88" t="s">
        <v>388</v>
      </c>
      <c r="AF88" t="s">
        <v>496</v>
      </c>
      <c r="AG88" t="s">
        <v>389</v>
      </c>
      <c r="AH88">
        <v>7</v>
      </c>
      <c r="AI88">
        <v>2</v>
      </c>
      <c r="AJ88">
        <v>4</v>
      </c>
      <c r="AK88">
        <v>3</v>
      </c>
      <c r="AL88">
        <v>21</v>
      </c>
      <c r="AM88">
        <v>77</v>
      </c>
      <c r="AN88" t="s">
        <v>390</v>
      </c>
      <c r="AO88">
        <v>5</v>
      </c>
      <c r="AP88">
        <v>1</v>
      </c>
      <c r="AT88">
        <v>12</v>
      </c>
      <c r="AU88">
        <v>23</v>
      </c>
      <c r="AV88">
        <v>55</v>
      </c>
      <c r="AW88">
        <v>11</v>
      </c>
      <c r="AX88">
        <v>21</v>
      </c>
      <c r="AY88">
        <v>2</v>
      </c>
      <c r="AZ88">
        <v>4</v>
      </c>
      <c r="BA88">
        <v>3</v>
      </c>
      <c r="BB88">
        <v>21</v>
      </c>
      <c r="BC88">
        <v>54</v>
      </c>
      <c r="BD88" t="s">
        <v>390</v>
      </c>
      <c r="BE88">
        <v>5</v>
      </c>
      <c r="BF88">
        <v>99</v>
      </c>
      <c r="BJ88">
        <v>12</v>
      </c>
      <c r="BK88">
        <v>23</v>
      </c>
      <c r="BL88">
        <v>55</v>
      </c>
      <c r="BM88">
        <v>11</v>
      </c>
      <c r="BN88">
        <v>21</v>
      </c>
      <c r="CU88">
        <v>506122.95970000001</v>
      </c>
      <c r="CV88">
        <v>5020048.2237</v>
      </c>
      <c r="CW88">
        <v>45.33392344</v>
      </c>
      <c r="CX88">
        <v>-92.921865030000006</v>
      </c>
      <c r="CY88" s="472">
        <v>44539.59652777778</v>
      </c>
      <c r="CZ88" t="s">
        <v>391</v>
      </c>
      <c r="DA88" t="s">
        <v>392</v>
      </c>
      <c r="DB88" t="s">
        <v>397</v>
      </c>
      <c r="DC88" t="s">
        <v>398</v>
      </c>
      <c r="DD88" t="s">
        <v>497</v>
      </c>
    </row>
    <row r="89" spans="1:108" ht="16.5" customHeight="1" x14ac:dyDescent="0.25">
      <c r="CY89" s="472"/>
    </row>
    <row r="90" spans="1:108" ht="16.5" customHeight="1" x14ac:dyDescent="0.25">
      <c r="CY90" s="472"/>
      <c r="DD90" s="18"/>
    </row>
    <row r="91" spans="1:108" ht="16.5" customHeight="1" x14ac:dyDescent="0.25">
      <c r="A91">
        <v>8</v>
      </c>
      <c r="B91">
        <v>689352</v>
      </c>
      <c r="C91">
        <v>2</v>
      </c>
      <c r="D91">
        <v>8</v>
      </c>
      <c r="E91">
        <v>8.1839999999999993</v>
      </c>
      <c r="F91">
        <v>13</v>
      </c>
      <c r="G91" t="s">
        <v>440</v>
      </c>
      <c r="I91" t="s">
        <v>384</v>
      </c>
      <c r="J91">
        <v>24</v>
      </c>
      <c r="L91">
        <v>19402126</v>
      </c>
      <c r="M91">
        <v>190490072</v>
      </c>
      <c r="N91">
        <v>2</v>
      </c>
      <c r="O91">
        <v>18</v>
      </c>
      <c r="P91">
        <v>2019</v>
      </c>
      <c r="Q91" t="s">
        <v>400</v>
      </c>
      <c r="R91">
        <v>10</v>
      </c>
      <c r="S91">
        <v>98</v>
      </c>
      <c r="T91">
        <v>5</v>
      </c>
      <c r="U91">
        <v>0</v>
      </c>
      <c r="V91">
        <v>2</v>
      </c>
      <c r="W91">
        <v>12</v>
      </c>
      <c r="X91">
        <v>10</v>
      </c>
      <c r="Y91">
        <v>4</v>
      </c>
      <c r="Z91">
        <v>1</v>
      </c>
      <c r="AA91">
        <v>1</v>
      </c>
      <c r="AC91">
        <v>1</v>
      </c>
      <c r="AD91">
        <v>98</v>
      </c>
      <c r="AE91" t="s">
        <v>412</v>
      </c>
      <c r="AG91" t="s">
        <v>389</v>
      </c>
      <c r="AH91">
        <v>7</v>
      </c>
      <c r="AI91">
        <v>2</v>
      </c>
      <c r="AJ91">
        <v>2</v>
      </c>
      <c r="AK91">
        <v>3</v>
      </c>
      <c r="AL91">
        <v>34</v>
      </c>
      <c r="AM91">
        <v>30</v>
      </c>
      <c r="AN91" t="s">
        <v>384</v>
      </c>
      <c r="AO91">
        <v>5</v>
      </c>
      <c r="AP91">
        <v>1</v>
      </c>
      <c r="AT91">
        <v>12</v>
      </c>
      <c r="AU91">
        <v>9</v>
      </c>
      <c r="AV91">
        <v>55</v>
      </c>
      <c r="AW91">
        <v>11</v>
      </c>
      <c r="AX91">
        <v>21</v>
      </c>
      <c r="AY91">
        <v>2</v>
      </c>
      <c r="AZ91">
        <v>3</v>
      </c>
      <c r="BA91">
        <v>3</v>
      </c>
      <c r="BB91">
        <v>21</v>
      </c>
      <c r="BC91">
        <v>18</v>
      </c>
      <c r="BD91" t="s">
        <v>384</v>
      </c>
      <c r="BE91">
        <v>5</v>
      </c>
      <c r="BF91">
        <v>74</v>
      </c>
      <c r="BJ91">
        <v>12</v>
      </c>
      <c r="BK91">
        <v>9</v>
      </c>
      <c r="BL91">
        <v>55</v>
      </c>
      <c r="BM91">
        <v>11</v>
      </c>
      <c r="BN91">
        <v>21</v>
      </c>
      <c r="CU91">
        <v>507717.8861</v>
      </c>
      <c r="CV91">
        <v>5023770.6869999999</v>
      </c>
      <c r="CW91">
        <v>45.367414930000002</v>
      </c>
      <c r="CX91">
        <v>-92.9014521</v>
      </c>
      <c r="CY91" s="472">
        <v>43514.443749999999</v>
      </c>
      <c r="CZ91" t="s">
        <v>391</v>
      </c>
      <c r="DA91" t="s">
        <v>392</v>
      </c>
      <c r="DB91" t="s">
        <v>397</v>
      </c>
      <c r="DC91" t="s">
        <v>398</v>
      </c>
      <c r="DD91" t="s">
        <v>498</v>
      </c>
    </row>
    <row r="92" spans="1:108" ht="16.5" customHeight="1" x14ac:dyDescent="0.25">
      <c r="A92">
        <v>2</v>
      </c>
      <c r="B92">
        <v>1030986</v>
      </c>
      <c r="C92">
        <v>2</v>
      </c>
      <c r="D92">
        <v>8</v>
      </c>
      <c r="E92">
        <v>1.982</v>
      </c>
      <c r="F92">
        <v>13</v>
      </c>
      <c r="G92" t="s">
        <v>383</v>
      </c>
      <c r="I92" t="s">
        <v>384</v>
      </c>
      <c r="J92">
        <v>24</v>
      </c>
      <c r="L92">
        <v>22404879</v>
      </c>
      <c r="M92">
        <v>221780122</v>
      </c>
      <c r="N92">
        <v>6</v>
      </c>
      <c r="O92">
        <v>27</v>
      </c>
      <c r="P92">
        <v>2022</v>
      </c>
      <c r="Q92" t="s">
        <v>400</v>
      </c>
      <c r="R92">
        <v>14</v>
      </c>
      <c r="S92" t="s">
        <v>387</v>
      </c>
      <c r="T92">
        <v>4</v>
      </c>
      <c r="U92">
        <v>0</v>
      </c>
      <c r="V92">
        <v>2</v>
      </c>
      <c r="W92">
        <v>12</v>
      </c>
      <c r="X92">
        <v>10</v>
      </c>
      <c r="Y92">
        <v>3</v>
      </c>
      <c r="Z92">
        <v>1</v>
      </c>
      <c r="AA92">
        <v>1</v>
      </c>
      <c r="AC92">
        <v>1</v>
      </c>
      <c r="AD92">
        <v>98</v>
      </c>
      <c r="AE92" t="s">
        <v>388</v>
      </c>
      <c r="AF92" t="s">
        <v>499</v>
      </c>
      <c r="AG92" t="s">
        <v>389</v>
      </c>
      <c r="AH92">
        <v>7</v>
      </c>
      <c r="AI92">
        <v>2</v>
      </c>
      <c r="AJ92">
        <v>3</v>
      </c>
      <c r="AK92">
        <v>3</v>
      </c>
      <c r="AL92">
        <v>21</v>
      </c>
      <c r="AM92">
        <v>58</v>
      </c>
      <c r="AN92" t="s">
        <v>390</v>
      </c>
      <c r="AO92">
        <v>5</v>
      </c>
      <c r="AP92">
        <v>4</v>
      </c>
      <c r="AQ92">
        <v>74</v>
      </c>
      <c r="AT92">
        <v>12</v>
      </c>
      <c r="AU92">
        <v>20</v>
      </c>
      <c r="AV92">
        <v>55</v>
      </c>
      <c r="AW92">
        <v>11</v>
      </c>
      <c r="AX92">
        <v>21</v>
      </c>
      <c r="AY92">
        <v>2</v>
      </c>
      <c r="AZ92">
        <v>3</v>
      </c>
      <c r="BA92">
        <v>3</v>
      </c>
      <c r="BB92">
        <v>34</v>
      </c>
      <c r="BC92">
        <v>48</v>
      </c>
      <c r="BD92" t="s">
        <v>384</v>
      </c>
      <c r="BE92">
        <v>5</v>
      </c>
      <c r="BF92">
        <v>1</v>
      </c>
      <c r="BJ92">
        <v>12</v>
      </c>
      <c r="BK92">
        <v>20</v>
      </c>
      <c r="BL92">
        <v>55</v>
      </c>
      <c r="BM92">
        <v>11</v>
      </c>
      <c r="BN92">
        <v>21</v>
      </c>
      <c r="CU92">
        <v>502196.09509999998</v>
      </c>
      <c r="CV92">
        <v>5016156.5842000004</v>
      </c>
      <c r="CW92">
        <v>45.298916419999998</v>
      </c>
      <c r="CX92">
        <v>-92.971997880000004</v>
      </c>
      <c r="CY92" s="472">
        <v>44739.59375</v>
      </c>
      <c r="CZ92" t="s">
        <v>391</v>
      </c>
      <c r="DA92" t="s">
        <v>392</v>
      </c>
      <c r="DB92" t="s">
        <v>397</v>
      </c>
      <c r="DC92" t="s">
        <v>398</v>
      </c>
      <c r="DD92" t="s">
        <v>500</v>
      </c>
    </row>
    <row r="93" spans="1:108" ht="16.5" customHeight="1" x14ac:dyDescent="0.25">
      <c r="A93">
        <v>2</v>
      </c>
      <c r="B93">
        <v>987365</v>
      </c>
      <c r="C93">
        <v>2</v>
      </c>
      <c r="D93">
        <v>8</v>
      </c>
      <c r="E93">
        <v>1.988</v>
      </c>
      <c r="F93">
        <v>13</v>
      </c>
      <c r="G93" t="s">
        <v>383</v>
      </c>
      <c r="I93" t="s">
        <v>384</v>
      </c>
      <c r="J93">
        <v>24</v>
      </c>
      <c r="L93">
        <v>22400315</v>
      </c>
      <c r="M93">
        <v>220070347</v>
      </c>
      <c r="N93">
        <v>1</v>
      </c>
      <c r="O93">
        <v>7</v>
      </c>
      <c r="P93">
        <v>2022</v>
      </c>
      <c r="Q93" t="s">
        <v>415</v>
      </c>
      <c r="R93">
        <v>14</v>
      </c>
      <c r="T93">
        <v>5</v>
      </c>
      <c r="U93">
        <v>0</v>
      </c>
      <c r="V93">
        <v>2</v>
      </c>
      <c r="W93">
        <v>12</v>
      </c>
      <c r="X93">
        <v>10</v>
      </c>
      <c r="Y93">
        <v>3</v>
      </c>
      <c r="Z93">
        <v>1</v>
      </c>
      <c r="AA93">
        <v>2</v>
      </c>
      <c r="AC93">
        <v>1</v>
      </c>
      <c r="AD93">
        <v>98</v>
      </c>
      <c r="AE93" t="s">
        <v>388</v>
      </c>
      <c r="AF93" t="s">
        <v>499</v>
      </c>
      <c r="AG93" t="s">
        <v>389</v>
      </c>
      <c r="AH93">
        <v>7</v>
      </c>
      <c r="AI93">
        <v>2</v>
      </c>
      <c r="AJ93">
        <v>2</v>
      </c>
      <c r="AK93">
        <v>3</v>
      </c>
      <c r="AL93">
        <v>34</v>
      </c>
      <c r="AM93">
        <v>69</v>
      </c>
      <c r="AN93" t="s">
        <v>384</v>
      </c>
      <c r="AO93">
        <v>5</v>
      </c>
      <c r="AP93">
        <v>1</v>
      </c>
      <c r="AT93">
        <v>12</v>
      </c>
      <c r="AU93">
        <v>20</v>
      </c>
      <c r="AV93">
        <v>55</v>
      </c>
      <c r="AW93">
        <v>11</v>
      </c>
      <c r="AX93">
        <v>21</v>
      </c>
      <c r="AY93">
        <v>2</v>
      </c>
      <c r="AZ93">
        <v>3</v>
      </c>
      <c r="BA93">
        <v>3</v>
      </c>
      <c r="BB93">
        <v>21</v>
      </c>
      <c r="BC93">
        <v>27</v>
      </c>
      <c r="BD93" t="s">
        <v>384</v>
      </c>
      <c r="BE93">
        <v>5</v>
      </c>
      <c r="BF93">
        <v>4</v>
      </c>
      <c r="BJ93">
        <v>12</v>
      </c>
      <c r="BK93">
        <v>20</v>
      </c>
      <c r="BL93">
        <v>55</v>
      </c>
      <c r="BM93">
        <v>11</v>
      </c>
      <c r="BN93">
        <v>21</v>
      </c>
      <c r="CU93">
        <v>502200.99859999999</v>
      </c>
      <c r="CV93">
        <v>5016163.9130999995</v>
      </c>
      <c r="CW93">
        <v>45.298982369999997</v>
      </c>
      <c r="CX93">
        <v>-92.971935299999998</v>
      </c>
      <c r="CY93" s="472">
        <v>44568.611805555556</v>
      </c>
      <c r="CZ93" t="s">
        <v>391</v>
      </c>
      <c r="DA93" t="s">
        <v>392</v>
      </c>
      <c r="DB93" t="s">
        <v>397</v>
      </c>
      <c r="DC93" t="s">
        <v>398</v>
      </c>
      <c r="DD93" t="s">
        <v>501</v>
      </c>
    </row>
    <row r="94" spans="1:108" ht="16.5" customHeight="1" x14ac:dyDescent="0.25">
      <c r="A94">
        <v>4</v>
      </c>
      <c r="B94">
        <v>987356</v>
      </c>
      <c r="C94">
        <v>2</v>
      </c>
      <c r="D94">
        <v>8</v>
      </c>
      <c r="E94">
        <v>4.4219999999999997</v>
      </c>
      <c r="F94">
        <v>13</v>
      </c>
      <c r="G94" t="s">
        <v>440</v>
      </c>
      <c r="I94" t="s">
        <v>384</v>
      </c>
      <c r="J94">
        <v>24</v>
      </c>
      <c r="L94">
        <v>22400198</v>
      </c>
      <c r="M94">
        <v>220060388</v>
      </c>
      <c r="N94">
        <v>1</v>
      </c>
      <c r="O94">
        <v>6</v>
      </c>
      <c r="P94">
        <v>2022</v>
      </c>
      <c r="Q94" t="s">
        <v>386</v>
      </c>
      <c r="R94">
        <v>8</v>
      </c>
      <c r="T94">
        <v>4</v>
      </c>
      <c r="U94">
        <v>0</v>
      </c>
      <c r="V94">
        <v>2</v>
      </c>
      <c r="W94">
        <v>13</v>
      </c>
      <c r="X94">
        <v>10</v>
      </c>
      <c r="Y94">
        <v>3</v>
      </c>
      <c r="Z94">
        <v>1</v>
      </c>
      <c r="AA94">
        <v>1</v>
      </c>
      <c r="AC94">
        <v>1</v>
      </c>
      <c r="AD94">
        <v>98</v>
      </c>
      <c r="AE94" t="s">
        <v>388</v>
      </c>
      <c r="AG94" t="s">
        <v>389</v>
      </c>
      <c r="AH94">
        <v>8</v>
      </c>
      <c r="AI94">
        <v>2</v>
      </c>
      <c r="AJ94">
        <v>2</v>
      </c>
      <c r="AK94">
        <v>3</v>
      </c>
      <c r="AL94">
        <v>21</v>
      </c>
      <c r="AM94">
        <v>32</v>
      </c>
      <c r="AN94" t="s">
        <v>384</v>
      </c>
      <c r="AO94">
        <v>5</v>
      </c>
      <c r="AP94">
        <v>2</v>
      </c>
      <c r="AT94">
        <v>12</v>
      </c>
      <c r="AU94">
        <v>20</v>
      </c>
      <c r="AV94">
        <v>55</v>
      </c>
      <c r="AW94">
        <v>11</v>
      </c>
      <c r="AX94">
        <v>21</v>
      </c>
      <c r="AY94">
        <v>2</v>
      </c>
      <c r="AZ94">
        <v>5</v>
      </c>
      <c r="BA94">
        <v>4</v>
      </c>
      <c r="BB94">
        <v>24</v>
      </c>
      <c r="BC94">
        <v>52</v>
      </c>
      <c r="BD94" t="s">
        <v>390</v>
      </c>
      <c r="BE94">
        <v>5</v>
      </c>
      <c r="BF94">
        <v>1</v>
      </c>
      <c r="BJ94">
        <v>12</v>
      </c>
      <c r="BK94">
        <v>20</v>
      </c>
      <c r="BL94">
        <v>55</v>
      </c>
      <c r="BM94">
        <v>11</v>
      </c>
      <c r="BN94">
        <v>21</v>
      </c>
      <c r="CU94">
        <v>505380.42190000002</v>
      </c>
      <c r="CV94">
        <v>5018364.4557999996</v>
      </c>
      <c r="CW94">
        <v>45.31877325</v>
      </c>
      <c r="CX94">
        <v>-92.931359779999994</v>
      </c>
      <c r="CY94" s="472">
        <v>44567.338888888888</v>
      </c>
      <c r="CZ94" t="s">
        <v>391</v>
      </c>
      <c r="DA94" t="s">
        <v>392</v>
      </c>
      <c r="DB94" t="s">
        <v>397</v>
      </c>
      <c r="DC94" t="s">
        <v>398</v>
      </c>
      <c r="DD94" t="s">
        <v>502</v>
      </c>
    </row>
    <row r="95" spans="1:108" ht="16.5" customHeight="1" x14ac:dyDescent="0.25">
      <c r="A95">
        <v>4</v>
      </c>
      <c r="B95">
        <v>1030351</v>
      </c>
      <c r="C95">
        <v>2</v>
      </c>
      <c r="D95">
        <v>8</v>
      </c>
      <c r="E95">
        <v>4.4219999999999997</v>
      </c>
      <c r="F95">
        <v>13</v>
      </c>
      <c r="G95" t="s">
        <v>440</v>
      </c>
      <c r="I95" t="s">
        <v>384</v>
      </c>
      <c r="J95">
        <v>24</v>
      </c>
      <c r="L95">
        <v>22404770</v>
      </c>
      <c r="M95">
        <v>221750038</v>
      </c>
      <c r="N95">
        <v>6</v>
      </c>
      <c r="O95">
        <v>24</v>
      </c>
      <c r="P95">
        <v>2022</v>
      </c>
      <c r="Q95" t="s">
        <v>415</v>
      </c>
      <c r="R95">
        <v>11</v>
      </c>
      <c r="S95" t="s">
        <v>420</v>
      </c>
      <c r="T95">
        <v>4</v>
      </c>
      <c r="U95">
        <v>0</v>
      </c>
      <c r="V95">
        <v>2</v>
      </c>
      <c r="W95">
        <v>12</v>
      </c>
      <c r="X95">
        <v>10</v>
      </c>
      <c r="Y95">
        <v>3</v>
      </c>
      <c r="Z95">
        <v>1</v>
      </c>
      <c r="AA95">
        <v>1</v>
      </c>
      <c r="AC95">
        <v>1</v>
      </c>
      <c r="AD95">
        <v>98</v>
      </c>
      <c r="AE95" t="s">
        <v>388</v>
      </c>
      <c r="AG95" t="s">
        <v>389</v>
      </c>
      <c r="AH95">
        <v>7</v>
      </c>
      <c r="AI95">
        <v>2</v>
      </c>
      <c r="AJ95">
        <v>4</v>
      </c>
      <c r="AK95">
        <v>4</v>
      </c>
      <c r="AL95">
        <v>21</v>
      </c>
      <c r="AM95">
        <v>58</v>
      </c>
      <c r="AN95" t="s">
        <v>384</v>
      </c>
      <c r="AO95">
        <v>5</v>
      </c>
      <c r="AP95">
        <v>74</v>
      </c>
      <c r="AT95">
        <v>12</v>
      </c>
      <c r="AU95">
        <v>20</v>
      </c>
      <c r="AV95">
        <v>55</v>
      </c>
      <c r="AW95">
        <v>11</v>
      </c>
      <c r="AX95">
        <v>21</v>
      </c>
      <c r="AY95">
        <v>2</v>
      </c>
      <c r="AZ95">
        <v>2</v>
      </c>
      <c r="BA95">
        <v>4</v>
      </c>
      <c r="BB95">
        <v>34</v>
      </c>
      <c r="BC95">
        <v>78</v>
      </c>
      <c r="BD95" t="s">
        <v>390</v>
      </c>
      <c r="BE95">
        <v>5</v>
      </c>
      <c r="BF95">
        <v>1</v>
      </c>
      <c r="BJ95">
        <v>12</v>
      </c>
      <c r="BK95">
        <v>20</v>
      </c>
      <c r="BL95">
        <v>55</v>
      </c>
      <c r="BM95">
        <v>11</v>
      </c>
      <c r="BN95">
        <v>21</v>
      </c>
      <c r="CU95">
        <v>505380.73369999998</v>
      </c>
      <c r="CV95">
        <v>5018364.9046</v>
      </c>
      <c r="CW95">
        <v>45.31877729</v>
      </c>
      <c r="CX95">
        <v>-92.931355800000006</v>
      </c>
      <c r="CY95" s="472">
        <v>44736.481944444444</v>
      </c>
      <c r="CZ95" t="s">
        <v>391</v>
      </c>
      <c r="DA95" t="s">
        <v>392</v>
      </c>
      <c r="DB95" t="s">
        <v>397</v>
      </c>
      <c r="DC95" t="s">
        <v>398</v>
      </c>
      <c r="DD95" t="s">
        <v>503</v>
      </c>
    </row>
    <row r="96" spans="1:108" ht="16.5" customHeight="1" x14ac:dyDescent="0.25">
      <c r="A96">
        <v>4</v>
      </c>
      <c r="B96">
        <v>1001072</v>
      </c>
      <c r="C96">
        <v>4</v>
      </c>
      <c r="D96">
        <v>23</v>
      </c>
      <c r="E96">
        <v>0.01</v>
      </c>
      <c r="F96">
        <v>13</v>
      </c>
      <c r="G96" t="s">
        <v>440</v>
      </c>
      <c r="I96" t="s">
        <v>384</v>
      </c>
      <c r="J96">
        <v>24</v>
      </c>
      <c r="L96">
        <v>22400813</v>
      </c>
      <c r="M96">
        <v>220230120</v>
      </c>
      <c r="N96">
        <v>1</v>
      </c>
      <c r="O96">
        <v>23</v>
      </c>
      <c r="P96">
        <v>2022</v>
      </c>
      <c r="Q96" t="s">
        <v>422</v>
      </c>
      <c r="R96">
        <v>12</v>
      </c>
      <c r="T96">
        <v>5</v>
      </c>
      <c r="U96">
        <v>0</v>
      </c>
      <c r="V96">
        <v>2</v>
      </c>
      <c r="W96">
        <v>5</v>
      </c>
      <c r="X96">
        <v>10</v>
      </c>
      <c r="Y96">
        <v>10</v>
      </c>
      <c r="Z96">
        <v>1</v>
      </c>
      <c r="AA96">
        <v>1</v>
      </c>
      <c r="AC96">
        <v>5</v>
      </c>
      <c r="AD96">
        <v>98</v>
      </c>
      <c r="AE96" t="s">
        <v>449</v>
      </c>
      <c r="AF96">
        <v>8</v>
      </c>
      <c r="AG96" t="s">
        <v>450</v>
      </c>
      <c r="AH96">
        <v>10</v>
      </c>
      <c r="AI96">
        <v>2</v>
      </c>
      <c r="AJ96">
        <v>2</v>
      </c>
      <c r="AK96">
        <v>1</v>
      </c>
      <c r="AL96">
        <v>34</v>
      </c>
      <c r="AM96">
        <v>19</v>
      </c>
      <c r="AN96" t="s">
        <v>390</v>
      </c>
      <c r="AO96">
        <v>5</v>
      </c>
      <c r="AP96">
        <v>1</v>
      </c>
      <c r="AT96">
        <v>12</v>
      </c>
      <c r="AU96">
        <v>20</v>
      </c>
      <c r="AV96">
        <v>50</v>
      </c>
      <c r="AW96">
        <v>11</v>
      </c>
      <c r="AX96">
        <v>21</v>
      </c>
      <c r="AY96">
        <v>2</v>
      </c>
      <c r="AZ96">
        <v>4</v>
      </c>
      <c r="BA96">
        <v>1</v>
      </c>
      <c r="BB96">
        <v>23</v>
      </c>
      <c r="BC96">
        <v>49</v>
      </c>
      <c r="BD96" t="s">
        <v>384</v>
      </c>
      <c r="BE96">
        <v>5</v>
      </c>
      <c r="BF96">
        <v>90</v>
      </c>
      <c r="BJ96">
        <v>12</v>
      </c>
      <c r="BK96">
        <v>20</v>
      </c>
      <c r="BL96">
        <v>50</v>
      </c>
      <c r="BM96">
        <v>11</v>
      </c>
      <c r="BN96">
        <v>21</v>
      </c>
      <c r="CU96">
        <v>505396.38699999999</v>
      </c>
      <c r="CV96">
        <v>5018360.7487000003</v>
      </c>
      <c r="CW96">
        <v>45.31873976</v>
      </c>
      <c r="CX96">
        <v>-92.931156130000005</v>
      </c>
      <c r="CY96" s="472">
        <v>44584.536805555559</v>
      </c>
      <c r="CZ96" t="s">
        <v>391</v>
      </c>
      <c r="DA96" t="s">
        <v>392</v>
      </c>
      <c r="DB96" t="s">
        <v>397</v>
      </c>
      <c r="DC96" t="s">
        <v>398</v>
      </c>
      <c r="DD96" t="s">
        <v>504</v>
      </c>
    </row>
    <row r="97" spans="1:108" ht="16.5" customHeight="1" x14ac:dyDescent="0.25">
      <c r="A97">
        <v>4</v>
      </c>
      <c r="B97">
        <v>1025091</v>
      </c>
      <c r="C97">
        <v>4</v>
      </c>
      <c r="D97">
        <v>23</v>
      </c>
      <c r="E97">
        <v>0.01</v>
      </c>
      <c r="F97">
        <v>13</v>
      </c>
      <c r="G97" t="s">
        <v>440</v>
      </c>
      <c r="I97" t="s">
        <v>384</v>
      </c>
      <c r="J97">
        <v>24</v>
      </c>
      <c r="L97">
        <v>22403972</v>
      </c>
      <c r="M97">
        <v>221460146</v>
      </c>
      <c r="N97">
        <v>5</v>
      </c>
      <c r="O97">
        <v>26</v>
      </c>
      <c r="P97">
        <v>2022</v>
      </c>
      <c r="Q97" t="s">
        <v>386</v>
      </c>
      <c r="R97">
        <v>6</v>
      </c>
      <c r="S97" t="s">
        <v>420</v>
      </c>
      <c r="T97">
        <v>5</v>
      </c>
      <c r="U97">
        <v>0</v>
      </c>
      <c r="V97">
        <v>2</v>
      </c>
      <c r="W97">
        <v>12</v>
      </c>
      <c r="X97">
        <v>10</v>
      </c>
      <c r="Y97">
        <v>10</v>
      </c>
      <c r="Z97">
        <v>1</v>
      </c>
      <c r="AA97">
        <v>1</v>
      </c>
      <c r="AC97">
        <v>1</v>
      </c>
      <c r="AD97">
        <v>98</v>
      </c>
      <c r="AE97" t="s">
        <v>449</v>
      </c>
      <c r="AG97" t="s">
        <v>450</v>
      </c>
      <c r="AH97">
        <v>7</v>
      </c>
      <c r="AI97">
        <v>2</v>
      </c>
      <c r="AJ97">
        <v>2</v>
      </c>
      <c r="AK97">
        <v>4</v>
      </c>
      <c r="AL97">
        <v>21</v>
      </c>
      <c r="AM97">
        <v>20</v>
      </c>
      <c r="AN97" t="s">
        <v>384</v>
      </c>
      <c r="AO97">
        <v>5</v>
      </c>
      <c r="AP97">
        <v>70</v>
      </c>
      <c r="AT97">
        <v>12</v>
      </c>
      <c r="AU97">
        <v>20</v>
      </c>
      <c r="AV97">
        <v>55</v>
      </c>
      <c r="AW97">
        <v>11</v>
      </c>
      <c r="AX97">
        <v>21</v>
      </c>
      <c r="AY97">
        <v>2</v>
      </c>
      <c r="AZ97">
        <v>3</v>
      </c>
      <c r="BA97">
        <v>4</v>
      </c>
      <c r="BB97">
        <v>34</v>
      </c>
      <c r="BC97">
        <v>26</v>
      </c>
      <c r="BD97" t="s">
        <v>384</v>
      </c>
      <c r="BE97">
        <v>5</v>
      </c>
      <c r="BF97">
        <v>1</v>
      </c>
      <c r="BJ97">
        <v>12</v>
      </c>
      <c r="BK97">
        <v>20</v>
      </c>
      <c r="BL97">
        <v>55</v>
      </c>
      <c r="BM97">
        <v>11</v>
      </c>
      <c r="BN97">
        <v>21</v>
      </c>
      <c r="CU97">
        <v>505397.26539999997</v>
      </c>
      <c r="CV97">
        <v>5018360.2889</v>
      </c>
      <c r="CW97">
        <v>45.318735609999997</v>
      </c>
      <c r="CX97">
        <v>-92.931144919999994</v>
      </c>
      <c r="CY97" s="472">
        <v>44707.261111111111</v>
      </c>
      <c r="CZ97" t="s">
        <v>391</v>
      </c>
      <c r="DA97" t="s">
        <v>392</v>
      </c>
      <c r="DB97" t="s">
        <v>397</v>
      </c>
      <c r="DC97" t="s">
        <v>398</v>
      </c>
      <c r="DD97" t="s">
        <v>505</v>
      </c>
    </row>
    <row r="98" spans="1:108" ht="16.5" customHeight="1" x14ac:dyDescent="0.25">
      <c r="A98">
        <v>9</v>
      </c>
      <c r="B98">
        <v>1041946</v>
      </c>
      <c r="C98">
        <v>2</v>
      </c>
      <c r="D98">
        <v>8</v>
      </c>
      <c r="E98">
        <v>8.3810000000000002</v>
      </c>
      <c r="F98">
        <v>13</v>
      </c>
      <c r="G98" t="s">
        <v>440</v>
      </c>
      <c r="J98">
        <v>24</v>
      </c>
      <c r="L98">
        <v>22003679</v>
      </c>
      <c r="M98">
        <v>222370156</v>
      </c>
      <c r="N98">
        <v>8</v>
      </c>
      <c r="O98">
        <v>25</v>
      </c>
      <c r="P98">
        <v>2022</v>
      </c>
      <c r="Q98" t="s">
        <v>386</v>
      </c>
      <c r="R98">
        <v>17</v>
      </c>
      <c r="S98" t="s">
        <v>387</v>
      </c>
      <c r="T98">
        <v>3</v>
      </c>
      <c r="U98">
        <v>0</v>
      </c>
      <c r="V98">
        <v>3</v>
      </c>
      <c r="W98">
        <v>12</v>
      </c>
      <c r="X98">
        <v>10</v>
      </c>
      <c r="Y98">
        <v>3</v>
      </c>
      <c r="Z98">
        <v>1</v>
      </c>
      <c r="AA98">
        <v>1</v>
      </c>
      <c r="AC98">
        <v>1</v>
      </c>
      <c r="AD98">
        <v>98</v>
      </c>
      <c r="AE98" t="s">
        <v>388</v>
      </c>
      <c r="AF98" t="s">
        <v>506</v>
      </c>
      <c r="AG98" t="s">
        <v>389</v>
      </c>
      <c r="AH98">
        <v>7</v>
      </c>
      <c r="AI98">
        <v>2</v>
      </c>
      <c r="AJ98">
        <v>4</v>
      </c>
      <c r="AK98">
        <v>3</v>
      </c>
      <c r="AL98">
        <v>21</v>
      </c>
      <c r="AM98">
        <v>42</v>
      </c>
      <c r="AN98" t="s">
        <v>384</v>
      </c>
      <c r="AO98">
        <v>5</v>
      </c>
      <c r="AP98">
        <v>70</v>
      </c>
      <c r="AT98">
        <v>15</v>
      </c>
      <c r="AU98">
        <v>9</v>
      </c>
      <c r="AV98">
        <v>45</v>
      </c>
      <c r="AW98">
        <v>11</v>
      </c>
      <c r="AX98">
        <v>21</v>
      </c>
      <c r="AY98">
        <v>2</v>
      </c>
      <c r="AZ98">
        <v>4</v>
      </c>
      <c r="BA98">
        <v>3</v>
      </c>
      <c r="BB98">
        <v>34</v>
      </c>
      <c r="BC98">
        <v>32</v>
      </c>
      <c r="BD98" t="s">
        <v>390</v>
      </c>
      <c r="BE98">
        <v>5</v>
      </c>
      <c r="BF98">
        <v>1</v>
      </c>
      <c r="BJ98">
        <v>15</v>
      </c>
      <c r="BK98">
        <v>9</v>
      </c>
      <c r="BL98">
        <v>45</v>
      </c>
      <c r="BM98">
        <v>11</v>
      </c>
      <c r="BN98">
        <v>21</v>
      </c>
      <c r="BO98">
        <v>2</v>
      </c>
      <c r="BP98">
        <v>48</v>
      </c>
      <c r="BQ98">
        <v>3</v>
      </c>
      <c r="BR98">
        <v>34</v>
      </c>
      <c r="BS98">
        <v>59</v>
      </c>
      <c r="BT98" t="s">
        <v>384</v>
      </c>
      <c r="BU98">
        <v>5</v>
      </c>
      <c r="BV98">
        <v>1</v>
      </c>
      <c r="BZ98">
        <v>15</v>
      </c>
      <c r="CA98">
        <v>9</v>
      </c>
      <c r="CB98">
        <v>45</v>
      </c>
      <c r="CC98">
        <v>11</v>
      </c>
      <c r="CD98">
        <v>21</v>
      </c>
      <c r="CU98">
        <v>507912.21978510002</v>
      </c>
      <c r="CV98">
        <v>5024021.2339391503</v>
      </c>
      <c r="CW98">
        <v>45.369659939999998</v>
      </c>
      <c r="CX98">
        <v>-92.898958789999995</v>
      </c>
      <c r="CY98" s="472">
        <v>44798.709027777775</v>
      </c>
      <c r="CZ98" t="s">
        <v>391</v>
      </c>
      <c r="DA98" t="s">
        <v>392</v>
      </c>
      <c r="DB98" t="s">
        <v>445</v>
      </c>
      <c r="DC98" t="s">
        <v>394</v>
      </c>
      <c r="DD98" s="18" t="s">
        <v>507</v>
      </c>
    </row>
    <row r="99" spans="1:108" ht="16.5" customHeight="1" x14ac:dyDescent="0.25">
      <c r="A99">
        <v>13</v>
      </c>
      <c r="B99">
        <v>917373</v>
      </c>
      <c r="C99">
        <v>2</v>
      </c>
      <c r="D99">
        <v>8</v>
      </c>
      <c r="E99">
        <v>1.534</v>
      </c>
      <c r="F99">
        <v>82</v>
      </c>
      <c r="G99" t="s">
        <v>508</v>
      </c>
      <c r="I99" t="s">
        <v>384</v>
      </c>
      <c r="J99">
        <v>24</v>
      </c>
      <c r="L99">
        <v>21404196</v>
      </c>
      <c r="M99">
        <v>211900184</v>
      </c>
      <c r="N99">
        <v>7</v>
      </c>
      <c r="O99">
        <v>9</v>
      </c>
      <c r="P99">
        <v>2021</v>
      </c>
      <c r="Q99" t="s">
        <v>415</v>
      </c>
      <c r="R99">
        <v>0</v>
      </c>
      <c r="S99" t="s">
        <v>387</v>
      </c>
      <c r="T99">
        <v>5</v>
      </c>
      <c r="U99">
        <v>0</v>
      </c>
      <c r="V99">
        <v>1</v>
      </c>
      <c r="X99">
        <v>30</v>
      </c>
      <c r="Y99">
        <v>2</v>
      </c>
      <c r="Z99">
        <v>4</v>
      </c>
      <c r="AA99">
        <v>1</v>
      </c>
      <c r="AC99">
        <v>1</v>
      </c>
      <c r="AD99">
        <v>98</v>
      </c>
      <c r="AE99" t="s">
        <v>388</v>
      </c>
      <c r="AG99" t="s">
        <v>389</v>
      </c>
      <c r="AH99">
        <v>3</v>
      </c>
      <c r="AI99">
        <v>2</v>
      </c>
      <c r="AJ99">
        <v>2</v>
      </c>
      <c r="AK99">
        <v>3</v>
      </c>
      <c r="AL99">
        <v>21</v>
      </c>
      <c r="AM99">
        <v>37</v>
      </c>
      <c r="AN99" t="s">
        <v>384</v>
      </c>
      <c r="AO99">
        <v>5</v>
      </c>
      <c r="AP99">
        <v>68</v>
      </c>
      <c r="AT99">
        <v>15</v>
      </c>
      <c r="AU99">
        <v>9</v>
      </c>
      <c r="AV99">
        <v>60</v>
      </c>
      <c r="AW99">
        <v>12</v>
      </c>
      <c r="AX99">
        <v>21</v>
      </c>
      <c r="CU99">
        <v>501844.46100000001</v>
      </c>
      <c r="CV99">
        <v>5015527.2867999999</v>
      </c>
      <c r="CW99">
        <v>45.293252840000001</v>
      </c>
      <c r="CX99">
        <v>-92.976485089999997</v>
      </c>
      <c r="CY99" s="472">
        <v>44386.024305555555</v>
      </c>
      <c r="CZ99" t="s">
        <v>391</v>
      </c>
      <c r="DA99" t="s">
        <v>392</v>
      </c>
      <c r="DB99" t="s">
        <v>397</v>
      </c>
      <c r="DC99" t="s">
        <v>398</v>
      </c>
      <c r="DD99" s="18" t="s">
        <v>509</v>
      </c>
    </row>
    <row r="100" spans="1:108" ht="16.5" customHeight="1" x14ac:dyDescent="0.25">
      <c r="A100">
        <v>13</v>
      </c>
      <c r="B100">
        <v>834229</v>
      </c>
      <c r="C100">
        <v>2</v>
      </c>
      <c r="D100">
        <v>8</v>
      </c>
      <c r="E100">
        <v>1.5980000000000001</v>
      </c>
      <c r="F100">
        <v>82</v>
      </c>
      <c r="G100" t="s">
        <v>508</v>
      </c>
      <c r="I100" t="s">
        <v>384</v>
      </c>
      <c r="J100">
        <v>24</v>
      </c>
      <c r="L100" t="s">
        <v>510</v>
      </c>
      <c r="M100">
        <v>202210049</v>
      </c>
      <c r="N100">
        <v>8</v>
      </c>
      <c r="O100">
        <v>8</v>
      </c>
      <c r="P100">
        <v>2020</v>
      </c>
      <c r="Q100" t="s">
        <v>405</v>
      </c>
      <c r="R100">
        <v>16</v>
      </c>
      <c r="S100" t="s">
        <v>387</v>
      </c>
      <c r="T100">
        <v>5</v>
      </c>
      <c r="U100">
        <v>0</v>
      </c>
      <c r="V100">
        <v>2</v>
      </c>
      <c r="W100">
        <v>12</v>
      </c>
      <c r="X100">
        <v>10</v>
      </c>
      <c r="Y100">
        <v>2</v>
      </c>
      <c r="Z100">
        <v>1</v>
      </c>
      <c r="AA100">
        <v>2</v>
      </c>
      <c r="AC100">
        <v>1</v>
      </c>
      <c r="AD100">
        <v>98</v>
      </c>
      <c r="AE100" t="s">
        <v>388</v>
      </c>
      <c r="AG100" t="s">
        <v>389</v>
      </c>
      <c r="AH100">
        <v>7</v>
      </c>
      <c r="AI100">
        <v>2</v>
      </c>
      <c r="AJ100">
        <v>4</v>
      </c>
      <c r="AK100">
        <v>3</v>
      </c>
      <c r="AL100">
        <v>21</v>
      </c>
      <c r="AM100">
        <v>40</v>
      </c>
      <c r="AN100" t="s">
        <v>390</v>
      </c>
      <c r="AO100">
        <v>5</v>
      </c>
      <c r="AP100">
        <v>90</v>
      </c>
      <c r="AT100">
        <v>14</v>
      </c>
      <c r="AU100">
        <v>9</v>
      </c>
      <c r="AV100">
        <v>60</v>
      </c>
      <c r="AW100">
        <v>13</v>
      </c>
      <c r="AX100">
        <v>21</v>
      </c>
      <c r="AY100">
        <v>2</v>
      </c>
      <c r="AZ100">
        <v>3</v>
      </c>
      <c r="BA100">
        <v>3</v>
      </c>
      <c r="BB100">
        <v>21</v>
      </c>
      <c r="BC100">
        <v>47</v>
      </c>
      <c r="BD100" t="s">
        <v>384</v>
      </c>
      <c r="BE100">
        <v>5</v>
      </c>
      <c r="BF100">
        <v>70</v>
      </c>
      <c r="BJ100">
        <v>14</v>
      </c>
      <c r="BK100">
        <v>9</v>
      </c>
      <c r="BL100">
        <v>60</v>
      </c>
      <c r="BM100">
        <v>13</v>
      </c>
      <c r="BN100">
        <v>21</v>
      </c>
      <c r="CU100">
        <v>501892.61540000001</v>
      </c>
      <c r="CV100">
        <v>5015618.2219000002</v>
      </c>
      <c r="CW100">
        <v>45.294071260000003</v>
      </c>
      <c r="CX100">
        <v>-92.975870630000003</v>
      </c>
      <c r="CY100" s="472">
        <v>44051.67291666667</v>
      </c>
      <c r="CZ100" t="s">
        <v>391</v>
      </c>
      <c r="DA100" t="s">
        <v>392</v>
      </c>
      <c r="DB100" t="s">
        <v>511</v>
      </c>
      <c r="DC100" t="s">
        <v>394</v>
      </c>
      <c r="DD100" s="18" t="s">
        <v>512</v>
      </c>
    </row>
    <row r="101" spans="1:108" ht="16.5" customHeight="1" x14ac:dyDescent="0.25">
      <c r="A101">
        <v>13</v>
      </c>
      <c r="B101">
        <v>781581</v>
      </c>
      <c r="C101">
        <v>2</v>
      </c>
      <c r="D101">
        <v>8</v>
      </c>
      <c r="E101">
        <v>1.6459999999999999</v>
      </c>
      <c r="F101">
        <v>82</v>
      </c>
      <c r="G101" t="s">
        <v>508</v>
      </c>
      <c r="I101" t="s">
        <v>384</v>
      </c>
      <c r="J101">
        <v>24</v>
      </c>
      <c r="L101">
        <v>20400626</v>
      </c>
      <c r="M101">
        <v>200200199</v>
      </c>
      <c r="N101">
        <v>1</v>
      </c>
      <c r="O101">
        <v>20</v>
      </c>
      <c r="P101">
        <v>2020</v>
      </c>
      <c r="Q101" t="s">
        <v>400</v>
      </c>
      <c r="R101">
        <v>10</v>
      </c>
      <c r="S101">
        <v>98</v>
      </c>
      <c r="T101">
        <v>5</v>
      </c>
      <c r="U101">
        <v>0</v>
      </c>
      <c r="V101">
        <v>1</v>
      </c>
      <c r="X101">
        <v>32</v>
      </c>
      <c r="Y101">
        <v>2</v>
      </c>
      <c r="Z101">
        <v>1</v>
      </c>
      <c r="AA101">
        <v>1</v>
      </c>
      <c r="AC101">
        <v>5</v>
      </c>
      <c r="AD101">
        <v>98</v>
      </c>
      <c r="AE101" t="s">
        <v>412</v>
      </c>
      <c r="AG101" t="s">
        <v>389</v>
      </c>
      <c r="AH101">
        <v>3</v>
      </c>
      <c r="AI101">
        <v>2</v>
      </c>
      <c r="AJ101">
        <v>6</v>
      </c>
      <c r="AK101">
        <v>4</v>
      </c>
      <c r="AL101">
        <v>21</v>
      </c>
      <c r="AM101">
        <v>63</v>
      </c>
      <c r="AN101" t="s">
        <v>384</v>
      </c>
      <c r="AO101">
        <v>5</v>
      </c>
      <c r="AP101">
        <v>68</v>
      </c>
      <c r="AT101">
        <v>12</v>
      </c>
      <c r="AU101">
        <v>9</v>
      </c>
      <c r="AV101">
        <v>60</v>
      </c>
      <c r="AW101">
        <v>11</v>
      </c>
      <c r="AX101">
        <v>21</v>
      </c>
      <c r="CU101">
        <v>501928.50270000001</v>
      </c>
      <c r="CV101">
        <v>5015685.9918</v>
      </c>
      <c r="CW101">
        <v>45.294681189999999</v>
      </c>
      <c r="CX101">
        <v>-92.975412680000005</v>
      </c>
      <c r="CY101" s="472">
        <v>43850.417361111111</v>
      </c>
      <c r="CZ101" t="s">
        <v>391</v>
      </c>
      <c r="DA101" t="s">
        <v>392</v>
      </c>
      <c r="DB101" t="s">
        <v>397</v>
      </c>
      <c r="DC101" t="s">
        <v>398</v>
      </c>
      <c r="DD101" t="s">
        <v>513</v>
      </c>
    </row>
    <row r="102" spans="1:108" ht="16.5" customHeight="1" x14ac:dyDescent="0.25">
      <c r="A102">
        <v>13</v>
      </c>
      <c r="B102">
        <v>661242</v>
      </c>
      <c r="C102">
        <v>2</v>
      </c>
      <c r="D102">
        <v>8</v>
      </c>
      <c r="E102">
        <v>1.7330000000000001</v>
      </c>
      <c r="F102">
        <v>82</v>
      </c>
      <c r="G102" t="s">
        <v>508</v>
      </c>
      <c r="I102" t="s">
        <v>384</v>
      </c>
      <c r="J102">
        <v>24</v>
      </c>
      <c r="L102">
        <v>18410402</v>
      </c>
      <c r="M102">
        <v>183220096</v>
      </c>
      <c r="N102">
        <v>11</v>
      </c>
      <c r="O102">
        <v>18</v>
      </c>
      <c r="P102">
        <v>2018</v>
      </c>
      <c r="Q102" t="s">
        <v>422</v>
      </c>
      <c r="R102">
        <v>18</v>
      </c>
      <c r="S102">
        <v>98</v>
      </c>
      <c r="T102">
        <v>5</v>
      </c>
      <c r="U102">
        <v>0</v>
      </c>
      <c r="V102">
        <v>2</v>
      </c>
      <c r="W102">
        <v>5</v>
      </c>
      <c r="X102">
        <v>10</v>
      </c>
      <c r="Y102">
        <v>2</v>
      </c>
      <c r="Z102">
        <v>4</v>
      </c>
      <c r="AA102">
        <v>1</v>
      </c>
      <c r="AC102">
        <v>1</v>
      </c>
      <c r="AD102">
        <v>98</v>
      </c>
      <c r="AE102" t="s">
        <v>388</v>
      </c>
      <c r="AG102" t="s">
        <v>389</v>
      </c>
      <c r="AH102">
        <v>10</v>
      </c>
      <c r="AI102">
        <v>2</v>
      </c>
      <c r="AJ102">
        <v>2</v>
      </c>
      <c r="AK102">
        <v>3</v>
      </c>
      <c r="AL102">
        <v>21</v>
      </c>
      <c r="AM102">
        <v>72</v>
      </c>
      <c r="AN102" t="s">
        <v>390</v>
      </c>
      <c r="AO102">
        <v>5</v>
      </c>
      <c r="AP102">
        <v>68</v>
      </c>
      <c r="AQ102">
        <v>70</v>
      </c>
      <c r="AT102">
        <v>12</v>
      </c>
      <c r="AU102">
        <v>9</v>
      </c>
      <c r="AV102">
        <v>55</v>
      </c>
      <c r="AW102">
        <v>11</v>
      </c>
      <c r="AX102">
        <v>21</v>
      </c>
      <c r="AY102">
        <v>2</v>
      </c>
      <c r="AZ102">
        <v>2</v>
      </c>
      <c r="BA102">
        <v>4</v>
      </c>
      <c r="BB102">
        <v>21</v>
      </c>
      <c r="BC102">
        <v>30</v>
      </c>
      <c r="BD102" t="s">
        <v>384</v>
      </c>
      <c r="BE102">
        <v>5</v>
      </c>
      <c r="BF102">
        <v>1</v>
      </c>
      <c r="BJ102">
        <v>12</v>
      </c>
      <c r="BK102">
        <v>9</v>
      </c>
      <c r="BL102">
        <v>55</v>
      </c>
      <c r="BM102">
        <v>11</v>
      </c>
      <c r="BN102">
        <v>21</v>
      </c>
      <c r="CU102">
        <v>501993.8296</v>
      </c>
      <c r="CV102">
        <v>5015810.3277000003</v>
      </c>
      <c r="CW102">
        <v>45.295800210000003</v>
      </c>
      <c r="CX102">
        <v>-92.974579039999995</v>
      </c>
      <c r="CY102" s="472">
        <v>43422.763888888891</v>
      </c>
      <c r="CZ102" t="s">
        <v>391</v>
      </c>
      <c r="DA102" t="s">
        <v>392</v>
      </c>
      <c r="DB102" t="s">
        <v>397</v>
      </c>
      <c r="DC102" t="s">
        <v>398</v>
      </c>
      <c r="DD102" s="18" t="s">
        <v>514</v>
      </c>
    </row>
    <row r="103" spans="1:108" ht="16.5" customHeight="1" x14ac:dyDescent="0.25">
      <c r="A103">
        <v>13</v>
      </c>
      <c r="B103">
        <v>726627</v>
      </c>
      <c r="C103">
        <v>2</v>
      </c>
      <c r="D103">
        <v>8</v>
      </c>
      <c r="E103">
        <v>1.742</v>
      </c>
      <c r="F103">
        <v>82</v>
      </c>
      <c r="G103" t="s">
        <v>508</v>
      </c>
      <c r="I103" t="s">
        <v>384</v>
      </c>
      <c r="J103">
        <v>24</v>
      </c>
      <c r="L103">
        <v>19405500</v>
      </c>
      <c r="M103">
        <v>191630179</v>
      </c>
      <c r="N103">
        <v>6</v>
      </c>
      <c r="O103">
        <v>12</v>
      </c>
      <c r="P103">
        <v>2019</v>
      </c>
      <c r="Q103" t="s">
        <v>396</v>
      </c>
      <c r="R103">
        <v>15</v>
      </c>
      <c r="T103">
        <v>4</v>
      </c>
      <c r="U103">
        <v>0</v>
      </c>
      <c r="V103">
        <v>3</v>
      </c>
      <c r="W103">
        <v>12</v>
      </c>
      <c r="X103">
        <v>10</v>
      </c>
      <c r="Y103">
        <v>2</v>
      </c>
      <c r="Z103">
        <v>1</v>
      </c>
      <c r="AA103">
        <v>1</v>
      </c>
      <c r="AC103">
        <v>1</v>
      </c>
      <c r="AD103">
        <v>98</v>
      </c>
      <c r="AE103" t="s">
        <v>388</v>
      </c>
      <c r="AG103" t="s">
        <v>389</v>
      </c>
      <c r="AH103">
        <v>7</v>
      </c>
      <c r="AI103">
        <v>2</v>
      </c>
      <c r="AJ103">
        <v>3</v>
      </c>
      <c r="AK103">
        <v>3</v>
      </c>
      <c r="AL103">
        <v>21</v>
      </c>
      <c r="AM103">
        <v>22</v>
      </c>
      <c r="AN103" t="s">
        <v>384</v>
      </c>
      <c r="AO103">
        <v>5</v>
      </c>
      <c r="AP103">
        <v>1</v>
      </c>
      <c r="AT103">
        <v>12</v>
      </c>
      <c r="AU103">
        <v>9</v>
      </c>
      <c r="AV103">
        <v>55</v>
      </c>
      <c r="AW103">
        <v>11</v>
      </c>
      <c r="AX103">
        <v>21</v>
      </c>
      <c r="AY103">
        <v>2</v>
      </c>
      <c r="AZ103">
        <v>2</v>
      </c>
      <c r="BA103">
        <v>3</v>
      </c>
      <c r="BB103">
        <v>21</v>
      </c>
      <c r="BC103">
        <v>16</v>
      </c>
      <c r="BD103" t="s">
        <v>384</v>
      </c>
      <c r="BE103">
        <v>5</v>
      </c>
      <c r="BF103">
        <v>1</v>
      </c>
      <c r="BJ103">
        <v>12</v>
      </c>
      <c r="BK103">
        <v>9</v>
      </c>
      <c r="BL103">
        <v>55</v>
      </c>
      <c r="BM103">
        <v>11</v>
      </c>
      <c r="BN103">
        <v>21</v>
      </c>
      <c r="BO103">
        <v>2</v>
      </c>
      <c r="BP103">
        <v>2</v>
      </c>
      <c r="BQ103">
        <v>3</v>
      </c>
      <c r="BR103">
        <v>21</v>
      </c>
      <c r="BS103">
        <v>37</v>
      </c>
      <c r="BT103" t="s">
        <v>390</v>
      </c>
      <c r="BU103">
        <v>5</v>
      </c>
      <c r="BV103">
        <v>1</v>
      </c>
      <c r="BZ103">
        <v>12</v>
      </c>
      <c r="CA103">
        <v>9</v>
      </c>
      <c r="CB103">
        <v>55</v>
      </c>
      <c r="CC103">
        <v>11</v>
      </c>
      <c r="CD103">
        <v>21</v>
      </c>
      <c r="CU103">
        <v>502000.86550000001</v>
      </c>
      <c r="CV103">
        <v>5015823.7714</v>
      </c>
      <c r="CW103">
        <v>45.295921200000002</v>
      </c>
      <c r="CX103">
        <v>-92.974489250000005</v>
      </c>
      <c r="CY103" s="472">
        <v>43628.655555555553</v>
      </c>
      <c r="CZ103" t="s">
        <v>391</v>
      </c>
      <c r="DA103" t="s">
        <v>392</v>
      </c>
      <c r="DB103" t="s">
        <v>397</v>
      </c>
      <c r="DC103" t="s">
        <v>398</v>
      </c>
      <c r="DD103" s="18" t="s">
        <v>515</v>
      </c>
    </row>
    <row r="104" spans="1:108" ht="16.5" customHeight="1" x14ac:dyDescent="0.25">
      <c r="A104">
        <v>13</v>
      </c>
      <c r="B104">
        <v>865425</v>
      </c>
      <c r="C104">
        <v>2</v>
      </c>
      <c r="D104">
        <v>8</v>
      </c>
      <c r="E104">
        <v>1.772</v>
      </c>
      <c r="F104">
        <v>82</v>
      </c>
      <c r="G104" t="s">
        <v>508</v>
      </c>
      <c r="I104" t="s">
        <v>384</v>
      </c>
      <c r="J104">
        <v>24</v>
      </c>
      <c r="L104">
        <v>20407264</v>
      </c>
      <c r="M104">
        <v>203310024</v>
      </c>
      <c r="N104">
        <v>11</v>
      </c>
      <c r="O104">
        <v>26</v>
      </c>
      <c r="P104">
        <v>2020</v>
      </c>
      <c r="Q104" t="s">
        <v>386</v>
      </c>
      <c r="R104">
        <v>12</v>
      </c>
      <c r="T104">
        <v>5</v>
      </c>
      <c r="U104">
        <v>0</v>
      </c>
      <c r="V104">
        <v>2</v>
      </c>
      <c r="W104">
        <v>10</v>
      </c>
      <c r="X104">
        <v>10</v>
      </c>
      <c r="Y104">
        <v>2</v>
      </c>
      <c r="Z104">
        <v>1</v>
      </c>
      <c r="AA104">
        <v>2</v>
      </c>
      <c r="AC104">
        <v>1</v>
      </c>
      <c r="AD104">
        <v>98</v>
      </c>
      <c r="AE104" t="s">
        <v>388</v>
      </c>
      <c r="AG104" t="s">
        <v>389</v>
      </c>
      <c r="AH104">
        <v>5</v>
      </c>
      <c r="AI104">
        <v>2</v>
      </c>
      <c r="AJ104">
        <v>2</v>
      </c>
      <c r="AK104">
        <v>4</v>
      </c>
      <c r="AL104">
        <v>21</v>
      </c>
      <c r="AM104">
        <v>49</v>
      </c>
      <c r="AN104" t="s">
        <v>390</v>
      </c>
      <c r="AO104">
        <v>5</v>
      </c>
      <c r="AP104">
        <v>1</v>
      </c>
      <c r="AT104">
        <v>12</v>
      </c>
      <c r="AU104">
        <v>9</v>
      </c>
      <c r="AV104">
        <v>55</v>
      </c>
      <c r="AW104">
        <v>11</v>
      </c>
      <c r="AX104">
        <v>21</v>
      </c>
      <c r="AY104">
        <v>2</v>
      </c>
      <c r="AZ104">
        <v>2</v>
      </c>
      <c r="BA104">
        <v>4</v>
      </c>
      <c r="BB104">
        <v>29</v>
      </c>
      <c r="BC104">
        <v>22</v>
      </c>
      <c r="BD104" t="s">
        <v>384</v>
      </c>
      <c r="BE104">
        <v>5</v>
      </c>
      <c r="BF104">
        <v>99</v>
      </c>
      <c r="BJ104">
        <v>12</v>
      </c>
      <c r="BK104">
        <v>9</v>
      </c>
      <c r="BL104">
        <v>55</v>
      </c>
      <c r="BM104">
        <v>11</v>
      </c>
      <c r="BN104">
        <v>21</v>
      </c>
      <c r="CU104">
        <v>502022.82030000002</v>
      </c>
      <c r="CV104">
        <v>5015865.7209999999</v>
      </c>
      <c r="CW104">
        <v>45.296298749999998</v>
      </c>
      <c r="CX104">
        <v>-92.974209079999994</v>
      </c>
      <c r="CY104" s="472">
        <v>44161.529861111114</v>
      </c>
      <c r="CZ104" t="s">
        <v>391</v>
      </c>
      <c r="DA104" t="s">
        <v>392</v>
      </c>
      <c r="DB104" t="s">
        <v>397</v>
      </c>
      <c r="DC104" t="s">
        <v>398</v>
      </c>
      <c r="DD104" t="s">
        <v>516</v>
      </c>
    </row>
    <row r="105" spans="1:108" ht="16.5" customHeight="1" x14ac:dyDescent="0.25">
      <c r="A105">
        <v>13</v>
      </c>
      <c r="B105">
        <v>770887</v>
      </c>
      <c r="C105">
        <v>2</v>
      </c>
      <c r="D105">
        <v>8</v>
      </c>
      <c r="E105">
        <v>1.774</v>
      </c>
      <c r="F105">
        <v>82</v>
      </c>
      <c r="G105" t="s">
        <v>508</v>
      </c>
      <c r="I105" t="s">
        <v>384</v>
      </c>
      <c r="J105">
        <v>24</v>
      </c>
      <c r="L105">
        <v>19411069</v>
      </c>
      <c r="M105">
        <v>193450394</v>
      </c>
      <c r="N105">
        <v>12</v>
      </c>
      <c r="O105">
        <v>11</v>
      </c>
      <c r="P105">
        <v>2019</v>
      </c>
      <c r="Q105" t="s">
        <v>396</v>
      </c>
      <c r="R105">
        <v>9</v>
      </c>
      <c r="S105" t="s">
        <v>436</v>
      </c>
      <c r="T105">
        <v>4</v>
      </c>
      <c r="U105">
        <v>0</v>
      </c>
      <c r="V105">
        <v>1</v>
      </c>
      <c r="X105">
        <v>83</v>
      </c>
      <c r="Y105">
        <v>2</v>
      </c>
      <c r="Z105">
        <v>1</v>
      </c>
      <c r="AA105">
        <v>1</v>
      </c>
      <c r="AC105">
        <v>2</v>
      </c>
      <c r="AD105">
        <v>98</v>
      </c>
      <c r="AE105" t="s">
        <v>388</v>
      </c>
      <c r="AG105" t="s">
        <v>389</v>
      </c>
      <c r="AH105">
        <v>3</v>
      </c>
      <c r="AI105">
        <v>2</v>
      </c>
      <c r="AJ105">
        <v>4</v>
      </c>
      <c r="AK105">
        <v>4</v>
      </c>
      <c r="AL105">
        <v>21</v>
      </c>
      <c r="AM105">
        <v>84</v>
      </c>
      <c r="AN105" t="s">
        <v>384</v>
      </c>
      <c r="AO105">
        <v>5</v>
      </c>
      <c r="AP105">
        <v>62</v>
      </c>
      <c r="AT105">
        <v>12</v>
      </c>
      <c r="AU105">
        <v>9</v>
      </c>
      <c r="AV105">
        <v>55</v>
      </c>
      <c r="AW105">
        <v>11</v>
      </c>
      <c r="AX105">
        <v>21</v>
      </c>
      <c r="CU105">
        <v>502024.4791</v>
      </c>
      <c r="CV105">
        <v>5015868.8904999997</v>
      </c>
      <c r="CW105">
        <v>45.296327269999999</v>
      </c>
      <c r="CX105">
        <v>-92.974187909999998</v>
      </c>
      <c r="CY105" s="472">
        <v>43810.414583333331</v>
      </c>
      <c r="CZ105" t="s">
        <v>391</v>
      </c>
      <c r="DA105" t="s">
        <v>392</v>
      </c>
      <c r="DB105" t="s">
        <v>397</v>
      </c>
      <c r="DC105" t="s">
        <v>398</v>
      </c>
      <c r="DD105" s="18" t="s">
        <v>517</v>
      </c>
    </row>
    <row r="106" spans="1:108" ht="16.5" customHeight="1" x14ac:dyDescent="0.25">
      <c r="A106">
        <v>13</v>
      </c>
      <c r="B106">
        <v>734027</v>
      </c>
      <c r="C106">
        <v>2</v>
      </c>
      <c r="D106">
        <v>8</v>
      </c>
      <c r="E106">
        <v>1.778</v>
      </c>
      <c r="F106">
        <v>82</v>
      </c>
      <c r="G106" t="s">
        <v>508</v>
      </c>
      <c r="I106" t="s">
        <v>384</v>
      </c>
      <c r="J106">
        <v>24</v>
      </c>
      <c r="L106">
        <v>19406467</v>
      </c>
      <c r="M106">
        <v>191970196</v>
      </c>
      <c r="N106">
        <v>7</v>
      </c>
      <c r="O106">
        <v>16</v>
      </c>
      <c r="P106">
        <v>2019</v>
      </c>
      <c r="Q106" t="s">
        <v>402</v>
      </c>
      <c r="R106">
        <v>17</v>
      </c>
      <c r="S106" t="s">
        <v>387</v>
      </c>
      <c r="T106">
        <v>5</v>
      </c>
      <c r="U106">
        <v>0</v>
      </c>
      <c r="V106">
        <v>3</v>
      </c>
      <c r="W106">
        <v>12</v>
      </c>
      <c r="X106">
        <v>10</v>
      </c>
      <c r="Y106">
        <v>2</v>
      </c>
      <c r="Z106">
        <v>1</v>
      </c>
      <c r="AA106">
        <v>1</v>
      </c>
      <c r="AC106">
        <v>1</v>
      </c>
      <c r="AD106">
        <v>98</v>
      </c>
      <c r="AE106" t="s">
        <v>388</v>
      </c>
      <c r="AG106" t="s">
        <v>389</v>
      </c>
      <c r="AH106">
        <v>7</v>
      </c>
      <c r="AI106">
        <v>2</v>
      </c>
      <c r="AJ106">
        <v>2</v>
      </c>
      <c r="AK106">
        <v>3</v>
      </c>
      <c r="AL106">
        <v>21</v>
      </c>
      <c r="AM106">
        <v>17</v>
      </c>
      <c r="AN106" t="s">
        <v>384</v>
      </c>
      <c r="AO106">
        <v>5</v>
      </c>
      <c r="AP106">
        <v>1</v>
      </c>
      <c r="AT106">
        <v>12</v>
      </c>
      <c r="AU106">
        <v>9</v>
      </c>
      <c r="AV106">
        <v>55</v>
      </c>
      <c r="AW106">
        <v>11</v>
      </c>
      <c r="AX106">
        <v>21</v>
      </c>
      <c r="AY106">
        <v>2</v>
      </c>
      <c r="AZ106">
        <v>2</v>
      </c>
      <c r="BA106">
        <v>3</v>
      </c>
      <c r="BB106">
        <v>21</v>
      </c>
      <c r="BC106">
        <v>36</v>
      </c>
      <c r="BD106" t="s">
        <v>390</v>
      </c>
      <c r="BE106">
        <v>5</v>
      </c>
      <c r="BF106">
        <v>70</v>
      </c>
      <c r="BJ106">
        <v>12</v>
      </c>
      <c r="BK106">
        <v>9</v>
      </c>
      <c r="BL106">
        <v>55</v>
      </c>
      <c r="BM106">
        <v>11</v>
      </c>
      <c r="BN106">
        <v>21</v>
      </c>
      <c r="BO106">
        <v>2</v>
      </c>
      <c r="BP106">
        <v>3</v>
      </c>
      <c r="BQ106">
        <v>3</v>
      </c>
      <c r="BR106">
        <v>34</v>
      </c>
      <c r="BS106">
        <v>24</v>
      </c>
      <c r="BT106" t="s">
        <v>384</v>
      </c>
      <c r="BU106">
        <v>5</v>
      </c>
      <c r="BV106">
        <v>1</v>
      </c>
      <c r="BZ106">
        <v>12</v>
      </c>
      <c r="CA106">
        <v>9</v>
      </c>
      <c r="CB106">
        <v>55</v>
      </c>
      <c r="CC106">
        <v>11</v>
      </c>
      <c r="CD106">
        <v>21</v>
      </c>
      <c r="CU106">
        <v>502027.13</v>
      </c>
      <c r="CV106">
        <v>5015873.9555000002</v>
      </c>
      <c r="CW106">
        <v>45.296372859999998</v>
      </c>
      <c r="CX106">
        <v>-92.974154080000005</v>
      </c>
      <c r="CY106" s="472">
        <v>43662.719444444447</v>
      </c>
      <c r="CZ106" t="s">
        <v>391</v>
      </c>
      <c r="DA106" t="s">
        <v>392</v>
      </c>
      <c r="DB106" t="s">
        <v>397</v>
      </c>
      <c r="DC106" t="s">
        <v>398</v>
      </c>
      <c r="DD106" s="18" t="s">
        <v>518</v>
      </c>
    </row>
    <row r="107" spans="1:108" ht="16.5" customHeight="1" x14ac:dyDescent="0.25">
      <c r="A107">
        <v>13</v>
      </c>
      <c r="B107">
        <v>764871</v>
      </c>
      <c r="C107">
        <v>2</v>
      </c>
      <c r="D107">
        <v>8</v>
      </c>
      <c r="E107">
        <v>1.966</v>
      </c>
      <c r="F107">
        <v>13</v>
      </c>
      <c r="G107" t="s">
        <v>383</v>
      </c>
      <c r="I107" t="s">
        <v>384</v>
      </c>
      <c r="J107">
        <v>24</v>
      </c>
      <c r="L107">
        <v>19010997</v>
      </c>
      <c r="M107">
        <v>193280049</v>
      </c>
      <c r="N107">
        <v>11</v>
      </c>
      <c r="O107">
        <v>24</v>
      </c>
      <c r="P107">
        <v>2019</v>
      </c>
      <c r="Q107" t="s">
        <v>422</v>
      </c>
      <c r="R107">
        <v>11</v>
      </c>
      <c r="S107" t="s">
        <v>387</v>
      </c>
      <c r="T107">
        <v>5</v>
      </c>
      <c r="U107">
        <v>0</v>
      </c>
      <c r="V107">
        <v>2</v>
      </c>
      <c r="W107">
        <v>12</v>
      </c>
      <c r="X107">
        <v>10</v>
      </c>
      <c r="Y107">
        <v>10</v>
      </c>
      <c r="Z107">
        <v>1</v>
      </c>
      <c r="AA107">
        <v>1</v>
      </c>
      <c r="AC107">
        <v>1</v>
      </c>
      <c r="AD107">
        <v>98</v>
      </c>
      <c r="AE107" t="s">
        <v>388</v>
      </c>
      <c r="AG107" t="s">
        <v>389</v>
      </c>
      <c r="AH107">
        <v>7</v>
      </c>
      <c r="AI107">
        <v>2</v>
      </c>
      <c r="AJ107">
        <v>2</v>
      </c>
      <c r="AK107">
        <v>3</v>
      </c>
      <c r="AL107">
        <v>26</v>
      </c>
      <c r="AM107">
        <v>37</v>
      </c>
      <c r="AN107" t="s">
        <v>384</v>
      </c>
      <c r="AO107">
        <v>5</v>
      </c>
      <c r="AP107">
        <v>1</v>
      </c>
      <c r="AT107">
        <v>12</v>
      </c>
      <c r="AU107">
        <v>20</v>
      </c>
      <c r="AV107">
        <v>55</v>
      </c>
      <c r="AW107">
        <v>11</v>
      </c>
      <c r="AX107">
        <v>21</v>
      </c>
      <c r="AY107">
        <v>2</v>
      </c>
      <c r="AZ107">
        <v>2</v>
      </c>
      <c r="BA107">
        <v>3</v>
      </c>
      <c r="BB107">
        <v>21</v>
      </c>
      <c r="BC107">
        <v>43</v>
      </c>
      <c r="BD107" t="s">
        <v>384</v>
      </c>
      <c r="BE107">
        <v>5</v>
      </c>
      <c r="BF107">
        <v>74</v>
      </c>
      <c r="BJ107">
        <v>12</v>
      </c>
      <c r="BK107">
        <v>20</v>
      </c>
      <c r="BL107">
        <v>55</v>
      </c>
      <c r="BM107">
        <v>11</v>
      </c>
      <c r="BN107">
        <v>21</v>
      </c>
      <c r="CU107">
        <v>502181.59399999998</v>
      </c>
      <c r="CV107">
        <v>5016134.9102999996</v>
      </c>
      <c r="CW107">
        <v>45.298721370000003</v>
      </c>
      <c r="CX107">
        <v>-92.972182919999995</v>
      </c>
      <c r="CY107" s="472">
        <v>43793.458333333336</v>
      </c>
      <c r="CZ107" t="s">
        <v>391</v>
      </c>
      <c r="DA107" t="s">
        <v>392</v>
      </c>
      <c r="DB107" t="s">
        <v>393</v>
      </c>
      <c r="DC107" t="s">
        <v>394</v>
      </c>
      <c r="DD107" t="s">
        <v>519</v>
      </c>
    </row>
    <row r="108" spans="1:108" ht="16.5" customHeight="1" x14ac:dyDescent="0.25">
      <c r="CY108" s="472"/>
    </row>
    <row r="109" spans="1:108" ht="16.5" customHeight="1" x14ac:dyDescent="0.25">
      <c r="CY109" s="472"/>
    </row>
    <row r="110" spans="1:108" ht="16.5" customHeight="1" x14ac:dyDescent="0.25">
      <c r="A110">
        <v>13</v>
      </c>
      <c r="B110">
        <v>817730</v>
      </c>
      <c r="C110">
        <v>2</v>
      </c>
      <c r="D110">
        <v>8</v>
      </c>
      <c r="E110">
        <v>1.9770000000000001</v>
      </c>
      <c r="F110">
        <v>13</v>
      </c>
      <c r="G110" t="s">
        <v>383</v>
      </c>
      <c r="I110" t="s">
        <v>384</v>
      </c>
      <c r="J110">
        <v>24</v>
      </c>
      <c r="L110">
        <v>20403915</v>
      </c>
      <c r="M110">
        <v>201850049</v>
      </c>
      <c r="N110">
        <v>7</v>
      </c>
      <c r="O110">
        <v>3</v>
      </c>
      <c r="P110">
        <v>2020</v>
      </c>
      <c r="Q110" t="s">
        <v>415</v>
      </c>
      <c r="R110">
        <v>14</v>
      </c>
      <c r="S110">
        <v>98</v>
      </c>
      <c r="T110">
        <v>5</v>
      </c>
      <c r="U110">
        <v>0</v>
      </c>
      <c r="V110">
        <v>2</v>
      </c>
      <c r="W110">
        <v>12</v>
      </c>
      <c r="X110">
        <v>10</v>
      </c>
      <c r="Y110">
        <v>3</v>
      </c>
      <c r="Z110">
        <v>1</v>
      </c>
      <c r="AA110">
        <v>1</v>
      </c>
      <c r="AC110">
        <v>1</v>
      </c>
      <c r="AD110">
        <v>98</v>
      </c>
      <c r="AE110" t="s">
        <v>388</v>
      </c>
      <c r="AG110" t="s">
        <v>389</v>
      </c>
      <c r="AH110">
        <v>7</v>
      </c>
      <c r="AI110">
        <v>2</v>
      </c>
      <c r="AJ110">
        <v>2</v>
      </c>
      <c r="AK110">
        <v>3</v>
      </c>
      <c r="AL110">
        <v>34</v>
      </c>
      <c r="AM110">
        <v>18</v>
      </c>
      <c r="AN110" t="s">
        <v>384</v>
      </c>
      <c r="AO110">
        <v>5</v>
      </c>
      <c r="AP110">
        <v>1</v>
      </c>
      <c r="AT110">
        <v>12</v>
      </c>
      <c r="AU110">
        <v>20</v>
      </c>
      <c r="AV110">
        <v>55</v>
      </c>
      <c r="AW110">
        <v>11</v>
      </c>
      <c r="AX110">
        <v>21</v>
      </c>
      <c r="AY110">
        <v>2</v>
      </c>
      <c r="AZ110">
        <v>3</v>
      </c>
      <c r="BA110">
        <v>3</v>
      </c>
      <c r="BB110">
        <v>21</v>
      </c>
      <c r="BC110">
        <v>56</v>
      </c>
      <c r="BD110" t="s">
        <v>384</v>
      </c>
      <c r="BE110">
        <v>5</v>
      </c>
      <c r="BF110">
        <v>75</v>
      </c>
      <c r="BJ110">
        <v>12</v>
      </c>
      <c r="BK110">
        <v>20</v>
      </c>
      <c r="BL110">
        <v>55</v>
      </c>
      <c r="BM110">
        <v>11</v>
      </c>
      <c r="BN110">
        <v>21</v>
      </c>
      <c r="CU110">
        <v>502191.19559999998</v>
      </c>
      <c r="CV110">
        <v>5016149.2610999998</v>
      </c>
      <c r="CW110">
        <v>45.298850520000002</v>
      </c>
      <c r="CX110">
        <v>-92.972060400000004</v>
      </c>
      <c r="CY110" s="472">
        <v>44015.592361111114</v>
      </c>
      <c r="CZ110" t="s">
        <v>391</v>
      </c>
      <c r="DA110" t="s">
        <v>392</v>
      </c>
      <c r="DB110" t="s">
        <v>397</v>
      </c>
      <c r="DC110" t="s">
        <v>398</v>
      </c>
      <c r="DD110" s="18" t="s">
        <v>520</v>
      </c>
    </row>
    <row r="111" spans="1:108" ht="16.5" customHeight="1" x14ac:dyDescent="0.25">
      <c r="A111">
        <v>13</v>
      </c>
      <c r="B111">
        <v>733439</v>
      </c>
      <c r="C111">
        <v>2</v>
      </c>
      <c r="D111">
        <v>8</v>
      </c>
      <c r="E111">
        <v>2.1070000000000002</v>
      </c>
      <c r="F111">
        <v>13</v>
      </c>
      <c r="G111" t="s">
        <v>383</v>
      </c>
      <c r="I111" t="s">
        <v>384</v>
      </c>
      <c r="J111">
        <v>24</v>
      </c>
      <c r="L111">
        <v>19406360</v>
      </c>
      <c r="M111">
        <v>191930234</v>
      </c>
      <c r="N111">
        <v>7</v>
      </c>
      <c r="O111">
        <v>12</v>
      </c>
      <c r="P111">
        <v>2019</v>
      </c>
      <c r="Q111" t="s">
        <v>415</v>
      </c>
      <c r="R111">
        <v>17</v>
      </c>
      <c r="S111">
        <v>98</v>
      </c>
      <c r="T111">
        <v>5</v>
      </c>
      <c r="U111">
        <v>0</v>
      </c>
      <c r="V111">
        <v>2</v>
      </c>
      <c r="W111">
        <v>12</v>
      </c>
      <c r="X111">
        <v>10</v>
      </c>
      <c r="Y111">
        <v>2</v>
      </c>
      <c r="Z111">
        <v>1</v>
      </c>
      <c r="AA111">
        <v>1</v>
      </c>
      <c r="AC111">
        <v>1</v>
      </c>
      <c r="AD111">
        <v>98</v>
      </c>
      <c r="AE111" t="s">
        <v>388</v>
      </c>
      <c r="AG111" t="s">
        <v>389</v>
      </c>
      <c r="AH111">
        <v>7</v>
      </c>
      <c r="AI111">
        <v>2</v>
      </c>
      <c r="AJ111">
        <v>3</v>
      </c>
      <c r="AK111">
        <v>4</v>
      </c>
      <c r="AL111">
        <v>21</v>
      </c>
      <c r="AM111">
        <v>23</v>
      </c>
      <c r="AN111" t="s">
        <v>384</v>
      </c>
      <c r="AO111">
        <v>5</v>
      </c>
      <c r="AP111">
        <v>70</v>
      </c>
      <c r="AT111">
        <v>12</v>
      </c>
      <c r="AU111">
        <v>9</v>
      </c>
      <c r="AV111">
        <v>55</v>
      </c>
      <c r="AW111">
        <v>11</v>
      </c>
      <c r="AX111">
        <v>21</v>
      </c>
      <c r="AY111">
        <v>2</v>
      </c>
      <c r="AZ111">
        <v>3</v>
      </c>
      <c r="BA111">
        <v>4</v>
      </c>
      <c r="BB111">
        <v>34</v>
      </c>
      <c r="BC111">
        <v>17</v>
      </c>
      <c r="BD111" t="s">
        <v>384</v>
      </c>
      <c r="BE111">
        <v>5</v>
      </c>
      <c r="BF111">
        <v>1</v>
      </c>
      <c r="BJ111">
        <v>12</v>
      </c>
      <c r="BK111">
        <v>9</v>
      </c>
      <c r="BL111">
        <v>55</v>
      </c>
      <c r="BM111">
        <v>11</v>
      </c>
      <c r="BN111">
        <v>21</v>
      </c>
      <c r="CU111">
        <v>502306.85359999997</v>
      </c>
      <c r="CV111">
        <v>5016324.8311000001</v>
      </c>
      <c r="CW111">
        <v>45.30043053</v>
      </c>
      <c r="CX111">
        <v>-92.970584439999996</v>
      </c>
      <c r="CY111" s="472">
        <v>43658.748611111114</v>
      </c>
      <c r="CZ111" t="s">
        <v>391</v>
      </c>
      <c r="DA111" t="s">
        <v>392</v>
      </c>
      <c r="DB111" t="s">
        <v>397</v>
      </c>
      <c r="DC111" t="s">
        <v>398</v>
      </c>
      <c r="DD111" s="18" t="s">
        <v>521</v>
      </c>
    </row>
    <row r="112" spans="1:108" ht="16.5" customHeight="1" x14ac:dyDescent="0.25">
      <c r="A112">
        <v>13</v>
      </c>
      <c r="B112">
        <v>666984</v>
      </c>
      <c r="C112">
        <v>2</v>
      </c>
      <c r="D112">
        <v>8</v>
      </c>
      <c r="E112">
        <v>2.2069999999999999</v>
      </c>
      <c r="F112">
        <v>13</v>
      </c>
      <c r="G112" t="s">
        <v>383</v>
      </c>
      <c r="I112" t="s">
        <v>384</v>
      </c>
      <c r="J112">
        <v>24</v>
      </c>
      <c r="L112">
        <v>18411106</v>
      </c>
      <c r="M112">
        <v>183440008</v>
      </c>
      <c r="N112">
        <v>12</v>
      </c>
      <c r="O112">
        <v>10</v>
      </c>
      <c r="P112">
        <v>2018</v>
      </c>
      <c r="Q112" t="s">
        <v>400</v>
      </c>
      <c r="R112">
        <v>6</v>
      </c>
      <c r="S112">
        <v>98</v>
      </c>
      <c r="T112">
        <v>5</v>
      </c>
      <c r="U112">
        <v>0</v>
      </c>
      <c r="V112">
        <v>2</v>
      </c>
      <c r="W112">
        <v>12</v>
      </c>
      <c r="X112">
        <v>10</v>
      </c>
      <c r="Y112">
        <v>2</v>
      </c>
      <c r="Z112">
        <v>6</v>
      </c>
      <c r="AA112">
        <v>2</v>
      </c>
      <c r="AC112">
        <v>1</v>
      </c>
      <c r="AD112">
        <v>98</v>
      </c>
      <c r="AE112" t="s">
        <v>388</v>
      </c>
      <c r="AG112" t="s">
        <v>389</v>
      </c>
      <c r="AH112">
        <v>7</v>
      </c>
      <c r="AI112">
        <v>2</v>
      </c>
      <c r="AJ112">
        <v>3</v>
      </c>
      <c r="AK112">
        <v>4</v>
      </c>
      <c r="AL112">
        <v>34</v>
      </c>
      <c r="AM112">
        <v>32</v>
      </c>
      <c r="AN112" t="s">
        <v>384</v>
      </c>
      <c r="AO112">
        <v>5</v>
      </c>
      <c r="AP112">
        <v>1</v>
      </c>
      <c r="AT112">
        <v>12</v>
      </c>
      <c r="AU112">
        <v>9</v>
      </c>
      <c r="AV112">
        <v>55</v>
      </c>
      <c r="AW112">
        <v>11</v>
      </c>
      <c r="AX112">
        <v>21</v>
      </c>
      <c r="AY112">
        <v>2</v>
      </c>
      <c r="AZ112">
        <v>2</v>
      </c>
      <c r="BA112">
        <v>4</v>
      </c>
      <c r="BB112">
        <v>21</v>
      </c>
      <c r="BC112">
        <v>52</v>
      </c>
      <c r="BD112" t="s">
        <v>390</v>
      </c>
      <c r="BE112">
        <v>5</v>
      </c>
      <c r="BF112">
        <v>74</v>
      </c>
      <c r="BJ112">
        <v>12</v>
      </c>
      <c r="BK112">
        <v>9</v>
      </c>
      <c r="BL112">
        <v>55</v>
      </c>
      <c r="BM112">
        <v>11</v>
      </c>
      <c r="BN112">
        <v>21</v>
      </c>
      <c r="CU112">
        <v>502401.19540000003</v>
      </c>
      <c r="CV112">
        <v>5016453.0867999997</v>
      </c>
      <c r="CW112">
        <v>45.301584699999999</v>
      </c>
      <c r="CX112">
        <v>-92.969380509999993</v>
      </c>
      <c r="CY112" s="472">
        <v>43444.280555555553</v>
      </c>
      <c r="CZ112" t="s">
        <v>391</v>
      </c>
      <c r="DA112" t="s">
        <v>392</v>
      </c>
      <c r="DB112" t="s">
        <v>397</v>
      </c>
      <c r="DC112" t="s">
        <v>398</v>
      </c>
      <c r="DD112" s="18" t="s">
        <v>522</v>
      </c>
    </row>
    <row r="113" spans="1:108" ht="16.5" customHeight="1" x14ac:dyDescent="0.25">
      <c r="CY113" s="472"/>
      <c r="DD113" s="18"/>
    </row>
    <row r="114" spans="1:108" ht="16.5" customHeight="1" x14ac:dyDescent="0.25">
      <c r="A114">
        <v>13</v>
      </c>
      <c r="B114">
        <v>846941</v>
      </c>
      <c r="C114">
        <v>2</v>
      </c>
      <c r="D114">
        <v>8</v>
      </c>
      <c r="E114">
        <v>2.2519999999999998</v>
      </c>
      <c r="F114">
        <v>13</v>
      </c>
      <c r="G114" t="s">
        <v>383</v>
      </c>
      <c r="I114" t="s">
        <v>384</v>
      </c>
      <c r="J114">
        <v>24</v>
      </c>
      <c r="L114">
        <v>20406266</v>
      </c>
      <c r="M114">
        <v>202900150</v>
      </c>
      <c r="N114">
        <v>10</v>
      </c>
      <c r="O114">
        <v>16</v>
      </c>
      <c r="P114">
        <v>2020</v>
      </c>
      <c r="Q114" t="s">
        <v>415</v>
      </c>
      <c r="R114">
        <v>15</v>
      </c>
      <c r="S114" t="s">
        <v>420</v>
      </c>
      <c r="T114">
        <v>3</v>
      </c>
      <c r="U114">
        <v>0</v>
      </c>
      <c r="V114">
        <v>1</v>
      </c>
      <c r="X114">
        <v>48</v>
      </c>
      <c r="Y114">
        <v>2</v>
      </c>
      <c r="Z114">
        <v>1</v>
      </c>
      <c r="AA114">
        <v>2</v>
      </c>
      <c r="AC114">
        <v>1</v>
      </c>
      <c r="AD114">
        <v>98</v>
      </c>
      <c r="AE114" t="s">
        <v>388</v>
      </c>
      <c r="AG114" t="s">
        <v>389</v>
      </c>
      <c r="AH114">
        <v>3</v>
      </c>
      <c r="AI114">
        <v>2</v>
      </c>
      <c r="AJ114">
        <v>4</v>
      </c>
      <c r="AK114">
        <v>4</v>
      </c>
      <c r="AL114">
        <v>32</v>
      </c>
      <c r="AM114">
        <v>30</v>
      </c>
      <c r="AN114" t="s">
        <v>384</v>
      </c>
      <c r="AO114">
        <v>7</v>
      </c>
      <c r="AP114">
        <v>62</v>
      </c>
      <c r="AT114">
        <v>12</v>
      </c>
      <c r="AU114">
        <v>9</v>
      </c>
      <c r="AV114">
        <v>45</v>
      </c>
      <c r="AW114">
        <v>12</v>
      </c>
      <c r="AX114">
        <v>21</v>
      </c>
      <c r="CU114">
        <v>502453.54310000001</v>
      </c>
      <c r="CV114">
        <v>5016504.8879000004</v>
      </c>
      <c r="CW114">
        <v>45.302050809999997</v>
      </c>
      <c r="CX114">
        <v>-92.96871256</v>
      </c>
      <c r="CY114" s="472">
        <v>44120.651388888888</v>
      </c>
      <c r="CZ114" t="s">
        <v>391</v>
      </c>
      <c r="DA114" t="s">
        <v>392</v>
      </c>
      <c r="DB114" t="s">
        <v>397</v>
      </c>
      <c r="DC114" t="s">
        <v>398</v>
      </c>
      <c r="DD114" t="s">
        <v>523</v>
      </c>
    </row>
    <row r="115" spans="1:108" ht="16.5" customHeight="1" x14ac:dyDescent="0.25">
      <c r="A115">
        <v>13</v>
      </c>
      <c r="B115">
        <v>886026</v>
      </c>
      <c r="C115">
        <v>2</v>
      </c>
      <c r="D115">
        <v>8</v>
      </c>
      <c r="E115">
        <v>2.4889999999999999</v>
      </c>
      <c r="F115">
        <v>13</v>
      </c>
      <c r="G115" t="s">
        <v>383</v>
      </c>
      <c r="I115" t="s">
        <v>384</v>
      </c>
      <c r="J115">
        <v>24</v>
      </c>
      <c r="L115">
        <v>21400411</v>
      </c>
      <c r="M115">
        <v>210220113</v>
      </c>
      <c r="N115">
        <v>1</v>
      </c>
      <c r="O115">
        <v>22</v>
      </c>
      <c r="P115">
        <v>2021</v>
      </c>
      <c r="Q115" t="s">
        <v>415</v>
      </c>
      <c r="R115">
        <v>14</v>
      </c>
      <c r="T115">
        <v>5</v>
      </c>
      <c r="U115">
        <v>0</v>
      </c>
      <c r="V115">
        <v>2</v>
      </c>
      <c r="W115">
        <v>12</v>
      </c>
      <c r="X115">
        <v>10</v>
      </c>
      <c r="Y115">
        <v>2</v>
      </c>
      <c r="Z115">
        <v>1</v>
      </c>
      <c r="AA115">
        <v>1</v>
      </c>
      <c r="AC115">
        <v>1</v>
      </c>
      <c r="AD115">
        <v>98</v>
      </c>
      <c r="AE115" t="s">
        <v>388</v>
      </c>
      <c r="AG115" t="s">
        <v>389</v>
      </c>
      <c r="AH115">
        <v>7</v>
      </c>
      <c r="AI115">
        <v>2</v>
      </c>
      <c r="AJ115">
        <v>2</v>
      </c>
      <c r="AK115">
        <v>3</v>
      </c>
      <c r="AL115">
        <v>34</v>
      </c>
      <c r="AM115">
        <v>17</v>
      </c>
      <c r="AN115" t="s">
        <v>384</v>
      </c>
      <c r="AO115">
        <v>5</v>
      </c>
      <c r="AP115">
        <v>1</v>
      </c>
      <c r="AT115">
        <v>12</v>
      </c>
      <c r="AU115">
        <v>9</v>
      </c>
      <c r="AV115">
        <v>55</v>
      </c>
      <c r="AW115">
        <v>11</v>
      </c>
      <c r="AX115">
        <v>21</v>
      </c>
      <c r="AY115">
        <v>2</v>
      </c>
      <c r="AZ115">
        <v>3</v>
      </c>
      <c r="BA115">
        <v>3</v>
      </c>
      <c r="BB115">
        <v>21</v>
      </c>
      <c r="BC115">
        <v>26</v>
      </c>
      <c r="BD115" t="s">
        <v>384</v>
      </c>
      <c r="BE115">
        <v>5</v>
      </c>
      <c r="BF115">
        <v>4</v>
      </c>
      <c r="BG115">
        <v>90</v>
      </c>
      <c r="BJ115">
        <v>12</v>
      </c>
      <c r="BK115">
        <v>9</v>
      </c>
      <c r="BL115">
        <v>55</v>
      </c>
      <c r="BM115">
        <v>11</v>
      </c>
      <c r="BN115">
        <v>21</v>
      </c>
      <c r="CU115">
        <v>502780.86249999999</v>
      </c>
      <c r="CV115">
        <v>5016694.1530999998</v>
      </c>
      <c r="CW115">
        <v>45.30375325</v>
      </c>
      <c r="CX115">
        <v>-92.964536510000002</v>
      </c>
      <c r="CY115" s="472">
        <v>44218.623611111114</v>
      </c>
      <c r="CZ115" t="s">
        <v>391</v>
      </c>
      <c r="DA115" t="s">
        <v>392</v>
      </c>
      <c r="DB115" t="s">
        <v>397</v>
      </c>
      <c r="DC115" t="s">
        <v>398</v>
      </c>
      <c r="DD115" t="s">
        <v>524</v>
      </c>
    </row>
    <row r="116" spans="1:108" ht="16.5" customHeight="1" x14ac:dyDescent="0.25">
      <c r="CY116" s="472"/>
      <c r="DD116" s="18"/>
    </row>
    <row r="117" spans="1:108" ht="16.5" customHeight="1" x14ac:dyDescent="0.25">
      <c r="A117">
        <v>13</v>
      </c>
      <c r="B117">
        <v>867794</v>
      </c>
      <c r="C117">
        <v>2</v>
      </c>
      <c r="D117">
        <v>8</v>
      </c>
      <c r="E117">
        <v>2.5720000000000001</v>
      </c>
      <c r="F117">
        <v>13</v>
      </c>
      <c r="G117">
        <v>2397388</v>
      </c>
      <c r="J117">
        <v>24</v>
      </c>
      <c r="L117">
        <v>20407336</v>
      </c>
      <c r="M117">
        <v>203360156</v>
      </c>
      <c r="N117">
        <v>12</v>
      </c>
      <c r="O117">
        <v>1</v>
      </c>
      <c r="P117">
        <v>2020</v>
      </c>
      <c r="Q117" t="s">
        <v>402</v>
      </c>
      <c r="R117">
        <v>14</v>
      </c>
      <c r="S117" t="s">
        <v>420</v>
      </c>
      <c r="T117">
        <v>5</v>
      </c>
      <c r="U117">
        <v>0</v>
      </c>
      <c r="V117">
        <v>2</v>
      </c>
      <c r="W117">
        <v>12</v>
      </c>
      <c r="X117">
        <v>10</v>
      </c>
      <c r="Y117">
        <v>2</v>
      </c>
      <c r="Z117">
        <v>1</v>
      </c>
      <c r="AA117">
        <v>1</v>
      </c>
      <c r="AC117">
        <v>1</v>
      </c>
      <c r="AD117">
        <v>98</v>
      </c>
      <c r="AE117" t="s">
        <v>388</v>
      </c>
      <c r="AG117" t="s">
        <v>389</v>
      </c>
      <c r="AH117">
        <v>7</v>
      </c>
      <c r="AI117">
        <v>2</v>
      </c>
      <c r="AJ117">
        <v>3</v>
      </c>
      <c r="AK117">
        <v>4</v>
      </c>
      <c r="AL117">
        <v>34</v>
      </c>
      <c r="AM117">
        <v>61</v>
      </c>
      <c r="AN117" t="s">
        <v>384</v>
      </c>
      <c r="AO117">
        <v>5</v>
      </c>
      <c r="AP117">
        <v>1</v>
      </c>
      <c r="AT117">
        <v>12</v>
      </c>
      <c r="AU117">
        <v>9</v>
      </c>
      <c r="AV117">
        <v>55</v>
      </c>
      <c r="AW117">
        <v>11</v>
      </c>
      <c r="AX117">
        <v>21</v>
      </c>
      <c r="AY117">
        <v>2</v>
      </c>
      <c r="AZ117">
        <v>2</v>
      </c>
      <c r="BA117">
        <v>4</v>
      </c>
      <c r="BB117">
        <v>21</v>
      </c>
      <c r="BC117">
        <v>16</v>
      </c>
      <c r="BD117" t="s">
        <v>390</v>
      </c>
      <c r="BE117">
        <v>5</v>
      </c>
      <c r="BF117">
        <v>4</v>
      </c>
      <c r="BJ117">
        <v>12</v>
      </c>
      <c r="BK117">
        <v>9</v>
      </c>
      <c r="BL117">
        <v>55</v>
      </c>
      <c r="BM117">
        <v>11</v>
      </c>
      <c r="BN117">
        <v>21</v>
      </c>
      <c r="CU117">
        <v>502899.84759969998</v>
      </c>
      <c r="CV117">
        <v>5016760.5706544695</v>
      </c>
      <c r="CW117">
        <v>45.304342550000001</v>
      </c>
      <c r="CX117">
        <v>-92.963010699999998</v>
      </c>
      <c r="CY117" s="472">
        <v>44166.604166666664</v>
      </c>
      <c r="CZ117" t="s">
        <v>391</v>
      </c>
      <c r="DA117" t="s">
        <v>392</v>
      </c>
      <c r="DB117" t="s">
        <v>397</v>
      </c>
      <c r="DC117" t="s">
        <v>398</v>
      </c>
      <c r="DD117" t="s">
        <v>525</v>
      </c>
    </row>
    <row r="118" spans="1:108" ht="16.5" customHeight="1" x14ac:dyDescent="0.25">
      <c r="A118">
        <v>13</v>
      </c>
      <c r="B118">
        <v>609231</v>
      </c>
      <c r="C118">
        <v>2</v>
      </c>
      <c r="D118">
        <v>8</v>
      </c>
      <c r="E118">
        <v>2.641</v>
      </c>
      <c r="F118">
        <v>13</v>
      </c>
      <c r="G118" t="s">
        <v>383</v>
      </c>
      <c r="I118" t="s">
        <v>384</v>
      </c>
      <c r="J118">
        <v>24</v>
      </c>
      <c r="L118">
        <v>18406314</v>
      </c>
      <c r="M118">
        <v>181860185</v>
      </c>
      <c r="N118">
        <v>7</v>
      </c>
      <c r="O118">
        <v>5</v>
      </c>
      <c r="P118">
        <v>2018</v>
      </c>
      <c r="Q118" t="s">
        <v>386</v>
      </c>
      <c r="R118">
        <v>15</v>
      </c>
      <c r="S118" t="s">
        <v>420</v>
      </c>
      <c r="T118">
        <v>3</v>
      </c>
      <c r="U118">
        <v>0</v>
      </c>
      <c r="V118">
        <v>2</v>
      </c>
      <c r="W118">
        <v>13</v>
      </c>
      <c r="X118">
        <v>10</v>
      </c>
      <c r="Y118">
        <v>2</v>
      </c>
      <c r="Z118">
        <v>1</v>
      </c>
      <c r="AA118">
        <v>1</v>
      </c>
      <c r="AC118">
        <v>1</v>
      </c>
      <c r="AD118">
        <v>98</v>
      </c>
      <c r="AE118" t="s">
        <v>388</v>
      </c>
      <c r="AG118" t="s">
        <v>389</v>
      </c>
      <c r="AH118">
        <v>8</v>
      </c>
      <c r="AI118">
        <v>2</v>
      </c>
      <c r="AJ118">
        <v>2</v>
      </c>
      <c r="AK118">
        <v>3</v>
      </c>
      <c r="AL118">
        <v>26</v>
      </c>
      <c r="AM118">
        <v>63</v>
      </c>
      <c r="AN118" t="s">
        <v>384</v>
      </c>
      <c r="AO118">
        <v>5</v>
      </c>
      <c r="AP118">
        <v>4</v>
      </c>
      <c r="AQ118">
        <v>68</v>
      </c>
      <c r="AT118">
        <v>12</v>
      </c>
      <c r="AU118">
        <v>9</v>
      </c>
      <c r="AV118">
        <v>55</v>
      </c>
      <c r="AW118">
        <v>11</v>
      </c>
      <c r="AX118">
        <v>21</v>
      </c>
      <c r="AY118">
        <v>2</v>
      </c>
      <c r="AZ118">
        <v>3</v>
      </c>
      <c r="BA118">
        <v>4</v>
      </c>
      <c r="BB118">
        <v>21</v>
      </c>
      <c r="BC118">
        <v>62</v>
      </c>
      <c r="BD118" t="s">
        <v>390</v>
      </c>
      <c r="BE118">
        <v>5</v>
      </c>
      <c r="BF118">
        <v>1</v>
      </c>
      <c r="BJ118">
        <v>12</v>
      </c>
      <c r="BK118">
        <v>9</v>
      </c>
      <c r="BL118">
        <v>55</v>
      </c>
      <c r="BM118">
        <v>11</v>
      </c>
      <c r="BN118">
        <v>21</v>
      </c>
      <c r="CU118">
        <v>503009.44449999998</v>
      </c>
      <c r="CV118">
        <v>5016783.8616000004</v>
      </c>
      <c r="CW118">
        <v>45.304559810000001</v>
      </c>
      <c r="CX118">
        <v>-92.961620300000007</v>
      </c>
      <c r="CY118" s="472">
        <v>43286.626388888886</v>
      </c>
      <c r="CZ118" t="s">
        <v>391</v>
      </c>
      <c r="DA118" t="s">
        <v>392</v>
      </c>
      <c r="DB118" t="s">
        <v>397</v>
      </c>
      <c r="DC118" t="s">
        <v>398</v>
      </c>
      <c r="DD118" s="18" t="s">
        <v>526</v>
      </c>
    </row>
    <row r="119" spans="1:108" ht="16.5" customHeight="1" x14ac:dyDescent="0.25">
      <c r="CY119" s="472"/>
    </row>
    <row r="120" spans="1:108" ht="16.5" customHeight="1" x14ac:dyDescent="0.25">
      <c r="A120">
        <v>13</v>
      </c>
      <c r="B120">
        <v>981900</v>
      </c>
      <c r="C120">
        <v>2</v>
      </c>
      <c r="D120">
        <v>8</v>
      </c>
      <c r="E120">
        <v>2.6909999999999998</v>
      </c>
      <c r="F120">
        <v>13</v>
      </c>
      <c r="G120" t="s">
        <v>383</v>
      </c>
      <c r="I120" t="s">
        <v>384</v>
      </c>
      <c r="J120">
        <v>24</v>
      </c>
      <c r="L120">
        <v>21408489</v>
      </c>
      <c r="M120">
        <v>213530095</v>
      </c>
      <c r="N120">
        <v>12</v>
      </c>
      <c r="O120">
        <v>19</v>
      </c>
      <c r="P120">
        <v>2021</v>
      </c>
      <c r="Q120" t="s">
        <v>422</v>
      </c>
      <c r="R120">
        <v>17</v>
      </c>
      <c r="S120" t="s">
        <v>420</v>
      </c>
      <c r="T120">
        <v>5</v>
      </c>
      <c r="U120">
        <v>0</v>
      </c>
      <c r="V120">
        <v>3</v>
      </c>
      <c r="W120">
        <v>12</v>
      </c>
      <c r="X120">
        <v>10</v>
      </c>
      <c r="Y120">
        <v>2</v>
      </c>
      <c r="Z120">
        <v>6</v>
      </c>
      <c r="AA120">
        <v>1</v>
      </c>
      <c r="AC120">
        <v>1</v>
      </c>
      <c r="AD120">
        <v>98</v>
      </c>
      <c r="AE120" t="s">
        <v>388</v>
      </c>
      <c r="AG120" t="s">
        <v>389</v>
      </c>
      <c r="AH120">
        <v>7</v>
      </c>
      <c r="AI120">
        <v>2</v>
      </c>
      <c r="AJ120">
        <v>4</v>
      </c>
      <c r="AK120">
        <v>4</v>
      </c>
      <c r="AL120">
        <v>34</v>
      </c>
      <c r="AM120">
        <v>18</v>
      </c>
      <c r="AN120" t="s">
        <v>384</v>
      </c>
      <c r="AO120">
        <v>5</v>
      </c>
      <c r="AP120">
        <v>1</v>
      </c>
      <c r="AT120">
        <v>12</v>
      </c>
      <c r="AU120">
        <v>9</v>
      </c>
      <c r="AV120">
        <v>55</v>
      </c>
      <c r="AW120">
        <v>11</v>
      </c>
      <c r="AX120">
        <v>21</v>
      </c>
      <c r="AY120">
        <v>2</v>
      </c>
      <c r="AZ120">
        <v>2</v>
      </c>
      <c r="BA120">
        <v>4</v>
      </c>
      <c r="BB120">
        <v>34</v>
      </c>
      <c r="BC120">
        <v>17</v>
      </c>
      <c r="BD120" t="s">
        <v>390</v>
      </c>
      <c r="BE120">
        <v>5</v>
      </c>
      <c r="BF120">
        <v>1</v>
      </c>
      <c r="BJ120">
        <v>12</v>
      </c>
      <c r="BK120">
        <v>9</v>
      </c>
      <c r="BL120">
        <v>55</v>
      </c>
      <c r="BM120">
        <v>11</v>
      </c>
      <c r="BN120">
        <v>21</v>
      </c>
      <c r="BO120">
        <v>2</v>
      </c>
      <c r="BP120">
        <v>4</v>
      </c>
      <c r="BQ120">
        <v>4</v>
      </c>
      <c r="BR120">
        <v>21</v>
      </c>
      <c r="BS120">
        <v>18</v>
      </c>
      <c r="BT120" t="s">
        <v>390</v>
      </c>
      <c r="BU120">
        <v>5</v>
      </c>
      <c r="BV120">
        <v>4</v>
      </c>
      <c r="BZ120">
        <v>12</v>
      </c>
      <c r="CA120">
        <v>9</v>
      </c>
      <c r="CB120">
        <v>55</v>
      </c>
      <c r="CC120">
        <v>11</v>
      </c>
      <c r="CD120">
        <v>21</v>
      </c>
      <c r="CU120">
        <v>503084.16749999998</v>
      </c>
      <c r="CV120">
        <v>5016813.1361999996</v>
      </c>
      <c r="CW120">
        <v>45.304822999999999</v>
      </c>
      <c r="CX120">
        <v>-92.960666970000005</v>
      </c>
      <c r="CY120" s="472">
        <v>44549.729861111111</v>
      </c>
      <c r="CZ120" t="s">
        <v>391</v>
      </c>
      <c r="DA120" t="s">
        <v>392</v>
      </c>
      <c r="DB120" t="s">
        <v>397</v>
      </c>
      <c r="DC120" t="s">
        <v>398</v>
      </c>
      <c r="DD120" t="s">
        <v>527</v>
      </c>
    </row>
    <row r="121" spans="1:108" ht="16.5" customHeight="1" x14ac:dyDescent="0.25">
      <c r="CY121" s="472"/>
    </row>
    <row r="122" spans="1:108" ht="16.5" customHeight="1" x14ac:dyDescent="0.25">
      <c r="A122">
        <v>13</v>
      </c>
      <c r="B122">
        <v>608141</v>
      </c>
      <c r="C122">
        <v>2</v>
      </c>
      <c r="D122">
        <v>8</v>
      </c>
      <c r="E122">
        <v>2.706</v>
      </c>
      <c r="F122">
        <v>13</v>
      </c>
      <c r="G122" t="s">
        <v>383</v>
      </c>
      <c r="I122" t="s">
        <v>384</v>
      </c>
      <c r="J122">
        <v>24</v>
      </c>
      <c r="L122">
        <v>18406219</v>
      </c>
      <c r="M122">
        <v>181820116</v>
      </c>
      <c r="N122">
        <v>7</v>
      </c>
      <c r="O122">
        <v>1</v>
      </c>
      <c r="P122">
        <v>2018</v>
      </c>
      <c r="Q122" t="s">
        <v>422</v>
      </c>
      <c r="R122">
        <v>13</v>
      </c>
      <c r="S122" t="s">
        <v>420</v>
      </c>
      <c r="T122">
        <v>5</v>
      </c>
      <c r="U122">
        <v>0</v>
      </c>
      <c r="V122">
        <v>2</v>
      </c>
      <c r="W122">
        <v>12</v>
      </c>
      <c r="X122">
        <v>10</v>
      </c>
      <c r="Y122">
        <v>10</v>
      </c>
      <c r="Z122">
        <v>1</v>
      </c>
      <c r="AA122">
        <v>2</v>
      </c>
      <c r="AC122">
        <v>2</v>
      </c>
      <c r="AD122">
        <v>98</v>
      </c>
      <c r="AE122" t="s">
        <v>388</v>
      </c>
      <c r="AG122" t="s">
        <v>389</v>
      </c>
      <c r="AH122">
        <v>7</v>
      </c>
      <c r="AI122">
        <v>2</v>
      </c>
      <c r="AJ122">
        <v>2</v>
      </c>
      <c r="AK122">
        <v>4</v>
      </c>
      <c r="AL122">
        <v>26</v>
      </c>
      <c r="AM122">
        <v>30</v>
      </c>
      <c r="AN122" t="s">
        <v>390</v>
      </c>
      <c r="AO122">
        <v>5</v>
      </c>
      <c r="AP122">
        <v>1</v>
      </c>
      <c r="AT122">
        <v>12</v>
      </c>
      <c r="AU122">
        <v>9</v>
      </c>
      <c r="AV122">
        <v>55</v>
      </c>
      <c r="AW122">
        <v>11</v>
      </c>
      <c r="AX122">
        <v>21</v>
      </c>
      <c r="AY122">
        <v>2</v>
      </c>
      <c r="AZ122">
        <v>4</v>
      </c>
      <c r="BA122">
        <v>4</v>
      </c>
      <c r="BB122">
        <v>27</v>
      </c>
      <c r="BC122">
        <v>36</v>
      </c>
      <c r="BD122" t="s">
        <v>384</v>
      </c>
      <c r="BE122">
        <v>5</v>
      </c>
      <c r="BF122">
        <v>74</v>
      </c>
      <c r="BJ122">
        <v>12</v>
      </c>
      <c r="BK122">
        <v>9</v>
      </c>
      <c r="BL122">
        <v>55</v>
      </c>
      <c r="BM122">
        <v>11</v>
      </c>
      <c r="BN122">
        <v>21</v>
      </c>
      <c r="CU122">
        <v>503106.36359999998</v>
      </c>
      <c r="CV122">
        <v>5016822.1079000002</v>
      </c>
      <c r="CW122">
        <v>45.304903660000001</v>
      </c>
      <c r="CX122">
        <v>-92.960383789999995</v>
      </c>
      <c r="CY122" s="472">
        <v>43282.580555555556</v>
      </c>
      <c r="CZ122" t="s">
        <v>391</v>
      </c>
      <c r="DA122" t="s">
        <v>392</v>
      </c>
      <c r="DB122" t="s">
        <v>397</v>
      </c>
      <c r="DC122" t="s">
        <v>398</v>
      </c>
      <c r="DD122" s="18" t="s">
        <v>528</v>
      </c>
    </row>
    <row r="123" spans="1:108" ht="16.5" customHeight="1" x14ac:dyDescent="0.25">
      <c r="A123">
        <v>13</v>
      </c>
      <c r="B123">
        <v>973248</v>
      </c>
      <c r="C123">
        <v>2</v>
      </c>
      <c r="D123">
        <v>8</v>
      </c>
      <c r="E123">
        <v>2.7320000000000002</v>
      </c>
      <c r="F123">
        <v>13</v>
      </c>
      <c r="G123">
        <v>2397388</v>
      </c>
      <c r="J123">
        <v>24</v>
      </c>
      <c r="L123">
        <v>21407325</v>
      </c>
      <c r="M123">
        <v>213170069</v>
      </c>
      <c r="N123">
        <v>11</v>
      </c>
      <c r="O123">
        <v>13</v>
      </c>
      <c r="P123">
        <v>2021</v>
      </c>
      <c r="Q123" t="s">
        <v>405</v>
      </c>
      <c r="R123">
        <v>0</v>
      </c>
      <c r="S123">
        <v>98</v>
      </c>
      <c r="T123">
        <v>3</v>
      </c>
      <c r="U123">
        <v>0</v>
      </c>
      <c r="V123">
        <v>2</v>
      </c>
      <c r="W123">
        <v>12</v>
      </c>
      <c r="X123">
        <v>10</v>
      </c>
      <c r="Y123">
        <v>16</v>
      </c>
      <c r="Z123">
        <v>6</v>
      </c>
      <c r="AA123">
        <v>1</v>
      </c>
      <c r="AC123">
        <v>1</v>
      </c>
      <c r="AD123">
        <v>98</v>
      </c>
      <c r="AE123" t="s">
        <v>388</v>
      </c>
      <c r="AG123" t="s">
        <v>389</v>
      </c>
      <c r="AH123">
        <v>7</v>
      </c>
      <c r="AI123">
        <v>2</v>
      </c>
      <c r="AJ123">
        <v>2</v>
      </c>
      <c r="AK123">
        <v>99</v>
      </c>
      <c r="AL123">
        <v>21</v>
      </c>
      <c r="AM123">
        <v>53</v>
      </c>
      <c r="AN123" t="s">
        <v>384</v>
      </c>
      <c r="AO123">
        <v>5</v>
      </c>
      <c r="AP123">
        <v>2</v>
      </c>
      <c r="AQ123">
        <v>74</v>
      </c>
      <c r="AT123">
        <v>12</v>
      </c>
      <c r="AU123">
        <v>9</v>
      </c>
      <c r="AV123">
        <v>55</v>
      </c>
      <c r="AW123">
        <v>11</v>
      </c>
      <c r="AX123">
        <v>21</v>
      </c>
      <c r="AY123">
        <v>2</v>
      </c>
      <c r="AZ123">
        <v>4</v>
      </c>
      <c r="BA123">
        <v>99</v>
      </c>
      <c r="BB123">
        <v>26</v>
      </c>
      <c r="BC123">
        <v>18</v>
      </c>
      <c r="BD123" t="s">
        <v>390</v>
      </c>
      <c r="BE123">
        <v>5</v>
      </c>
      <c r="BF123">
        <v>1</v>
      </c>
      <c r="BJ123">
        <v>12</v>
      </c>
      <c r="BK123">
        <v>9</v>
      </c>
      <c r="BL123">
        <v>55</v>
      </c>
      <c r="BM123">
        <v>11</v>
      </c>
      <c r="BN123">
        <v>21</v>
      </c>
      <c r="CU123">
        <v>503145.38142410002</v>
      </c>
      <c r="CV123">
        <v>5016836.7708068704</v>
      </c>
      <c r="CW123">
        <v>45.305027410000001</v>
      </c>
      <c r="CX123">
        <v>-92.959878290000006</v>
      </c>
      <c r="CY123" s="472">
        <v>44513.000694444447</v>
      </c>
      <c r="CZ123" t="s">
        <v>391</v>
      </c>
      <c r="DA123" t="s">
        <v>392</v>
      </c>
      <c r="DB123" t="s">
        <v>397</v>
      </c>
      <c r="DC123" t="s">
        <v>398</v>
      </c>
      <c r="DD123" s="18" t="s">
        <v>529</v>
      </c>
    </row>
    <row r="124" spans="1:108" ht="16.5" customHeight="1" x14ac:dyDescent="0.25">
      <c r="A124">
        <v>13</v>
      </c>
      <c r="B124">
        <v>737352</v>
      </c>
      <c r="C124">
        <v>2</v>
      </c>
      <c r="D124">
        <v>8</v>
      </c>
      <c r="E124">
        <v>2.78</v>
      </c>
      <c r="F124">
        <v>13</v>
      </c>
      <c r="G124" t="s">
        <v>383</v>
      </c>
      <c r="I124" t="s">
        <v>384</v>
      </c>
      <c r="J124">
        <v>24</v>
      </c>
      <c r="L124">
        <v>19406862</v>
      </c>
      <c r="M124">
        <v>192120120</v>
      </c>
      <c r="N124">
        <v>7</v>
      </c>
      <c r="O124">
        <v>31</v>
      </c>
      <c r="P124">
        <v>2019</v>
      </c>
      <c r="Q124" t="s">
        <v>396</v>
      </c>
      <c r="R124">
        <v>16</v>
      </c>
      <c r="S124">
        <v>98</v>
      </c>
      <c r="T124">
        <v>4</v>
      </c>
      <c r="U124">
        <v>0</v>
      </c>
      <c r="V124">
        <v>2</v>
      </c>
      <c r="W124">
        <v>12</v>
      </c>
      <c r="X124">
        <v>10</v>
      </c>
      <c r="Y124">
        <v>2</v>
      </c>
      <c r="Z124">
        <v>1</v>
      </c>
      <c r="AA124">
        <v>1</v>
      </c>
      <c r="AC124">
        <v>1</v>
      </c>
      <c r="AD124">
        <v>98</v>
      </c>
      <c r="AE124" t="s">
        <v>388</v>
      </c>
      <c r="AG124" t="s">
        <v>389</v>
      </c>
      <c r="AH124">
        <v>7</v>
      </c>
      <c r="AI124">
        <v>2</v>
      </c>
      <c r="AJ124">
        <v>2</v>
      </c>
      <c r="AK124">
        <v>4</v>
      </c>
      <c r="AL124">
        <v>21</v>
      </c>
      <c r="AM124">
        <v>29</v>
      </c>
      <c r="AN124" t="s">
        <v>390</v>
      </c>
      <c r="AO124">
        <v>5</v>
      </c>
      <c r="AP124">
        <v>74</v>
      </c>
      <c r="AT124">
        <v>12</v>
      </c>
      <c r="AU124">
        <v>9</v>
      </c>
      <c r="AV124">
        <v>55</v>
      </c>
      <c r="AW124">
        <v>11</v>
      </c>
      <c r="AX124">
        <v>21</v>
      </c>
      <c r="AY124">
        <v>2</v>
      </c>
      <c r="AZ124">
        <v>4</v>
      </c>
      <c r="BA124">
        <v>4</v>
      </c>
      <c r="BB124">
        <v>21</v>
      </c>
      <c r="BC124">
        <v>40</v>
      </c>
      <c r="BD124" t="s">
        <v>384</v>
      </c>
      <c r="BE124">
        <v>5</v>
      </c>
      <c r="BF124">
        <v>1</v>
      </c>
      <c r="BJ124">
        <v>12</v>
      </c>
      <c r="BK124">
        <v>9</v>
      </c>
      <c r="BL124">
        <v>55</v>
      </c>
      <c r="BM124">
        <v>11</v>
      </c>
      <c r="BN124">
        <v>21</v>
      </c>
      <c r="CU124">
        <v>503217.17469999997</v>
      </c>
      <c r="CV124">
        <v>5016866.898</v>
      </c>
      <c r="CW124">
        <v>45.305306340000001</v>
      </c>
      <c r="CX124">
        <v>-92.958970019999995</v>
      </c>
      <c r="CY124" s="472">
        <v>43677.706250000003</v>
      </c>
      <c r="CZ124" t="s">
        <v>391</v>
      </c>
      <c r="DA124" t="s">
        <v>392</v>
      </c>
      <c r="DB124" t="s">
        <v>397</v>
      </c>
      <c r="DC124" t="s">
        <v>398</v>
      </c>
      <c r="DD124" s="18" t="s">
        <v>530</v>
      </c>
    </row>
    <row r="125" spans="1:108" ht="16.5" customHeight="1" x14ac:dyDescent="0.25">
      <c r="A125">
        <v>13</v>
      </c>
      <c r="B125">
        <v>595936</v>
      </c>
      <c r="C125">
        <v>2</v>
      </c>
      <c r="D125">
        <v>8</v>
      </c>
      <c r="E125">
        <v>2.8889999999999998</v>
      </c>
      <c r="F125">
        <v>13</v>
      </c>
      <c r="G125" t="s">
        <v>383</v>
      </c>
      <c r="I125" t="s">
        <v>384</v>
      </c>
      <c r="J125">
        <v>24</v>
      </c>
      <c r="L125">
        <v>18404611</v>
      </c>
      <c r="M125">
        <v>181270200</v>
      </c>
      <c r="N125">
        <v>5</v>
      </c>
      <c r="O125">
        <v>7</v>
      </c>
      <c r="P125">
        <v>2018</v>
      </c>
      <c r="Q125" t="s">
        <v>400</v>
      </c>
      <c r="R125">
        <v>10</v>
      </c>
      <c r="S125">
        <v>98</v>
      </c>
      <c r="T125">
        <v>4</v>
      </c>
      <c r="U125">
        <v>0</v>
      </c>
      <c r="V125">
        <v>2</v>
      </c>
      <c r="W125">
        <v>12</v>
      </c>
      <c r="X125">
        <v>10</v>
      </c>
      <c r="Y125">
        <v>2</v>
      </c>
      <c r="Z125">
        <v>1</v>
      </c>
      <c r="AA125">
        <v>1</v>
      </c>
      <c r="AC125">
        <v>1</v>
      </c>
      <c r="AD125">
        <v>98</v>
      </c>
      <c r="AE125" t="s">
        <v>412</v>
      </c>
      <c r="AG125" t="s">
        <v>389</v>
      </c>
      <c r="AH125">
        <v>7</v>
      </c>
      <c r="AI125">
        <v>2</v>
      </c>
      <c r="AJ125">
        <v>4</v>
      </c>
      <c r="AK125">
        <v>4</v>
      </c>
      <c r="AL125">
        <v>34</v>
      </c>
      <c r="AM125">
        <v>26</v>
      </c>
      <c r="AN125" t="s">
        <v>390</v>
      </c>
      <c r="AO125">
        <v>5</v>
      </c>
      <c r="AP125">
        <v>1</v>
      </c>
      <c r="AT125">
        <v>12</v>
      </c>
      <c r="AU125">
        <v>9</v>
      </c>
      <c r="AV125">
        <v>55</v>
      </c>
      <c r="AW125">
        <v>11</v>
      </c>
      <c r="AX125">
        <v>21</v>
      </c>
      <c r="AY125">
        <v>2</v>
      </c>
      <c r="AZ125">
        <v>2</v>
      </c>
      <c r="BA125">
        <v>4</v>
      </c>
      <c r="BB125">
        <v>21</v>
      </c>
      <c r="BC125">
        <v>48</v>
      </c>
      <c r="BD125" t="s">
        <v>384</v>
      </c>
      <c r="BE125">
        <v>5</v>
      </c>
      <c r="BF125">
        <v>4</v>
      </c>
      <c r="BJ125">
        <v>12</v>
      </c>
      <c r="BK125">
        <v>9</v>
      </c>
      <c r="BL125">
        <v>55</v>
      </c>
      <c r="BM125">
        <v>11</v>
      </c>
      <c r="BN125">
        <v>21</v>
      </c>
      <c r="CU125">
        <v>503377.14549999998</v>
      </c>
      <c r="CV125">
        <v>5016937.1232000003</v>
      </c>
      <c r="CW125">
        <v>45.305937710000002</v>
      </c>
      <c r="CX125">
        <v>-92.956928989999994</v>
      </c>
      <c r="CY125" s="472">
        <v>43227.427777777775</v>
      </c>
      <c r="CZ125" t="s">
        <v>391</v>
      </c>
      <c r="DA125" t="s">
        <v>392</v>
      </c>
      <c r="DB125" t="s">
        <v>397</v>
      </c>
      <c r="DC125" t="s">
        <v>398</v>
      </c>
      <c r="DD125" t="s">
        <v>531</v>
      </c>
    </row>
    <row r="126" spans="1:108" ht="16.5" customHeight="1" x14ac:dyDescent="0.25">
      <c r="A126">
        <v>13</v>
      </c>
      <c r="B126">
        <v>818364</v>
      </c>
      <c r="C126">
        <v>2</v>
      </c>
      <c r="D126">
        <v>8</v>
      </c>
      <c r="E126">
        <v>2.9060000000000001</v>
      </c>
      <c r="F126">
        <v>13</v>
      </c>
      <c r="G126" t="s">
        <v>383</v>
      </c>
      <c r="I126" t="s">
        <v>384</v>
      </c>
      <c r="J126">
        <v>24</v>
      </c>
      <c r="L126">
        <v>20404002</v>
      </c>
      <c r="M126">
        <v>201890082</v>
      </c>
      <c r="N126">
        <v>7</v>
      </c>
      <c r="O126">
        <v>7</v>
      </c>
      <c r="P126">
        <v>2020</v>
      </c>
      <c r="Q126" t="s">
        <v>402</v>
      </c>
      <c r="R126">
        <v>15</v>
      </c>
      <c r="S126">
        <v>98</v>
      </c>
      <c r="T126">
        <v>4</v>
      </c>
      <c r="U126">
        <v>0</v>
      </c>
      <c r="V126">
        <v>3</v>
      </c>
      <c r="W126">
        <v>12</v>
      </c>
      <c r="X126">
        <v>10</v>
      </c>
      <c r="Y126">
        <v>4</v>
      </c>
      <c r="Z126">
        <v>1</v>
      </c>
      <c r="AA126">
        <v>1</v>
      </c>
      <c r="AC126">
        <v>1</v>
      </c>
      <c r="AD126">
        <v>98</v>
      </c>
      <c r="AE126" t="s">
        <v>388</v>
      </c>
      <c r="AG126" t="s">
        <v>389</v>
      </c>
      <c r="AH126">
        <v>7</v>
      </c>
      <c r="AI126">
        <v>2</v>
      </c>
      <c r="AJ126">
        <v>4</v>
      </c>
      <c r="AK126">
        <v>3</v>
      </c>
      <c r="AL126">
        <v>34</v>
      </c>
      <c r="AM126">
        <v>37</v>
      </c>
      <c r="AN126" t="s">
        <v>384</v>
      </c>
      <c r="AO126">
        <v>5</v>
      </c>
      <c r="AP126">
        <v>1</v>
      </c>
      <c r="AT126">
        <v>12</v>
      </c>
      <c r="AU126">
        <v>9</v>
      </c>
      <c r="AV126">
        <v>55</v>
      </c>
      <c r="AW126">
        <v>11</v>
      </c>
      <c r="AX126">
        <v>21</v>
      </c>
      <c r="AY126">
        <v>2</v>
      </c>
      <c r="AZ126">
        <v>3</v>
      </c>
      <c r="BA126">
        <v>3</v>
      </c>
      <c r="BB126">
        <v>34</v>
      </c>
      <c r="BC126">
        <v>79</v>
      </c>
      <c r="BD126" t="s">
        <v>384</v>
      </c>
      <c r="BE126">
        <v>5</v>
      </c>
      <c r="BF126">
        <v>1</v>
      </c>
      <c r="BJ126">
        <v>12</v>
      </c>
      <c r="BK126">
        <v>9</v>
      </c>
      <c r="BL126">
        <v>55</v>
      </c>
      <c r="BM126">
        <v>11</v>
      </c>
      <c r="BN126">
        <v>21</v>
      </c>
      <c r="BO126">
        <v>2</v>
      </c>
      <c r="BP126">
        <v>4</v>
      </c>
      <c r="BQ126">
        <v>3</v>
      </c>
      <c r="BR126">
        <v>21</v>
      </c>
      <c r="BS126">
        <v>63</v>
      </c>
      <c r="BT126" t="s">
        <v>390</v>
      </c>
      <c r="BU126">
        <v>5</v>
      </c>
      <c r="BV126">
        <v>74</v>
      </c>
      <c r="BW126">
        <v>4</v>
      </c>
      <c r="BZ126">
        <v>12</v>
      </c>
      <c r="CA126">
        <v>9</v>
      </c>
      <c r="CB126">
        <v>55</v>
      </c>
      <c r="CC126">
        <v>11</v>
      </c>
      <c r="CD126">
        <v>21</v>
      </c>
      <c r="CU126">
        <v>503400.57429999998</v>
      </c>
      <c r="CV126">
        <v>5016950.6458000001</v>
      </c>
      <c r="CW126">
        <v>45.306059320000003</v>
      </c>
      <c r="CX126">
        <v>-92.956630039999993</v>
      </c>
      <c r="CY126" s="472">
        <v>44019.625</v>
      </c>
      <c r="CZ126" t="s">
        <v>391</v>
      </c>
      <c r="DA126" t="s">
        <v>392</v>
      </c>
      <c r="DB126" t="s">
        <v>397</v>
      </c>
      <c r="DC126" t="s">
        <v>398</v>
      </c>
      <c r="DD126" s="18" t="s">
        <v>532</v>
      </c>
    </row>
    <row r="127" spans="1:108" ht="16.5" customHeight="1" x14ac:dyDescent="0.25">
      <c r="A127">
        <v>13</v>
      </c>
      <c r="B127">
        <v>649273</v>
      </c>
      <c r="C127">
        <v>2</v>
      </c>
      <c r="D127">
        <v>8</v>
      </c>
      <c r="E127">
        <v>2.9289999999999998</v>
      </c>
      <c r="F127">
        <v>13</v>
      </c>
      <c r="G127" t="s">
        <v>383</v>
      </c>
      <c r="I127" t="s">
        <v>384</v>
      </c>
      <c r="J127">
        <v>24</v>
      </c>
      <c r="L127">
        <v>18408855</v>
      </c>
      <c r="M127">
        <v>182740221</v>
      </c>
      <c r="N127">
        <v>10</v>
      </c>
      <c r="O127">
        <v>1</v>
      </c>
      <c r="P127">
        <v>2018</v>
      </c>
      <c r="Q127" t="s">
        <v>400</v>
      </c>
      <c r="R127">
        <v>11</v>
      </c>
      <c r="S127" t="s">
        <v>387</v>
      </c>
      <c r="T127">
        <v>5</v>
      </c>
      <c r="U127">
        <v>0</v>
      </c>
      <c r="V127">
        <v>2</v>
      </c>
      <c r="W127">
        <v>12</v>
      </c>
      <c r="X127">
        <v>10</v>
      </c>
      <c r="Y127">
        <v>16</v>
      </c>
      <c r="Z127">
        <v>1</v>
      </c>
      <c r="AA127">
        <v>2</v>
      </c>
      <c r="AB127">
        <v>3</v>
      </c>
      <c r="AC127">
        <v>2</v>
      </c>
      <c r="AD127">
        <v>98</v>
      </c>
      <c r="AE127" t="s">
        <v>388</v>
      </c>
      <c r="AG127" t="s">
        <v>389</v>
      </c>
      <c r="AH127">
        <v>7</v>
      </c>
      <c r="AI127">
        <v>2</v>
      </c>
      <c r="AJ127">
        <v>2</v>
      </c>
      <c r="AK127">
        <v>3</v>
      </c>
      <c r="AL127">
        <v>34</v>
      </c>
      <c r="AM127">
        <v>48</v>
      </c>
      <c r="AN127" t="s">
        <v>390</v>
      </c>
      <c r="AO127">
        <v>5</v>
      </c>
      <c r="AP127">
        <v>1</v>
      </c>
      <c r="AT127">
        <v>12</v>
      </c>
      <c r="AU127">
        <v>9</v>
      </c>
      <c r="AV127">
        <v>55</v>
      </c>
      <c r="AW127">
        <v>11</v>
      </c>
      <c r="AX127">
        <v>21</v>
      </c>
      <c r="AY127">
        <v>2</v>
      </c>
      <c r="AZ127">
        <v>3</v>
      </c>
      <c r="BA127">
        <v>3</v>
      </c>
      <c r="BB127">
        <v>21</v>
      </c>
      <c r="BC127">
        <v>22</v>
      </c>
      <c r="BD127" t="s">
        <v>384</v>
      </c>
      <c r="BE127">
        <v>5</v>
      </c>
      <c r="BF127">
        <v>74</v>
      </c>
      <c r="BJ127">
        <v>12</v>
      </c>
      <c r="BK127">
        <v>9</v>
      </c>
      <c r="BL127">
        <v>55</v>
      </c>
      <c r="BM127">
        <v>11</v>
      </c>
      <c r="BN127">
        <v>21</v>
      </c>
      <c r="CU127">
        <v>503432.84409999999</v>
      </c>
      <c r="CV127">
        <v>5016969.2713000001</v>
      </c>
      <c r="CW127">
        <v>45.306226819999999</v>
      </c>
      <c r="CX127">
        <v>-92.956218280000002</v>
      </c>
      <c r="CY127" s="472">
        <v>43374.470138888886</v>
      </c>
      <c r="CZ127" t="s">
        <v>391</v>
      </c>
      <c r="DA127" t="s">
        <v>392</v>
      </c>
      <c r="DB127" t="s">
        <v>397</v>
      </c>
      <c r="DC127" t="s">
        <v>398</v>
      </c>
      <c r="DD127" s="18" t="s">
        <v>533</v>
      </c>
    </row>
    <row r="128" spans="1:108" ht="16.5" customHeight="1" x14ac:dyDescent="0.25">
      <c r="A128">
        <v>13</v>
      </c>
      <c r="B128">
        <v>589315</v>
      </c>
      <c r="C128">
        <v>2</v>
      </c>
      <c r="D128">
        <v>8</v>
      </c>
      <c r="E128">
        <v>2.9319999999999999</v>
      </c>
      <c r="F128">
        <v>13</v>
      </c>
      <c r="G128" t="s">
        <v>383</v>
      </c>
      <c r="I128" t="s">
        <v>384</v>
      </c>
      <c r="J128">
        <v>24</v>
      </c>
      <c r="L128">
        <v>18403673</v>
      </c>
      <c r="M128">
        <v>180940555</v>
      </c>
      <c r="N128">
        <v>4</v>
      </c>
      <c r="O128">
        <v>4</v>
      </c>
      <c r="P128">
        <v>2018</v>
      </c>
      <c r="Q128" t="s">
        <v>396</v>
      </c>
      <c r="R128">
        <v>10</v>
      </c>
      <c r="S128" t="s">
        <v>387</v>
      </c>
      <c r="T128">
        <v>4</v>
      </c>
      <c r="U128">
        <v>0</v>
      </c>
      <c r="V128">
        <v>3</v>
      </c>
      <c r="W128">
        <v>12</v>
      </c>
      <c r="X128">
        <v>10</v>
      </c>
      <c r="Y128">
        <v>16</v>
      </c>
      <c r="Z128">
        <v>1</v>
      </c>
      <c r="AA128">
        <v>1</v>
      </c>
      <c r="AC128">
        <v>2</v>
      </c>
      <c r="AD128">
        <v>98</v>
      </c>
      <c r="AE128" t="s">
        <v>388</v>
      </c>
      <c r="AG128" t="s">
        <v>389</v>
      </c>
      <c r="AH128">
        <v>7</v>
      </c>
      <c r="AI128">
        <v>2</v>
      </c>
      <c r="AJ128">
        <v>3</v>
      </c>
      <c r="AK128">
        <v>3</v>
      </c>
      <c r="AL128">
        <v>34</v>
      </c>
      <c r="AM128">
        <v>25</v>
      </c>
      <c r="AN128" t="s">
        <v>390</v>
      </c>
      <c r="AO128">
        <v>5</v>
      </c>
      <c r="AP128">
        <v>1</v>
      </c>
      <c r="AT128">
        <v>12</v>
      </c>
      <c r="AU128">
        <v>9</v>
      </c>
      <c r="AV128">
        <v>55</v>
      </c>
      <c r="AW128">
        <v>11</v>
      </c>
      <c r="AX128">
        <v>21</v>
      </c>
      <c r="AY128">
        <v>2</v>
      </c>
      <c r="AZ128">
        <v>4</v>
      </c>
      <c r="BA128">
        <v>3</v>
      </c>
      <c r="BB128">
        <v>34</v>
      </c>
      <c r="BC128">
        <v>46</v>
      </c>
      <c r="BD128" t="s">
        <v>384</v>
      </c>
      <c r="BE128">
        <v>5</v>
      </c>
      <c r="BF128">
        <v>1</v>
      </c>
      <c r="BJ128">
        <v>12</v>
      </c>
      <c r="BK128">
        <v>9</v>
      </c>
      <c r="BL128">
        <v>55</v>
      </c>
      <c r="BM128">
        <v>11</v>
      </c>
      <c r="BN128">
        <v>21</v>
      </c>
      <c r="BO128">
        <v>2</v>
      </c>
      <c r="BP128">
        <v>4</v>
      </c>
      <c r="BQ128">
        <v>3</v>
      </c>
      <c r="BR128">
        <v>21</v>
      </c>
      <c r="BS128">
        <v>34</v>
      </c>
      <c r="BT128" t="s">
        <v>390</v>
      </c>
      <c r="BU128">
        <v>5</v>
      </c>
      <c r="BV128">
        <v>70</v>
      </c>
      <c r="BW128">
        <v>74</v>
      </c>
      <c r="BZ128">
        <v>12</v>
      </c>
      <c r="CA128">
        <v>9</v>
      </c>
      <c r="CB128">
        <v>55</v>
      </c>
      <c r="CC128">
        <v>11</v>
      </c>
      <c r="CD128">
        <v>21</v>
      </c>
      <c r="CU128">
        <v>503437.60739999998</v>
      </c>
      <c r="CV128">
        <v>5016972.0206000004</v>
      </c>
      <c r="CW128">
        <v>45.306251549999999</v>
      </c>
      <c r="CX128">
        <v>-92.956157500000003</v>
      </c>
      <c r="CY128" s="472">
        <v>43194.432638888888</v>
      </c>
      <c r="CZ128" t="s">
        <v>391</v>
      </c>
      <c r="DA128" t="s">
        <v>392</v>
      </c>
      <c r="DB128" t="s">
        <v>397</v>
      </c>
      <c r="DC128" t="s">
        <v>398</v>
      </c>
      <c r="DD128" s="18" t="s">
        <v>534</v>
      </c>
    </row>
    <row r="129" spans="1:108" ht="16.5" customHeight="1" x14ac:dyDescent="0.25">
      <c r="A129">
        <v>13</v>
      </c>
      <c r="B129">
        <v>944030</v>
      </c>
      <c r="C129">
        <v>2</v>
      </c>
      <c r="D129">
        <v>8</v>
      </c>
      <c r="E129">
        <v>2.99</v>
      </c>
      <c r="F129">
        <v>13</v>
      </c>
      <c r="G129" t="s">
        <v>383</v>
      </c>
      <c r="I129" t="s">
        <v>384</v>
      </c>
      <c r="J129">
        <v>24</v>
      </c>
      <c r="L129">
        <v>21406244</v>
      </c>
      <c r="M129">
        <v>212730133</v>
      </c>
      <c r="N129">
        <v>9</v>
      </c>
      <c r="O129">
        <v>30</v>
      </c>
      <c r="P129">
        <v>2021</v>
      </c>
      <c r="Q129" t="s">
        <v>386</v>
      </c>
      <c r="R129">
        <v>15</v>
      </c>
      <c r="S129" t="s">
        <v>420</v>
      </c>
      <c r="T129">
        <v>5</v>
      </c>
      <c r="U129">
        <v>0</v>
      </c>
      <c r="V129">
        <v>1</v>
      </c>
      <c r="X129">
        <v>83</v>
      </c>
      <c r="Y129">
        <v>2</v>
      </c>
      <c r="Z129">
        <v>1</v>
      </c>
      <c r="AA129">
        <v>2</v>
      </c>
      <c r="AC129">
        <v>1</v>
      </c>
      <c r="AD129">
        <v>98</v>
      </c>
      <c r="AE129" t="s">
        <v>388</v>
      </c>
      <c r="AG129" t="s">
        <v>389</v>
      </c>
      <c r="AH129">
        <v>3</v>
      </c>
      <c r="AI129">
        <v>2</v>
      </c>
      <c r="AJ129">
        <v>49</v>
      </c>
      <c r="AK129">
        <v>4</v>
      </c>
      <c r="AL129">
        <v>21</v>
      </c>
      <c r="AM129">
        <v>54</v>
      </c>
      <c r="AN129" t="s">
        <v>384</v>
      </c>
      <c r="AO129">
        <v>5</v>
      </c>
      <c r="AP129">
        <v>1</v>
      </c>
      <c r="AT129">
        <v>12</v>
      </c>
      <c r="AU129">
        <v>9</v>
      </c>
      <c r="AV129">
        <v>55</v>
      </c>
      <c r="AW129">
        <v>11</v>
      </c>
      <c r="AX129">
        <v>21</v>
      </c>
      <c r="CU129">
        <v>503518.75</v>
      </c>
      <c r="CV129">
        <v>5017018.9456000002</v>
      </c>
      <c r="CW129">
        <v>45.306673539999998</v>
      </c>
      <c r="CX129">
        <v>-92.955122110000005</v>
      </c>
      <c r="CY129" s="472">
        <v>44469.631944444445</v>
      </c>
      <c r="CZ129" t="s">
        <v>391</v>
      </c>
      <c r="DA129" t="s">
        <v>392</v>
      </c>
      <c r="DB129" t="s">
        <v>397</v>
      </c>
      <c r="DC129" t="s">
        <v>398</v>
      </c>
      <c r="DD129" s="18" t="s">
        <v>535</v>
      </c>
    </row>
    <row r="130" spans="1:108" ht="16.5" customHeight="1" x14ac:dyDescent="0.25">
      <c r="A130">
        <v>13</v>
      </c>
      <c r="B130">
        <v>967450</v>
      </c>
      <c r="C130">
        <v>2</v>
      </c>
      <c r="D130">
        <v>8</v>
      </c>
      <c r="E130">
        <v>3.1139999999999999</v>
      </c>
      <c r="F130">
        <v>13</v>
      </c>
      <c r="G130" t="s">
        <v>383</v>
      </c>
      <c r="I130" t="s">
        <v>384</v>
      </c>
      <c r="J130">
        <v>24</v>
      </c>
      <c r="L130">
        <v>21406621</v>
      </c>
      <c r="M130">
        <v>212880196</v>
      </c>
      <c r="N130">
        <v>10</v>
      </c>
      <c r="O130">
        <v>15</v>
      </c>
      <c r="P130">
        <v>2021</v>
      </c>
      <c r="Q130" t="s">
        <v>415</v>
      </c>
      <c r="R130">
        <v>21</v>
      </c>
      <c r="S130">
        <v>98</v>
      </c>
      <c r="T130">
        <v>5</v>
      </c>
      <c r="U130">
        <v>0</v>
      </c>
      <c r="V130">
        <v>2</v>
      </c>
      <c r="W130">
        <v>10</v>
      </c>
      <c r="X130">
        <v>10</v>
      </c>
      <c r="Y130">
        <v>2</v>
      </c>
      <c r="Z130">
        <v>4</v>
      </c>
      <c r="AA130">
        <v>1</v>
      </c>
      <c r="AC130">
        <v>1</v>
      </c>
      <c r="AD130">
        <v>98</v>
      </c>
      <c r="AE130" t="s">
        <v>388</v>
      </c>
      <c r="AG130" t="s">
        <v>389</v>
      </c>
      <c r="AH130">
        <v>5</v>
      </c>
      <c r="AI130">
        <v>2</v>
      </c>
      <c r="AJ130">
        <v>2</v>
      </c>
      <c r="AK130">
        <v>3</v>
      </c>
      <c r="AL130">
        <v>21</v>
      </c>
      <c r="AM130">
        <v>30</v>
      </c>
      <c r="AN130" t="s">
        <v>384</v>
      </c>
      <c r="AO130">
        <v>5</v>
      </c>
      <c r="AP130">
        <v>74</v>
      </c>
      <c r="AT130">
        <v>12</v>
      </c>
      <c r="AU130">
        <v>9</v>
      </c>
      <c r="AV130">
        <v>55</v>
      </c>
      <c r="AW130">
        <v>11</v>
      </c>
      <c r="AX130">
        <v>21</v>
      </c>
      <c r="AY130">
        <v>2</v>
      </c>
      <c r="AZ130">
        <v>4</v>
      </c>
      <c r="BA130">
        <v>3</v>
      </c>
      <c r="BB130">
        <v>26</v>
      </c>
      <c r="BC130">
        <v>61</v>
      </c>
      <c r="BD130" t="s">
        <v>384</v>
      </c>
      <c r="BE130">
        <v>5</v>
      </c>
      <c r="BF130">
        <v>1</v>
      </c>
      <c r="BJ130">
        <v>12</v>
      </c>
      <c r="BK130">
        <v>9</v>
      </c>
      <c r="BL130">
        <v>55</v>
      </c>
      <c r="BM130">
        <v>11</v>
      </c>
      <c r="BN130">
        <v>21</v>
      </c>
      <c r="CU130">
        <v>503682.46429999999</v>
      </c>
      <c r="CV130">
        <v>5017131.5925000003</v>
      </c>
      <c r="CW130">
        <v>45.307686680000003</v>
      </c>
      <c r="CX130">
        <v>-92.953032910000005</v>
      </c>
      <c r="CY130" s="472">
        <v>44484.913194444445</v>
      </c>
      <c r="CZ130" t="s">
        <v>391</v>
      </c>
      <c r="DA130" t="s">
        <v>392</v>
      </c>
      <c r="DB130" t="s">
        <v>397</v>
      </c>
      <c r="DC130" t="s">
        <v>398</v>
      </c>
      <c r="DD130" s="18" t="s">
        <v>536</v>
      </c>
    </row>
    <row r="131" spans="1:108" ht="16.5" customHeight="1" x14ac:dyDescent="0.25">
      <c r="A131">
        <v>13</v>
      </c>
      <c r="B131">
        <v>731947</v>
      </c>
      <c r="C131">
        <v>2</v>
      </c>
      <c r="D131">
        <v>8</v>
      </c>
      <c r="E131">
        <v>3.1150000000000002</v>
      </c>
      <c r="F131">
        <v>13</v>
      </c>
      <c r="G131" t="s">
        <v>383</v>
      </c>
      <c r="I131" t="s">
        <v>384</v>
      </c>
      <c r="J131">
        <v>24</v>
      </c>
      <c r="L131">
        <v>19406230</v>
      </c>
      <c r="M131">
        <v>191880080</v>
      </c>
      <c r="N131">
        <v>7</v>
      </c>
      <c r="O131">
        <v>7</v>
      </c>
      <c r="P131">
        <v>2019</v>
      </c>
      <c r="Q131" t="s">
        <v>422</v>
      </c>
      <c r="R131">
        <v>18</v>
      </c>
      <c r="S131" t="s">
        <v>387</v>
      </c>
      <c r="T131">
        <v>4</v>
      </c>
      <c r="U131">
        <v>0</v>
      </c>
      <c r="V131">
        <v>2</v>
      </c>
      <c r="W131">
        <v>12</v>
      </c>
      <c r="X131">
        <v>10</v>
      </c>
      <c r="Y131">
        <v>2</v>
      </c>
      <c r="Z131">
        <v>1</v>
      </c>
      <c r="AA131">
        <v>1</v>
      </c>
      <c r="AC131">
        <v>1</v>
      </c>
      <c r="AD131">
        <v>98</v>
      </c>
      <c r="AE131" t="s">
        <v>388</v>
      </c>
      <c r="AG131" t="s">
        <v>389</v>
      </c>
      <c r="AH131">
        <v>7</v>
      </c>
      <c r="AI131">
        <v>2</v>
      </c>
      <c r="AJ131">
        <v>5</v>
      </c>
      <c r="AK131">
        <v>3</v>
      </c>
      <c r="AL131">
        <v>34</v>
      </c>
      <c r="AM131">
        <v>37</v>
      </c>
      <c r="AN131" t="s">
        <v>384</v>
      </c>
      <c r="AO131">
        <v>5</v>
      </c>
      <c r="AP131">
        <v>1</v>
      </c>
      <c r="AT131">
        <v>12</v>
      </c>
      <c r="AU131">
        <v>9</v>
      </c>
      <c r="AV131">
        <v>55</v>
      </c>
      <c r="AW131">
        <v>11</v>
      </c>
      <c r="AX131">
        <v>21</v>
      </c>
      <c r="AY131">
        <v>2</v>
      </c>
      <c r="AZ131">
        <v>2</v>
      </c>
      <c r="BA131">
        <v>3</v>
      </c>
      <c r="BB131">
        <v>21</v>
      </c>
      <c r="BC131">
        <v>17</v>
      </c>
      <c r="BD131" t="s">
        <v>390</v>
      </c>
      <c r="BE131">
        <v>5</v>
      </c>
      <c r="BF131">
        <v>4</v>
      </c>
      <c r="BJ131">
        <v>12</v>
      </c>
      <c r="BK131">
        <v>9</v>
      </c>
      <c r="BL131">
        <v>55</v>
      </c>
      <c r="BM131">
        <v>11</v>
      </c>
      <c r="BN131">
        <v>21</v>
      </c>
      <c r="CU131">
        <v>503684.4411</v>
      </c>
      <c r="CV131">
        <v>5017132.9528000001</v>
      </c>
      <c r="CW131">
        <v>45.30769892</v>
      </c>
      <c r="CX131">
        <v>-92.953007679999999</v>
      </c>
      <c r="CY131" s="472">
        <v>43653.782638888886</v>
      </c>
      <c r="CZ131" t="s">
        <v>391</v>
      </c>
      <c r="DA131" t="s">
        <v>392</v>
      </c>
      <c r="DB131" t="s">
        <v>397</v>
      </c>
      <c r="DC131" t="s">
        <v>398</v>
      </c>
      <c r="DD131" t="s">
        <v>537</v>
      </c>
    </row>
    <row r="132" spans="1:108" ht="16.5" customHeight="1" x14ac:dyDescent="0.25">
      <c r="A132">
        <v>13</v>
      </c>
      <c r="B132">
        <v>872147</v>
      </c>
      <c r="C132">
        <v>2</v>
      </c>
      <c r="D132">
        <v>8</v>
      </c>
      <c r="E132">
        <v>3.4420000000000002</v>
      </c>
      <c r="F132">
        <v>13</v>
      </c>
      <c r="G132" t="s">
        <v>383</v>
      </c>
      <c r="I132" t="s">
        <v>384</v>
      </c>
      <c r="J132">
        <v>24</v>
      </c>
      <c r="L132">
        <v>20408124</v>
      </c>
      <c r="M132">
        <v>203650321</v>
      </c>
      <c r="N132">
        <v>12</v>
      </c>
      <c r="O132">
        <v>30</v>
      </c>
      <c r="P132">
        <v>2020</v>
      </c>
      <c r="Q132" t="s">
        <v>396</v>
      </c>
      <c r="R132">
        <v>15</v>
      </c>
      <c r="S132">
        <v>98</v>
      </c>
      <c r="T132">
        <v>4</v>
      </c>
      <c r="U132">
        <v>0</v>
      </c>
      <c r="V132">
        <v>3</v>
      </c>
      <c r="W132">
        <v>12</v>
      </c>
      <c r="X132">
        <v>10</v>
      </c>
      <c r="Y132">
        <v>4</v>
      </c>
      <c r="Z132">
        <v>1</v>
      </c>
      <c r="AA132">
        <v>1</v>
      </c>
      <c r="AC132">
        <v>1</v>
      </c>
      <c r="AD132">
        <v>98</v>
      </c>
      <c r="AE132" t="s">
        <v>388</v>
      </c>
      <c r="AG132" t="s">
        <v>389</v>
      </c>
      <c r="AH132">
        <v>7</v>
      </c>
      <c r="AI132">
        <v>2</v>
      </c>
      <c r="AJ132">
        <v>2</v>
      </c>
      <c r="AK132">
        <v>3</v>
      </c>
      <c r="AL132">
        <v>34</v>
      </c>
      <c r="AM132">
        <v>73</v>
      </c>
      <c r="AN132" t="s">
        <v>384</v>
      </c>
      <c r="AO132">
        <v>5</v>
      </c>
      <c r="AP132">
        <v>1</v>
      </c>
      <c r="AT132">
        <v>12</v>
      </c>
      <c r="AU132">
        <v>9</v>
      </c>
      <c r="AV132">
        <v>55</v>
      </c>
      <c r="AW132">
        <v>11</v>
      </c>
      <c r="AX132">
        <v>21</v>
      </c>
      <c r="AY132">
        <v>2</v>
      </c>
      <c r="AZ132">
        <v>3</v>
      </c>
      <c r="BA132">
        <v>3</v>
      </c>
      <c r="BB132">
        <v>34</v>
      </c>
      <c r="BC132">
        <v>58</v>
      </c>
      <c r="BD132" t="s">
        <v>384</v>
      </c>
      <c r="BE132">
        <v>5</v>
      </c>
      <c r="BF132">
        <v>1</v>
      </c>
      <c r="BJ132">
        <v>12</v>
      </c>
      <c r="BK132">
        <v>9</v>
      </c>
      <c r="BL132">
        <v>55</v>
      </c>
      <c r="BM132">
        <v>11</v>
      </c>
      <c r="BN132">
        <v>21</v>
      </c>
      <c r="BO132">
        <v>2</v>
      </c>
      <c r="BP132">
        <v>3</v>
      </c>
      <c r="BQ132">
        <v>3</v>
      </c>
      <c r="BR132">
        <v>21</v>
      </c>
      <c r="BS132">
        <v>20</v>
      </c>
      <c r="BT132" t="s">
        <v>384</v>
      </c>
      <c r="BU132">
        <v>5</v>
      </c>
      <c r="BV132">
        <v>74</v>
      </c>
      <c r="BZ132">
        <v>12</v>
      </c>
      <c r="CA132">
        <v>9</v>
      </c>
      <c r="CB132">
        <v>55</v>
      </c>
      <c r="CC132">
        <v>11</v>
      </c>
      <c r="CD132">
        <v>21</v>
      </c>
      <c r="CU132">
        <v>504117.35330000002</v>
      </c>
      <c r="CV132">
        <v>5017430.8537999997</v>
      </c>
      <c r="CW132">
        <v>45.310378049999997</v>
      </c>
      <c r="CX132">
        <v>-92.947482829999998</v>
      </c>
      <c r="CY132" s="472">
        <v>44195.637499999997</v>
      </c>
      <c r="CZ132" t="s">
        <v>391</v>
      </c>
      <c r="DA132" t="s">
        <v>392</v>
      </c>
      <c r="DB132" t="s">
        <v>397</v>
      </c>
      <c r="DC132" t="s">
        <v>398</v>
      </c>
      <c r="DD132" s="18" t="s">
        <v>538</v>
      </c>
    </row>
    <row r="133" spans="1:108" ht="16.5" customHeight="1" x14ac:dyDescent="0.25">
      <c r="CY133" s="472"/>
    </row>
    <row r="134" spans="1:108" ht="16.5" customHeight="1" x14ac:dyDescent="0.25">
      <c r="A134">
        <v>13</v>
      </c>
      <c r="B134">
        <v>722390</v>
      </c>
      <c r="C134">
        <v>2</v>
      </c>
      <c r="D134">
        <v>8</v>
      </c>
      <c r="E134">
        <v>3.4729999999999999</v>
      </c>
      <c r="F134">
        <v>13</v>
      </c>
      <c r="G134" t="s">
        <v>383</v>
      </c>
      <c r="I134" t="s">
        <v>384</v>
      </c>
      <c r="J134">
        <v>24</v>
      </c>
      <c r="L134">
        <v>19404972</v>
      </c>
      <c r="M134">
        <v>191460024</v>
      </c>
      <c r="N134">
        <v>5</v>
      </c>
      <c r="O134">
        <v>26</v>
      </c>
      <c r="P134">
        <v>2019</v>
      </c>
      <c r="Q134" t="s">
        <v>422</v>
      </c>
      <c r="R134">
        <v>13</v>
      </c>
      <c r="S134">
        <v>98</v>
      </c>
      <c r="T134">
        <v>3</v>
      </c>
      <c r="U134">
        <v>0</v>
      </c>
      <c r="V134">
        <v>3</v>
      </c>
      <c r="W134">
        <v>12</v>
      </c>
      <c r="X134">
        <v>10</v>
      </c>
      <c r="Y134">
        <v>16</v>
      </c>
      <c r="Z134">
        <v>1</v>
      </c>
      <c r="AA134">
        <v>1</v>
      </c>
      <c r="AC134">
        <v>1</v>
      </c>
      <c r="AD134">
        <v>98</v>
      </c>
      <c r="AE134" t="s">
        <v>388</v>
      </c>
      <c r="AG134" t="s">
        <v>389</v>
      </c>
      <c r="AH134">
        <v>7</v>
      </c>
      <c r="AI134">
        <v>2</v>
      </c>
      <c r="AJ134">
        <v>4</v>
      </c>
      <c r="AK134">
        <v>4</v>
      </c>
      <c r="AL134">
        <v>34</v>
      </c>
      <c r="AM134">
        <v>63</v>
      </c>
      <c r="AN134" t="s">
        <v>390</v>
      </c>
      <c r="AO134">
        <v>5</v>
      </c>
      <c r="AP134">
        <v>1</v>
      </c>
      <c r="AT134">
        <v>12</v>
      </c>
      <c r="AU134">
        <v>9</v>
      </c>
      <c r="AV134">
        <v>55</v>
      </c>
      <c r="AW134">
        <v>11</v>
      </c>
      <c r="AX134">
        <v>21</v>
      </c>
      <c r="AY134">
        <v>2</v>
      </c>
      <c r="AZ134">
        <v>4</v>
      </c>
      <c r="BA134">
        <v>4</v>
      </c>
      <c r="BB134">
        <v>34</v>
      </c>
      <c r="BC134">
        <v>24</v>
      </c>
      <c r="BD134" t="s">
        <v>390</v>
      </c>
      <c r="BE134">
        <v>5</v>
      </c>
      <c r="BF134">
        <v>1</v>
      </c>
      <c r="BJ134">
        <v>12</v>
      </c>
      <c r="BK134">
        <v>9</v>
      </c>
      <c r="BL134">
        <v>55</v>
      </c>
      <c r="BM134">
        <v>11</v>
      </c>
      <c r="BN134">
        <v>21</v>
      </c>
      <c r="BO134">
        <v>2</v>
      </c>
      <c r="BP134">
        <v>2</v>
      </c>
      <c r="BQ134">
        <v>4</v>
      </c>
      <c r="BR134">
        <v>21</v>
      </c>
      <c r="BS134">
        <v>29</v>
      </c>
      <c r="BT134" t="s">
        <v>384</v>
      </c>
      <c r="BU134">
        <v>5</v>
      </c>
      <c r="BV134">
        <v>74</v>
      </c>
      <c r="BZ134">
        <v>12</v>
      </c>
      <c r="CA134">
        <v>9</v>
      </c>
      <c r="CB134">
        <v>55</v>
      </c>
      <c r="CC134">
        <v>11</v>
      </c>
      <c r="CD134">
        <v>21</v>
      </c>
      <c r="CU134">
        <v>504158.57329999999</v>
      </c>
      <c r="CV134">
        <v>5017459.2186000003</v>
      </c>
      <c r="CW134">
        <v>45.310633129999999</v>
      </c>
      <c r="CX134">
        <v>-92.946956749999998</v>
      </c>
      <c r="CY134" s="472">
        <v>43611.544444444444</v>
      </c>
      <c r="CZ134" t="s">
        <v>391</v>
      </c>
      <c r="DA134" t="s">
        <v>392</v>
      </c>
      <c r="DB134" t="s">
        <v>397</v>
      </c>
      <c r="DC134" t="s">
        <v>398</v>
      </c>
      <c r="DD134" s="18" t="s">
        <v>539</v>
      </c>
    </row>
    <row r="135" spans="1:108" ht="16.5" customHeight="1" x14ac:dyDescent="0.25">
      <c r="CY135" s="472"/>
    </row>
    <row r="136" spans="1:108" ht="16.5" customHeight="1" x14ac:dyDescent="0.25">
      <c r="A136">
        <v>13</v>
      </c>
      <c r="B136">
        <v>686442</v>
      </c>
      <c r="C136">
        <v>2</v>
      </c>
      <c r="D136">
        <v>8</v>
      </c>
      <c r="E136">
        <v>3.4940000000000002</v>
      </c>
      <c r="F136">
        <v>13</v>
      </c>
      <c r="G136" t="s">
        <v>383</v>
      </c>
      <c r="I136" t="s">
        <v>384</v>
      </c>
      <c r="J136">
        <v>24</v>
      </c>
      <c r="L136">
        <v>19401831</v>
      </c>
      <c r="M136">
        <v>190410206</v>
      </c>
      <c r="N136">
        <v>2</v>
      </c>
      <c r="O136">
        <v>10</v>
      </c>
      <c r="P136">
        <v>2019</v>
      </c>
      <c r="Q136" t="s">
        <v>422</v>
      </c>
      <c r="R136">
        <v>16</v>
      </c>
      <c r="S136" t="s">
        <v>420</v>
      </c>
      <c r="T136">
        <v>5</v>
      </c>
      <c r="U136">
        <v>0</v>
      </c>
      <c r="V136">
        <v>1</v>
      </c>
      <c r="X136">
        <v>35</v>
      </c>
      <c r="Y136">
        <v>4</v>
      </c>
      <c r="Z136">
        <v>1</v>
      </c>
      <c r="AA136">
        <v>2</v>
      </c>
      <c r="AB136">
        <v>4</v>
      </c>
      <c r="AC136">
        <v>3</v>
      </c>
      <c r="AD136">
        <v>98</v>
      </c>
      <c r="AE136" t="s">
        <v>388</v>
      </c>
      <c r="AG136" t="s">
        <v>389</v>
      </c>
      <c r="AH136">
        <v>3</v>
      </c>
      <c r="AI136">
        <v>2</v>
      </c>
      <c r="AJ136">
        <v>2</v>
      </c>
      <c r="AK136">
        <v>4</v>
      </c>
      <c r="AL136">
        <v>21</v>
      </c>
      <c r="AM136">
        <v>33</v>
      </c>
      <c r="AN136" t="s">
        <v>384</v>
      </c>
      <c r="AO136">
        <v>5</v>
      </c>
      <c r="AP136">
        <v>4</v>
      </c>
      <c r="AQ136">
        <v>90</v>
      </c>
      <c r="AT136">
        <v>12</v>
      </c>
      <c r="AU136">
        <v>9</v>
      </c>
      <c r="AV136">
        <v>55</v>
      </c>
      <c r="AW136">
        <v>11</v>
      </c>
      <c r="AX136">
        <v>21</v>
      </c>
      <c r="CU136">
        <v>504185.9559</v>
      </c>
      <c r="CV136">
        <v>5017478.0614999998</v>
      </c>
      <c r="CW136">
        <v>45.310802580000001</v>
      </c>
      <c r="CX136">
        <v>-92.946607270000001</v>
      </c>
      <c r="CY136" s="472">
        <v>43506.673611111109</v>
      </c>
      <c r="CZ136" t="s">
        <v>391</v>
      </c>
      <c r="DA136" t="s">
        <v>392</v>
      </c>
      <c r="DB136" t="s">
        <v>397</v>
      </c>
      <c r="DC136" t="s">
        <v>398</v>
      </c>
      <c r="DD136" s="18" t="s">
        <v>540</v>
      </c>
    </row>
    <row r="137" spans="1:108" ht="16.5" customHeight="1" x14ac:dyDescent="0.25">
      <c r="A137">
        <v>13</v>
      </c>
      <c r="B137">
        <v>907757</v>
      </c>
      <c r="C137">
        <v>2</v>
      </c>
      <c r="D137">
        <v>8</v>
      </c>
      <c r="E137">
        <v>3.758</v>
      </c>
      <c r="F137">
        <v>13</v>
      </c>
      <c r="G137" t="s">
        <v>383</v>
      </c>
      <c r="I137" t="s">
        <v>384</v>
      </c>
      <c r="J137">
        <v>24</v>
      </c>
      <c r="L137">
        <v>21402030</v>
      </c>
      <c r="M137">
        <v>210910195</v>
      </c>
      <c r="N137">
        <v>4</v>
      </c>
      <c r="O137">
        <v>1</v>
      </c>
      <c r="P137">
        <v>2021</v>
      </c>
      <c r="Q137" t="s">
        <v>386</v>
      </c>
      <c r="R137">
        <v>15</v>
      </c>
      <c r="S137">
        <v>98</v>
      </c>
      <c r="T137">
        <v>3</v>
      </c>
      <c r="U137">
        <v>0</v>
      </c>
      <c r="V137">
        <v>1</v>
      </c>
      <c r="X137">
        <v>69</v>
      </c>
      <c r="Y137">
        <v>2</v>
      </c>
      <c r="Z137">
        <v>1</v>
      </c>
      <c r="AA137">
        <v>1</v>
      </c>
      <c r="AC137">
        <v>1</v>
      </c>
      <c r="AD137">
        <v>98</v>
      </c>
      <c r="AE137" t="s">
        <v>388</v>
      </c>
      <c r="AG137" t="s">
        <v>389</v>
      </c>
      <c r="AH137">
        <v>3</v>
      </c>
      <c r="AI137">
        <v>2</v>
      </c>
      <c r="AJ137">
        <v>3</v>
      </c>
      <c r="AK137">
        <v>3</v>
      </c>
      <c r="AL137">
        <v>21</v>
      </c>
      <c r="AM137">
        <v>30</v>
      </c>
      <c r="AN137" t="s">
        <v>390</v>
      </c>
      <c r="AO137">
        <v>11</v>
      </c>
      <c r="AP137">
        <v>70</v>
      </c>
      <c r="AQ137">
        <v>62</v>
      </c>
      <c r="AT137">
        <v>12</v>
      </c>
      <c r="AU137">
        <v>9</v>
      </c>
      <c r="AV137">
        <v>55</v>
      </c>
      <c r="AW137">
        <v>11</v>
      </c>
      <c r="AX137">
        <v>21</v>
      </c>
      <c r="CU137">
        <v>504536.30339999998</v>
      </c>
      <c r="CV137">
        <v>5017719.0575000001</v>
      </c>
      <c r="CW137">
        <v>45.312969709999997</v>
      </c>
      <c r="CX137">
        <v>-92.942135660000005</v>
      </c>
      <c r="CY137" s="472">
        <v>44287.65625</v>
      </c>
      <c r="CZ137" t="s">
        <v>391</v>
      </c>
      <c r="DA137" t="s">
        <v>392</v>
      </c>
      <c r="DB137" t="s">
        <v>397</v>
      </c>
      <c r="DC137" t="s">
        <v>398</v>
      </c>
      <c r="DD137" s="18" t="s">
        <v>541</v>
      </c>
    </row>
    <row r="138" spans="1:108" ht="16.5" customHeight="1" x14ac:dyDescent="0.25">
      <c r="A138">
        <v>13</v>
      </c>
      <c r="B138">
        <v>914724</v>
      </c>
      <c r="C138">
        <v>2</v>
      </c>
      <c r="D138">
        <v>8</v>
      </c>
      <c r="E138">
        <v>3.806</v>
      </c>
      <c r="F138">
        <v>13</v>
      </c>
      <c r="G138" t="s">
        <v>383</v>
      </c>
      <c r="I138" t="s">
        <v>384</v>
      </c>
      <c r="J138">
        <v>24</v>
      </c>
      <c r="L138">
        <v>21403836</v>
      </c>
      <c r="M138">
        <v>211740199</v>
      </c>
      <c r="N138">
        <v>6</v>
      </c>
      <c r="O138">
        <v>23</v>
      </c>
      <c r="P138">
        <v>2021</v>
      </c>
      <c r="Q138" t="s">
        <v>396</v>
      </c>
      <c r="R138">
        <v>14</v>
      </c>
      <c r="S138">
        <v>98</v>
      </c>
      <c r="T138">
        <v>4</v>
      </c>
      <c r="U138">
        <v>0</v>
      </c>
      <c r="V138">
        <v>3</v>
      </c>
      <c r="W138">
        <v>12</v>
      </c>
      <c r="X138">
        <v>10</v>
      </c>
      <c r="Y138">
        <v>2</v>
      </c>
      <c r="Z138">
        <v>1</v>
      </c>
      <c r="AA138">
        <v>1</v>
      </c>
      <c r="AC138">
        <v>1</v>
      </c>
      <c r="AD138">
        <v>98</v>
      </c>
      <c r="AE138" t="s">
        <v>388</v>
      </c>
      <c r="AG138" t="s">
        <v>389</v>
      </c>
      <c r="AH138">
        <v>7</v>
      </c>
      <c r="AI138">
        <v>2</v>
      </c>
      <c r="AJ138">
        <v>2</v>
      </c>
      <c r="AK138">
        <v>3</v>
      </c>
      <c r="AL138">
        <v>21</v>
      </c>
      <c r="AM138">
        <v>31</v>
      </c>
      <c r="AN138" t="s">
        <v>384</v>
      </c>
      <c r="AO138">
        <v>5</v>
      </c>
      <c r="AP138">
        <v>4</v>
      </c>
      <c r="AT138">
        <v>12</v>
      </c>
      <c r="AU138">
        <v>9</v>
      </c>
      <c r="AV138">
        <v>55</v>
      </c>
      <c r="AW138">
        <v>11</v>
      </c>
      <c r="AX138">
        <v>21</v>
      </c>
      <c r="AY138">
        <v>2</v>
      </c>
      <c r="AZ138">
        <v>4</v>
      </c>
      <c r="BA138">
        <v>3</v>
      </c>
      <c r="BB138">
        <v>26</v>
      </c>
      <c r="BC138">
        <v>41</v>
      </c>
      <c r="BD138" t="s">
        <v>384</v>
      </c>
      <c r="BE138">
        <v>5</v>
      </c>
      <c r="BF138">
        <v>1</v>
      </c>
      <c r="BJ138">
        <v>12</v>
      </c>
      <c r="BK138">
        <v>9</v>
      </c>
      <c r="BL138">
        <v>55</v>
      </c>
      <c r="BM138">
        <v>11</v>
      </c>
      <c r="BN138">
        <v>21</v>
      </c>
      <c r="BO138">
        <v>2</v>
      </c>
      <c r="BP138">
        <v>4</v>
      </c>
      <c r="BQ138">
        <v>3</v>
      </c>
      <c r="BR138">
        <v>26</v>
      </c>
      <c r="BS138">
        <v>72</v>
      </c>
      <c r="BT138" t="s">
        <v>390</v>
      </c>
      <c r="BU138">
        <v>5</v>
      </c>
      <c r="BV138">
        <v>1</v>
      </c>
      <c r="BZ138">
        <v>12</v>
      </c>
      <c r="CA138">
        <v>9</v>
      </c>
      <c r="CB138">
        <v>55</v>
      </c>
      <c r="CC138">
        <v>11</v>
      </c>
      <c r="CD138">
        <v>21</v>
      </c>
      <c r="CU138">
        <v>504599.61690000002</v>
      </c>
      <c r="CV138">
        <v>5017762.6357000005</v>
      </c>
      <c r="CW138">
        <v>45.313361559999997</v>
      </c>
      <c r="CX138">
        <v>-92.941327529999995</v>
      </c>
      <c r="CY138" s="472">
        <v>44370.618750000001</v>
      </c>
      <c r="CZ138" t="s">
        <v>391</v>
      </c>
      <c r="DA138" t="s">
        <v>392</v>
      </c>
      <c r="DB138" t="s">
        <v>397</v>
      </c>
      <c r="DC138" t="s">
        <v>398</v>
      </c>
      <c r="DD138" s="18" t="s">
        <v>542</v>
      </c>
    </row>
    <row r="139" spans="1:108" ht="16.5" customHeight="1" x14ac:dyDescent="0.25">
      <c r="A139">
        <v>13</v>
      </c>
      <c r="B139">
        <v>860778</v>
      </c>
      <c r="C139">
        <v>2</v>
      </c>
      <c r="D139">
        <v>8</v>
      </c>
      <c r="E139">
        <v>3.8140000000000001</v>
      </c>
      <c r="F139">
        <v>13</v>
      </c>
      <c r="G139" t="s">
        <v>383</v>
      </c>
      <c r="I139" t="s">
        <v>384</v>
      </c>
      <c r="J139">
        <v>24</v>
      </c>
      <c r="L139">
        <v>20406740</v>
      </c>
      <c r="M139">
        <v>203070041</v>
      </c>
      <c r="N139">
        <v>11</v>
      </c>
      <c r="O139">
        <v>2</v>
      </c>
      <c r="P139">
        <v>2020</v>
      </c>
      <c r="Q139" t="s">
        <v>400</v>
      </c>
      <c r="R139">
        <v>13</v>
      </c>
      <c r="S139">
        <v>98</v>
      </c>
      <c r="T139">
        <v>5</v>
      </c>
      <c r="U139">
        <v>0</v>
      </c>
      <c r="V139">
        <v>2</v>
      </c>
      <c r="W139">
        <v>12</v>
      </c>
      <c r="X139">
        <v>10</v>
      </c>
      <c r="Y139">
        <v>2</v>
      </c>
      <c r="Z139">
        <v>1</v>
      </c>
      <c r="AA139">
        <v>1</v>
      </c>
      <c r="AC139">
        <v>1</v>
      </c>
      <c r="AD139">
        <v>3</v>
      </c>
      <c r="AE139" t="s">
        <v>388</v>
      </c>
      <c r="AG139" t="s">
        <v>389</v>
      </c>
      <c r="AH139">
        <v>7</v>
      </c>
      <c r="AI139">
        <v>2</v>
      </c>
      <c r="AJ139">
        <v>4</v>
      </c>
      <c r="AK139">
        <v>3</v>
      </c>
      <c r="AL139">
        <v>21</v>
      </c>
      <c r="AM139">
        <v>31</v>
      </c>
      <c r="AN139" t="s">
        <v>390</v>
      </c>
      <c r="AO139">
        <v>5</v>
      </c>
      <c r="AP139">
        <v>1</v>
      </c>
      <c r="AT139">
        <v>12</v>
      </c>
      <c r="AU139">
        <v>9</v>
      </c>
      <c r="AV139">
        <v>55</v>
      </c>
      <c r="AW139">
        <v>11</v>
      </c>
      <c r="AX139">
        <v>21</v>
      </c>
      <c r="AY139">
        <v>2</v>
      </c>
      <c r="AZ139">
        <v>4</v>
      </c>
      <c r="BA139">
        <v>3</v>
      </c>
      <c r="BB139">
        <v>21</v>
      </c>
      <c r="BC139">
        <v>72</v>
      </c>
      <c r="BD139" t="s">
        <v>390</v>
      </c>
      <c r="BE139">
        <v>5</v>
      </c>
      <c r="BF139">
        <v>90</v>
      </c>
      <c r="BJ139">
        <v>12</v>
      </c>
      <c r="BK139">
        <v>9</v>
      </c>
      <c r="BL139">
        <v>55</v>
      </c>
      <c r="BM139">
        <v>11</v>
      </c>
      <c r="BN139">
        <v>21</v>
      </c>
      <c r="CU139">
        <v>504611.10820000002</v>
      </c>
      <c r="CV139">
        <v>5017770.5450999998</v>
      </c>
      <c r="CW139">
        <v>45.313432689999999</v>
      </c>
      <c r="CX139">
        <v>-92.941180860000003</v>
      </c>
      <c r="CY139" s="472">
        <v>44137.550694444442</v>
      </c>
      <c r="CZ139" t="s">
        <v>391</v>
      </c>
      <c r="DA139" t="s">
        <v>392</v>
      </c>
      <c r="DB139" t="s">
        <v>397</v>
      </c>
      <c r="DC139" t="s">
        <v>398</v>
      </c>
      <c r="DD139" s="18" t="s">
        <v>543</v>
      </c>
    </row>
    <row r="140" spans="1:108" ht="16.5" customHeight="1" x14ac:dyDescent="0.25">
      <c r="A140">
        <v>13</v>
      </c>
      <c r="B140">
        <v>604825</v>
      </c>
      <c r="C140">
        <v>2</v>
      </c>
      <c r="D140">
        <v>8</v>
      </c>
      <c r="E140">
        <v>3.9470000000000001</v>
      </c>
      <c r="F140">
        <v>13</v>
      </c>
      <c r="G140" t="s">
        <v>383</v>
      </c>
      <c r="I140" t="s">
        <v>384</v>
      </c>
      <c r="J140">
        <v>24</v>
      </c>
      <c r="L140">
        <v>18405760</v>
      </c>
      <c r="M140">
        <v>181660224</v>
      </c>
      <c r="N140">
        <v>6</v>
      </c>
      <c r="O140">
        <v>15</v>
      </c>
      <c r="P140">
        <v>2018</v>
      </c>
      <c r="Q140" t="s">
        <v>415</v>
      </c>
      <c r="R140">
        <v>15</v>
      </c>
      <c r="S140" t="s">
        <v>387</v>
      </c>
      <c r="T140">
        <v>5</v>
      </c>
      <c r="U140">
        <v>0</v>
      </c>
      <c r="V140">
        <v>1</v>
      </c>
      <c r="X140">
        <v>83</v>
      </c>
      <c r="Y140">
        <v>2</v>
      </c>
      <c r="Z140">
        <v>1</v>
      </c>
      <c r="AA140">
        <v>1</v>
      </c>
      <c r="AC140">
        <v>1</v>
      </c>
      <c r="AD140">
        <v>98</v>
      </c>
      <c r="AE140" t="s">
        <v>388</v>
      </c>
      <c r="AG140" t="s">
        <v>389</v>
      </c>
      <c r="AH140">
        <v>3</v>
      </c>
      <c r="AI140">
        <v>2</v>
      </c>
      <c r="AJ140">
        <v>3</v>
      </c>
      <c r="AK140">
        <v>3</v>
      </c>
      <c r="AL140">
        <v>26</v>
      </c>
      <c r="AM140">
        <v>37</v>
      </c>
      <c r="AN140" t="s">
        <v>384</v>
      </c>
      <c r="AO140">
        <v>5</v>
      </c>
      <c r="AP140">
        <v>1</v>
      </c>
      <c r="AT140">
        <v>12</v>
      </c>
      <c r="AU140">
        <v>9</v>
      </c>
      <c r="AV140">
        <v>55</v>
      </c>
      <c r="AW140">
        <v>11</v>
      </c>
      <c r="AX140">
        <v>21</v>
      </c>
      <c r="CU140">
        <v>504786.73759999999</v>
      </c>
      <c r="CV140">
        <v>5017891.4297000002</v>
      </c>
      <c r="CW140">
        <v>45.31451964</v>
      </c>
      <c r="CX140">
        <v>-92.938939070000004</v>
      </c>
      <c r="CY140" s="472">
        <v>43266.638888888891</v>
      </c>
      <c r="CZ140" t="s">
        <v>391</v>
      </c>
      <c r="DA140" t="s">
        <v>392</v>
      </c>
      <c r="DB140" t="s">
        <v>397</v>
      </c>
      <c r="DC140" t="s">
        <v>398</v>
      </c>
      <c r="DD140" s="18" t="s">
        <v>544</v>
      </c>
    </row>
    <row r="141" spans="1:108" ht="16.5" customHeight="1" x14ac:dyDescent="0.25">
      <c r="A141">
        <v>13</v>
      </c>
      <c r="B141">
        <v>685144</v>
      </c>
      <c r="C141">
        <v>2</v>
      </c>
      <c r="D141">
        <v>8</v>
      </c>
      <c r="E141">
        <v>3.952</v>
      </c>
      <c r="F141">
        <v>13</v>
      </c>
      <c r="G141" t="s">
        <v>383</v>
      </c>
      <c r="I141" t="s">
        <v>384</v>
      </c>
      <c r="J141">
        <v>24</v>
      </c>
      <c r="L141">
        <v>19401649</v>
      </c>
      <c r="M141">
        <v>190390130</v>
      </c>
      <c r="N141">
        <v>2</v>
      </c>
      <c r="O141">
        <v>8</v>
      </c>
      <c r="P141">
        <v>2019</v>
      </c>
      <c r="Q141" t="s">
        <v>415</v>
      </c>
      <c r="R141">
        <v>9</v>
      </c>
      <c r="S141" t="s">
        <v>387</v>
      </c>
      <c r="T141">
        <v>5</v>
      </c>
      <c r="U141">
        <v>0</v>
      </c>
      <c r="V141">
        <v>1</v>
      </c>
      <c r="X141">
        <v>61</v>
      </c>
      <c r="Y141">
        <v>2</v>
      </c>
      <c r="Z141">
        <v>1</v>
      </c>
      <c r="AA141">
        <v>1</v>
      </c>
      <c r="AB141">
        <v>7</v>
      </c>
      <c r="AC141">
        <v>5</v>
      </c>
      <c r="AD141">
        <v>98</v>
      </c>
      <c r="AE141" t="s">
        <v>388</v>
      </c>
      <c r="AG141" t="s">
        <v>389</v>
      </c>
      <c r="AH141">
        <v>3</v>
      </c>
      <c r="AI141">
        <v>2</v>
      </c>
      <c r="AJ141">
        <v>2</v>
      </c>
      <c r="AK141">
        <v>3</v>
      </c>
      <c r="AL141">
        <v>21</v>
      </c>
      <c r="AM141">
        <v>16</v>
      </c>
      <c r="AN141" t="s">
        <v>390</v>
      </c>
      <c r="AO141">
        <v>5</v>
      </c>
      <c r="AP141">
        <v>90</v>
      </c>
      <c r="AT141">
        <v>12</v>
      </c>
      <c r="AU141">
        <v>9</v>
      </c>
      <c r="AV141">
        <v>55</v>
      </c>
      <c r="AW141">
        <v>11</v>
      </c>
      <c r="AX141">
        <v>21</v>
      </c>
      <c r="CU141">
        <v>504793.15749999997</v>
      </c>
      <c r="CV141">
        <v>5017895.8483999996</v>
      </c>
      <c r="CW141">
        <v>45.314559369999998</v>
      </c>
      <c r="CX141">
        <v>-92.938857130000002</v>
      </c>
      <c r="CY141" s="472">
        <v>43504.384722222225</v>
      </c>
      <c r="CZ141" t="s">
        <v>391</v>
      </c>
      <c r="DA141" t="s">
        <v>392</v>
      </c>
      <c r="DB141" t="s">
        <v>397</v>
      </c>
      <c r="DC141" t="s">
        <v>398</v>
      </c>
      <c r="DD141" s="18" t="s">
        <v>545</v>
      </c>
    </row>
    <row r="142" spans="1:108" ht="16.5" customHeight="1" x14ac:dyDescent="0.25">
      <c r="A142">
        <v>13</v>
      </c>
      <c r="B142">
        <v>704384</v>
      </c>
      <c r="C142">
        <v>2</v>
      </c>
      <c r="D142">
        <v>8</v>
      </c>
      <c r="E142">
        <v>3.9529999999999998</v>
      </c>
      <c r="F142">
        <v>13</v>
      </c>
      <c r="G142" t="s">
        <v>383</v>
      </c>
      <c r="I142" t="s">
        <v>384</v>
      </c>
      <c r="J142">
        <v>24</v>
      </c>
      <c r="L142">
        <v>19403439</v>
      </c>
      <c r="M142">
        <v>190860189</v>
      </c>
      <c r="N142">
        <v>3</v>
      </c>
      <c r="O142">
        <v>27</v>
      </c>
      <c r="P142">
        <v>2019</v>
      </c>
      <c r="Q142" t="s">
        <v>396</v>
      </c>
      <c r="R142">
        <v>15</v>
      </c>
      <c r="S142">
        <v>98</v>
      </c>
      <c r="T142">
        <v>5</v>
      </c>
      <c r="U142">
        <v>0</v>
      </c>
      <c r="V142">
        <v>6</v>
      </c>
      <c r="W142">
        <v>12</v>
      </c>
      <c r="X142">
        <v>10</v>
      </c>
      <c r="Y142">
        <v>16</v>
      </c>
      <c r="Z142">
        <v>1</v>
      </c>
      <c r="AA142">
        <v>1</v>
      </c>
      <c r="AC142">
        <v>1</v>
      </c>
      <c r="AD142">
        <v>98</v>
      </c>
      <c r="AE142" t="s">
        <v>388</v>
      </c>
      <c r="AG142" t="s">
        <v>389</v>
      </c>
      <c r="AH142">
        <v>7</v>
      </c>
      <c r="AI142">
        <v>2</v>
      </c>
      <c r="AJ142">
        <v>4</v>
      </c>
      <c r="AK142">
        <v>3</v>
      </c>
      <c r="AL142">
        <v>34</v>
      </c>
      <c r="AM142">
        <v>65</v>
      </c>
      <c r="AN142" t="s">
        <v>384</v>
      </c>
      <c r="AO142">
        <v>5</v>
      </c>
      <c r="AP142">
        <v>1</v>
      </c>
      <c r="AT142">
        <v>12</v>
      </c>
      <c r="AU142">
        <v>9</v>
      </c>
      <c r="AV142">
        <v>55</v>
      </c>
      <c r="AW142">
        <v>11</v>
      </c>
      <c r="AX142">
        <v>21</v>
      </c>
      <c r="AY142">
        <v>2</v>
      </c>
      <c r="AZ142">
        <v>2</v>
      </c>
      <c r="BA142">
        <v>3</v>
      </c>
      <c r="BB142">
        <v>34</v>
      </c>
      <c r="BC142">
        <v>29</v>
      </c>
      <c r="BD142" t="s">
        <v>390</v>
      </c>
      <c r="BE142">
        <v>5</v>
      </c>
      <c r="BF142">
        <v>1</v>
      </c>
      <c r="BJ142">
        <v>12</v>
      </c>
      <c r="BK142">
        <v>9</v>
      </c>
      <c r="BL142">
        <v>55</v>
      </c>
      <c r="BM142">
        <v>11</v>
      </c>
      <c r="BN142">
        <v>21</v>
      </c>
      <c r="BO142">
        <v>2</v>
      </c>
      <c r="BP142">
        <v>2</v>
      </c>
      <c r="BQ142">
        <v>3</v>
      </c>
      <c r="BR142">
        <v>34</v>
      </c>
      <c r="BS142">
        <v>44</v>
      </c>
      <c r="BT142" t="s">
        <v>384</v>
      </c>
      <c r="BU142">
        <v>5</v>
      </c>
      <c r="BV142">
        <v>1</v>
      </c>
      <c r="BZ142">
        <v>12</v>
      </c>
      <c r="CA142">
        <v>9</v>
      </c>
      <c r="CB142">
        <v>55</v>
      </c>
      <c r="CC142">
        <v>11</v>
      </c>
      <c r="CD142">
        <v>21</v>
      </c>
      <c r="CE142">
        <v>2</v>
      </c>
      <c r="CF142">
        <v>2</v>
      </c>
      <c r="CG142">
        <v>3</v>
      </c>
      <c r="CH142">
        <v>26</v>
      </c>
      <c r="CI142">
        <v>38</v>
      </c>
      <c r="CJ142" t="s">
        <v>384</v>
      </c>
      <c r="CK142">
        <v>5</v>
      </c>
      <c r="CL142">
        <v>68</v>
      </c>
      <c r="CM142">
        <v>90</v>
      </c>
      <c r="CP142">
        <v>12</v>
      </c>
      <c r="CQ142">
        <v>9</v>
      </c>
      <c r="CR142">
        <v>55</v>
      </c>
      <c r="CS142">
        <v>11</v>
      </c>
      <c r="CT142">
        <v>21</v>
      </c>
      <c r="CU142">
        <v>504795.58250000002</v>
      </c>
      <c r="CV142">
        <v>5017897.5175999999</v>
      </c>
      <c r="CW142">
        <v>45.314574380000003</v>
      </c>
      <c r="CX142">
        <v>-92.938826169999999</v>
      </c>
      <c r="CY142" s="472">
        <v>43551.629166666666</v>
      </c>
      <c r="CZ142" t="s">
        <v>391</v>
      </c>
      <c r="DA142" t="s">
        <v>392</v>
      </c>
      <c r="DB142" t="s">
        <v>397</v>
      </c>
      <c r="DC142" t="s">
        <v>398</v>
      </c>
      <c r="DD142" s="18" t="s">
        <v>546</v>
      </c>
    </row>
    <row r="143" spans="1:108" ht="16.5" customHeight="1" x14ac:dyDescent="0.25">
      <c r="A143">
        <v>13</v>
      </c>
      <c r="B143">
        <v>722150</v>
      </c>
      <c r="C143">
        <v>2</v>
      </c>
      <c r="D143">
        <v>8</v>
      </c>
      <c r="E143">
        <v>3.9670000000000001</v>
      </c>
      <c r="F143">
        <v>13</v>
      </c>
      <c r="G143" t="s">
        <v>383</v>
      </c>
      <c r="I143" t="s">
        <v>384</v>
      </c>
      <c r="J143">
        <v>24</v>
      </c>
      <c r="L143">
        <v>19404927</v>
      </c>
      <c r="M143">
        <v>191440140</v>
      </c>
      <c r="N143">
        <v>5</v>
      </c>
      <c r="O143">
        <v>24</v>
      </c>
      <c r="P143">
        <v>2019</v>
      </c>
      <c r="Q143" t="s">
        <v>415</v>
      </c>
      <c r="R143">
        <v>16</v>
      </c>
      <c r="S143" t="s">
        <v>387</v>
      </c>
      <c r="T143">
        <v>5</v>
      </c>
      <c r="U143">
        <v>0</v>
      </c>
      <c r="V143">
        <v>2</v>
      </c>
      <c r="W143">
        <v>12</v>
      </c>
      <c r="X143">
        <v>10</v>
      </c>
      <c r="Y143">
        <v>2</v>
      </c>
      <c r="Z143">
        <v>1</v>
      </c>
      <c r="AA143">
        <v>2</v>
      </c>
      <c r="AC143">
        <v>1</v>
      </c>
      <c r="AD143">
        <v>98</v>
      </c>
      <c r="AE143" t="s">
        <v>547</v>
      </c>
      <c r="AG143" t="s">
        <v>389</v>
      </c>
      <c r="AH143">
        <v>7</v>
      </c>
      <c r="AI143">
        <v>2</v>
      </c>
      <c r="AJ143">
        <v>4</v>
      </c>
      <c r="AK143">
        <v>3</v>
      </c>
      <c r="AL143">
        <v>26</v>
      </c>
      <c r="AM143">
        <v>28</v>
      </c>
      <c r="AN143" t="s">
        <v>390</v>
      </c>
      <c r="AO143">
        <v>5</v>
      </c>
      <c r="AP143">
        <v>1</v>
      </c>
      <c r="AT143">
        <v>12</v>
      </c>
      <c r="AU143">
        <v>9</v>
      </c>
      <c r="AV143">
        <v>55</v>
      </c>
      <c r="AW143">
        <v>11</v>
      </c>
      <c r="AX143">
        <v>21</v>
      </c>
      <c r="AY143">
        <v>2</v>
      </c>
      <c r="AZ143">
        <v>2</v>
      </c>
      <c r="BA143">
        <v>3</v>
      </c>
      <c r="BB143">
        <v>21</v>
      </c>
      <c r="BC143">
        <v>23</v>
      </c>
      <c r="BD143" t="s">
        <v>384</v>
      </c>
      <c r="BE143">
        <v>5</v>
      </c>
      <c r="BF143">
        <v>74</v>
      </c>
      <c r="BJ143">
        <v>12</v>
      </c>
      <c r="BK143">
        <v>9</v>
      </c>
      <c r="BL143">
        <v>55</v>
      </c>
      <c r="BM143">
        <v>11</v>
      </c>
      <c r="BN143">
        <v>21</v>
      </c>
      <c r="CU143">
        <v>504813.54680000001</v>
      </c>
      <c r="CV143">
        <v>5017909.8821999999</v>
      </c>
      <c r="CW143">
        <v>45.314685560000001</v>
      </c>
      <c r="CX143">
        <v>-92.938596860000004</v>
      </c>
      <c r="CY143" s="472">
        <v>43609.701388888891</v>
      </c>
      <c r="CZ143" t="s">
        <v>391</v>
      </c>
      <c r="DA143" t="s">
        <v>392</v>
      </c>
      <c r="DB143" t="s">
        <v>397</v>
      </c>
      <c r="DC143" t="s">
        <v>398</v>
      </c>
      <c r="DD143" s="18" t="s">
        <v>548</v>
      </c>
    </row>
    <row r="144" spans="1:108" ht="16.5" customHeight="1" x14ac:dyDescent="0.25">
      <c r="A144">
        <v>13</v>
      </c>
      <c r="B144">
        <v>662339</v>
      </c>
      <c r="C144">
        <v>2</v>
      </c>
      <c r="D144">
        <v>8</v>
      </c>
      <c r="E144">
        <v>3.99</v>
      </c>
      <c r="F144">
        <v>13</v>
      </c>
      <c r="G144" t="s">
        <v>383</v>
      </c>
      <c r="I144" t="s">
        <v>384</v>
      </c>
      <c r="J144">
        <v>24</v>
      </c>
      <c r="L144">
        <v>18410449</v>
      </c>
      <c r="M144">
        <v>183240244</v>
      </c>
      <c r="N144">
        <v>11</v>
      </c>
      <c r="O144">
        <v>20</v>
      </c>
      <c r="P144">
        <v>2018</v>
      </c>
      <c r="Q144" t="s">
        <v>402</v>
      </c>
      <c r="R144">
        <v>14</v>
      </c>
      <c r="S144">
        <v>98</v>
      </c>
      <c r="T144">
        <v>5</v>
      </c>
      <c r="U144">
        <v>0</v>
      </c>
      <c r="V144">
        <v>1</v>
      </c>
      <c r="X144">
        <v>32</v>
      </c>
      <c r="Y144">
        <v>2</v>
      </c>
      <c r="Z144">
        <v>1</v>
      </c>
      <c r="AA144">
        <v>2</v>
      </c>
      <c r="AC144">
        <v>1</v>
      </c>
      <c r="AD144">
        <v>98</v>
      </c>
      <c r="AE144" t="s">
        <v>412</v>
      </c>
      <c r="AG144" t="s">
        <v>389</v>
      </c>
      <c r="AH144">
        <v>3</v>
      </c>
      <c r="AI144">
        <v>2</v>
      </c>
      <c r="AJ144">
        <v>2</v>
      </c>
      <c r="AK144">
        <v>3</v>
      </c>
      <c r="AL144">
        <v>21</v>
      </c>
      <c r="AM144">
        <v>51</v>
      </c>
      <c r="AN144" t="s">
        <v>384</v>
      </c>
      <c r="AO144">
        <v>5</v>
      </c>
      <c r="AP144">
        <v>4</v>
      </c>
      <c r="AT144">
        <v>12</v>
      </c>
      <c r="AU144">
        <v>9</v>
      </c>
      <c r="AV144">
        <v>55</v>
      </c>
      <c r="AW144">
        <v>11</v>
      </c>
      <c r="AX144">
        <v>21</v>
      </c>
      <c r="CU144">
        <v>504844.4387</v>
      </c>
      <c r="CV144">
        <v>5017931.1448999997</v>
      </c>
      <c r="CW144">
        <v>45.314876740000003</v>
      </c>
      <c r="CX144">
        <v>-92.938202540000006</v>
      </c>
      <c r="CY144" s="472">
        <v>43424.621527777781</v>
      </c>
      <c r="CZ144" t="s">
        <v>391</v>
      </c>
      <c r="DA144" t="s">
        <v>392</v>
      </c>
      <c r="DB144" t="s">
        <v>397</v>
      </c>
      <c r="DC144" t="s">
        <v>398</v>
      </c>
      <c r="DD144" t="s">
        <v>549</v>
      </c>
    </row>
    <row r="145" spans="1:108" ht="16.5" customHeight="1" x14ac:dyDescent="0.25">
      <c r="A145">
        <v>13</v>
      </c>
      <c r="B145">
        <v>569156</v>
      </c>
      <c r="C145">
        <v>2</v>
      </c>
      <c r="D145">
        <v>8</v>
      </c>
      <c r="E145">
        <v>4.07</v>
      </c>
      <c r="F145">
        <v>13</v>
      </c>
      <c r="G145" t="s">
        <v>440</v>
      </c>
      <c r="I145" t="s">
        <v>384</v>
      </c>
      <c r="J145">
        <v>24</v>
      </c>
      <c r="L145">
        <v>18000865</v>
      </c>
      <c r="M145">
        <v>180560106</v>
      </c>
      <c r="N145">
        <v>2</v>
      </c>
      <c r="O145">
        <v>25</v>
      </c>
      <c r="P145">
        <v>2018</v>
      </c>
      <c r="Q145" t="s">
        <v>422</v>
      </c>
      <c r="R145">
        <v>14</v>
      </c>
      <c r="S145">
        <v>98</v>
      </c>
      <c r="T145">
        <v>5</v>
      </c>
      <c r="U145">
        <v>0</v>
      </c>
      <c r="V145">
        <v>1</v>
      </c>
      <c r="X145">
        <v>12</v>
      </c>
      <c r="Y145">
        <v>2</v>
      </c>
      <c r="Z145">
        <v>1</v>
      </c>
      <c r="AA145">
        <v>1</v>
      </c>
      <c r="AC145">
        <v>1</v>
      </c>
      <c r="AD145">
        <v>98</v>
      </c>
      <c r="AE145" t="s">
        <v>388</v>
      </c>
      <c r="AG145" t="s">
        <v>389</v>
      </c>
      <c r="AH145">
        <v>4</v>
      </c>
      <c r="AI145">
        <v>2</v>
      </c>
      <c r="AJ145">
        <v>2</v>
      </c>
      <c r="AK145">
        <v>3</v>
      </c>
      <c r="AL145">
        <v>21</v>
      </c>
      <c r="AM145">
        <v>76</v>
      </c>
      <c r="AN145" t="s">
        <v>384</v>
      </c>
      <c r="AO145">
        <v>5</v>
      </c>
      <c r="AP145">
        <v>1</v>
      </c>
      <c r="AT145">
        <v>12</v>
      </c>
      <c r="AU145">
        <v>9</v>
      </c>
      <c r="AV145">
        <v>55</v>
      </c>
      <c r="AW145">
        <v>11</v>
      </c>
      <c r="AX145">
        <v>21</v>
      </c>
      <c r="CU145">
        <v>504950.31849999999</v>
      </c>
      <c r="CV145">
        <v>5018002.9358999999</v>
      </c>
      <c r="CW145">
        <v>45.315522219999998</v>
      </c>
      <c r="CX145">
        <v>-92.936851009999998</v>
      </c>
      <c r="CY145" s="472">
        <v>43156.583333333336</v>
      </c>
      <c r="CZ145" t="s">
        <v>391</v>
      </c>
      <c r="DA145" t="s">
        <v>392</v>
      </c>
      <c r="DB145" t="s">
        <v>445</v>
      </c>
      <c r="DC145" t="s">
        <v>394</v>
      </c>
      <c r="DD145" t="s">
        <v>550</v>
      </c>
    </row>
    <row r="146" spans="1:108" ht="16.5" customHeight="1" x14ac:dyDescent="0.25">
      <c r="A146">
        <v>13</v>
      </c>
      <c r="B146">
        <v>982969</v>
      </c>
      <c r="C146">
        <v>2</v>
      </c>
      <c r="D146">
        <v>8</v>
      </c>
      <c r="E146">
        <v>4.0739999999999998</v>
      </c>
      <c r="F146">
        <v>13</v>
      </c>
      <c r="G146" t="s">
        <v>440</v>
      </c>
      <c r="I146" t="s">
        <v>384</v>
      </c>
      <c r="J146">
        <v>24</v>
      </c>
      <c r="L146">
        <v>21408617</v>
      </c>
      <c r="M146">
        <v>213570055</v>
      </c>
      <c r="N146">
        <v>12</v>
      </c>
      <c r="O146">
        <v>23</v>
      </c>
      <c r="P146">
        <v>2021</v>
      </c>
      <c r="Q146" t="s">
        <v>386</v>
      </c>
      <c r="R146">
        <v>13</v>
      </c>
      <c r="S146" t="s">
        <v>387</v>
      </c>
      <c r="T146">
        <v>4</v>
      </c>
      <c r="U146">
        <v>0</v>
      </c>
      <c r="V146">
        <v>1</v>
      </c>
      <c r="X146">
        <v>69</v>
      </c>
      <c r="Y146">
        <v>2</v>
      </c>
      <c r="Z146">
        <v>1</v>
      </c>
      <c r="AA146">
        <v>1</v>
      </c>
      <c r="AC146">
        <v>1</v>
      </c>
      <c r="AD146">
        <v>98</v>
      </c>
      <c r="AE146" t="s">
        <v>388</v>
      </c>
      <c r="AG146" t="s">
        <v>389</v>
      </c>
      <c r="AH146">
        <v>3</v>
      </c>
      <c r="AI146">
        <v>2</v>
      </c>
      <c r="AJ146">
        <v>2</v>
      </c>
      <c r="AK146">
        <v>3</v>
      </c>
      <c r="AL146">
        <v>30</v>
      </c>
      <c r="AM146">
        <v>30</v>
      </c>
      <c r="AN146" t="s">
        <v>390</v>
      </c>
      <c r="AO146">
        <v>5</v>
      </c>
      <c r="AP146">
        <v>90</v>
      </c>
      <c r="AT146">
        <v>12</v>
      </c>
      <c r="AU146">
        <v>9</v>
      </c>
      <c r="AV146">
        <v>55</v>
      </c>
      <c r="AW146">
        <v>11</v>
      </c>
      <c r="AX146">
        <v>23</v>
      </c>
      <c r="CU146">
        <v>504956.12939999998</v>
      </c>
      <c r="CV146">
        <v>5018006.8525</v>
      </c>
      <c r="CW146">
        <v>45.315557439999999</v>
      </c>
      <c r="CX146">
        <v>-92.936776839999993</v>
      </c>
      <c r="CY146" s="472">
        <v>44553.546527777777</v>
      </c>
      <c r="CZ146" t="s">
        <v>391</v>
      </c>
      <c r="DA146" t="s">
        <v>392</v>
      </c>
      <c r="DB146" t="s">
        <v>397</v>
      </c>
      <c r="DC146" t="s">
        <v>398</v>
      </c>
      <c r="DD146" t="s">
        <v>551</v>
      </c>
    </row>
    <row r="147" spans="1:108" ht="16.5" customHeight="1" x14ac:dyDescent="0.25">
      <c r="A147">
        <v>13</v>
      </c>
      <c r="B147">
        <v>590241</v>
      </c>
      <c r="C147">
        <v>2</v>
      </c>
      <c r="D147">
        <v>8</v>
      </c>
      <c r="E147">
        <v>4.1219999999999999</v>
      </c>
      <c r="F147">
        <v>13</v>
      </c>
      <c r="G147" t="s">
        <v>440</v>
      </c>
      <c r="I147" t="s">
        <v>384</v>
      </c>
      <c r="J147">
        <v>24</v>
      </c>
      <c r="L147">
        <v>18403587</v>
      </c>
      <c r="M147">
        <v>180930881</v>
      </c>
      <c r="N147">
        <v>4</v>
      </c>
      <c r="O147">
        <v>3</v>
      </c>
      <c r="P147">
        <v>2018</v>
      </c>
      <c r="Q147" t="s">
        <v>402</v>
      </c>
      <c r="R147">
        <v>18</v>
      </c>
      <c r="S147">
        <v>98</v>
      </c>
      <c r="T147">
        <v>5</v>
      </c>
      <c r="U147">
        <v>0</v>
      </c>
      <c r="V147">
        <v>1</v>
      </c>
      <c r="X147">
        <v>67</v>
      </c>
      <c r="Y147">
        <v>2</v>
      </c>
      <c r="Z147">
        <v>1</v>
      </c>
      <c r="AA147">
        <v>4</v>
      </c>
      <c r="AC147">
        <v>3</v>
      </c>
      <c r="AD147">
        <v>98</v>
      </c>
      <c r="AE147" t="s">
        <v>388</v>
      </c>
      <c r="AG147" t="s">
        <v>389</v>
      </c>
      <c r="AH147">
        <v>3</v>
      </c>
      <c r="AI147">
        <v>2</v>
      </c>
      <c r="AJ147">
        <v>3</v>
      </c>
      <c r="AK147">
        <v>3</v>
      </c>
      <c r="AL147">
        <v>26</v>
      </c>
      <c r="AM147">
        <v>27</v>
      </c>
      <c r="AN147" t="s">
        <v>384</v>
      </c>
      <c r="AO147">
        <v>5</v>
      </c>
      <c r="AP147">
        <v>75</v>
      </c>
      <c r="AT147">
        <v>12</v>
      </c>
      <c r="AU147">
        <v>9</v>
      </c>
      <c r="AV147">
        <v>55</v>
      </c>
      <c r="AW147">
        <v>11</v>
      </c>
      <c r="AX147">
        <v>21</v>
      </c>
      <c r="CU147">
        <v>505019.40700000001</v>
      </c>
      <c r="CV147">
        <v>5018049.5018999996</v>
      </c>
      <c r="CW147">
        <v>45.31594089</v>
      </c>
      <c r="CX147">
        <v>-92.935969099999994</v>
      </c>
      <c r="CY147" s="472">
        <v>43193.763888888891</v>
      </c>
      <c r="CZ147" t="s">
        <v>391</v>
      </c>
      <c r="DA147" t="s">
        <v>392</v>
      </c>
      <c r="DB147" t="s">
        <v>397</v>
      </c>
      <c r="DC147" t="s">
        <v>398</v>
      </c>
      <c r="DD147" s="18" t="s">
        <v>552</v>
      </c>
    </row>
    <row r="148" spans="1:108" ht="16.5" customHeight="1" x14ac:dyDescent="0.25">
      <c r="A148">
        <v>13</v>
      </c>
      <c r="B148">
        <v>817605</v>
      </c>
      <c r="C148">
        <v>2</v>
      </c>
      <c r="D148">
        <v>8</v>
      </c>
      <c r="E148">
        <v>4.1500000000000004</v>
      </c>
      <c r="F148">
        <v>13</v>
      </c>
      <c r="G148" t="s">
        <v>440</v>
      </c>
      <c r="I148" t="s">
        <v>384</v>
      </c>
      <c r="J148">
        <v>24</v>
      </c>
      <c r="L148">
        <v>20403892</v>
      </c>
      <c r="M148">
        <v>201840073</v>
      </c>
      <c r="N148">
        <v>7</v>
      </c>
      <c r="O148">
        <v>2</v>
      </c>
      <c r="P148">
        <v>2020</v>
      </c>
      <c r="Q148" t="s">
        <v>386</v>
      </c>
      <c r="R148">
        <v>15</v>
      </c>
      <c r="S148" t="s">
        <v>387</v>
      </c>
      <c r="T148">
        <v>3</v>
      </c>
      <c r="U148">
        <v>0</v>
      </c>
      <c r="V148">
        <v>2</v>
      </c>
      <c r="W148">
        <v>12</v>
      </c>
      <c r="X148">
        <v>10</v>
      </c>
      <c r="Y148">
        <v>2</v>
      </c>
      <c r="Z148">
        <v>1</v>
      </c>
      <c r="AA148">
        <v>1</v>
      </c>
      <c r="AC148">
        <v>1</v>
      </c>
      <c r="AD148">
        <v>98</v>
      </c>
      <c r="AE148" t="s">
        <v>388</v>
      </c>
      <c r="AG148" t="s">
        <v>389</v>
      </c>
      <c r="AH148">
        <v>7</v>
      </c>
      <c r="AI148">
        <v>2</v>
      </c>
      <c r="AJ148">
        <v>2</v>
      </c>
      <c r="AK148">
        <v>3</v>
      </c>
      <c r="AL148">
        <v>21</v>
      </c>
      <c r="AM148">
        <v>27</v>
      </c>
      <c r="AN148" t="s">
        <v>384</v>
      </c>
      <c r="AO148">
        <v>5</v>
      </c>
      <c r="AP148">
        <v>74</v>
      </c>
      <c r="AT148">
        <v>12</v>
      </c>
      <c r="AU148">
        <v>9</v>
      </c>
      <c r="AV148">
        <v>55</v>
      </c>
      <c r="AW148">
        <v>11</v>
      </c>
      <c r="AX148">
        <v>23</v>
      </c>
      <c r="AY148">
        <v>2</v>
      </c>
      <c r="AZ148">
        <v>2</v>
      </c>
      <c r="BA148">
        <v>3</v>
      </c>
      <c r="BB148">
        <v>34</v>
      </c>
      <c r="BC148">
        <v>57</v>
      </c>
      <c r="BD148" t="s">
        <v>384</v>
      </c>
      <c r="BE148">
        <v>5</v>
      </c>
      <c r="BF148">
        <v>1</v>
      </c>
      <c r="BJ148">
        <v>12</v>
      </c>
      <c r="BK148">
        <v>9</v>
      </c>
      <c r="BL148">
        <v>55</v>
      </c>
      <c r="BM148">
        <v>11</v>
      </c>
      <c r="BN148">
        <v>23</v>
      </c>
      <c r="CU148">
        <v>505057.33529999998</v>
      </c>
      <c r="CV148">
        <v>5018075.0658</v>
      </c>
      <c r="CW148">
        <v>45.316170730000003</v>
      </c>
      <c r="CX148">
        <v>-92.935484939999995</v>
      </c>
      <c r="CY148" s="472">
        <v>44014.654861111114</v>
      </c>
      <c r="CZ148" t="s">
        <v>391</v>
      </c>
      <c r="DA148" t="s">
        <v>392</v>
      </c>
      <c r="DB148" t="s">
        <v>397</v>
      </c>
      <c r="DC148" t="s">
        <v>398</v>
      </c>
      <c r="DD148" t="s">
        <v>553</v>
      </c>
    </row>
    <row r="149" spans="1:108" ht="16.5" customHeight="1" x14ac:dyDescent="0.25">
      <c r="A149">
        <v>13</v>
      </c>
      <c r="B149">
        <v>589317</v>
      </c>
      <c r="C149">
        <v>2</v>
      </c>
      <c r="D149">
        <v>8</v>
      </c>
      <c r="E149">
        <v>4.2359999999999998</v>
      </c>
      <c r="F149">
        <v>13</v>
      </c>
      <c r="G149" t="s">
        <v>440</v>
      </c>
      <c r="I149" t="s">
        <v>384</v>
      </c>
      <c r="J149">
        <v>24</v>
      </c>
      <c r="L149">
        <v>18403683</v>
      </c>
      <c r="M149">
        <v>180940557</v>
      </c>
      <c r="N149">
        <v>4</v>
      </c>
      <c r="O149">
        <v>4</v>
      </c>
      <c r="P149">
        <v>2018</v>
      </c>
      <c r="Q149" t="s">
        <v>396</v>
      </c>
      <c r="R149">
        <v>15</v>
      </c>
      <c r="S149" t="s">
        <v>387</v>
      </c>
      <c r="T149">
        <v>5</v>
      </c>
      <c r="U149">
        <v>0</v>
      </c>
      <c r="V149">
        <v>2</v>
      </c>
      <c r="W149">
        <v>12</v>
      </c>
      <c r="X149">
        <v>10</v>
      </c>
      <c r="Y149">
        <v>2</v>
      </c>
      <c r="Z149">
        <v>1</v>
      </c>
      <c r="AA149">
        <v>1</v>
      </c>
      <c r="AC149">
        <v>1</v>
      </c>
      <c r="AD149">
        <v>98</v>
      </c>
      <c r="AE149" t="s">
        <v>388</v>
      </c>
      <c r="AG149" t="s">
        <v>389</v>
      </c>
      <c r="AH149">
        <v>7</v>
      </c>
      <c r="AI149">
        <v>2</v>
      </c>
      <c r="AJ149">
        <v>2</v>
      </c>
      <c r="AK149">
        <v>3</v>
      </c>
      <c r="AL149">
        <v>34</v>
      </c>
      <c r="AM149">
        <v>21</v>
      </c>
      <c r="AN149" t="s">
        <v>390</v>
      </c>
      <c r="AO149">
        <v>5</v>
      </c>
      <c r="AP149">
        <v>1</v>
      </c>
      <c r="AT149">
        <v>12</v>
      </c>
      <c r="AU149">
        <v>9</v>
      </c>
      <c r="AV149">
        <v>55</v>
      </c>
      <c r="AW149">
        <v>11</v>
      </c>
      <c r="AX149">
        <v>21</v>
      </c>
      <c r="AY149">
        <v>2</v>
      </c>
      <c r="AZ149">
        <v>3</v>
      </c>
      <c r="BA149">
        <v>3</v>
      </c>
      <c r="BB149">
        <v>21</v>
      </c>
      <c r="BC149">
        <v>27</v>
      </c>
      <c r="BD149" t="s">
        <v>384</v>
      </c>
      <c r="BE149">
        <v>5</v>
      </c>
      <c r="BF149">
        <v>75</v>
      </c>
      <c r="BJ149">
        <v>12</v>
      </c>
      <c r="BK149">
        <v>9</v>
      </c>
      <c r="BL149">
        <v>55</v>
      </c>
      <c r="BM149">
        <v>11</v>
      </c>
      <c r="BN149">
        <v>21</v>
      </c>
      <c r="CU149">
        <v>505171.79599999997</v>
      </c>
      <c r="CV149">
        <v>5018152.2895999998</v>
      </c>
      <c r="CW149">
        <v>45.316865020000002</v>
      </c>
      <c r="CX149">
        <v>-92.934023819999993</v>
      </c>
      <c r="CY149" s="472">
        <v>43194.654166666667</v>
      </c>
      <c r="CZ149" t="s">
        <v>391</v>
      </c>
      <c r="DA149" t="s">
        <v>392</v>
      </c>
      <c r="DB149" t="s">
        <v>397</v>
      </c>
      <c r="DC149" t="s">
        <v>398</v>
      </c>
      <c r="DD149" s="18" t="s">
        <v>554</v>
      </c>
    </row>
    <row r="150" spans="1:108" ht="16.5" customHeight="1" x14ac:dyDescent="0.25">
      <c r="CY150" s="472"/>
      <c r="DD150" s="18"/>
    </row>
    <row r="151" spans="1:108" ht="16.5" customHeight="1" x14ac:dyDescent="0.25">
      <c r="A151">
        <v>13</v>
      </c>
      <c r="B151">
        <v>933044</v>
      </c>
      <c r="C151">
        <v>2</v>
      </c>
      <c r="D151">
        <v>8</v>
      </c>
      <c r="E151">
        <v>4.3040000000000003</v>
      </c>
      <c r="F151">
        <v>13</v>
      </c>
      <c r="G151">
        <v>663797</v>
      </c>
      <c r="J151">
        <v>24</v>
      </c>
      <c r="L151">
        <v>21404960</v>
      </c>
      <c r="M151">
        <v>212200111</v>
      </c>
      <c r="N151">
        <v>8</v>
      </c>
      <c r="O151">
        <v>8</v>
      </c>
      <c r="P151">
        <v>2021</v>
      </c>
      <c r="Q151" t="s">
        <v>422</v>
      </c>
      <c r="R151">
        <v>17</v>
      </c>
      <c r="S151" t="s">
        <v>448</v>
      </c>
      <c r="T151">
        <v>5</v>
      </c>
      <c r="U151">
        <v>0</v>
      </c>
      <c r="V151">
        <v>3</v>
      </c>
      <c r="W151">
        <v>13</v>
      </c>
      <c r="X151">
        <v>10</v>
      </c>
      <c r="Y151">
        <v>2</v>
      </c>
      <c r="Z151">
        <v>1</v>
      </c>
      <c r="AA151">
        <v>1</v>
      </c>
      <c r="AC151">
        <v>1</v>
      </c>
      <c r="AD151">
        <v>98</v>
      </c>
      <c r="AE151" t="s">
        <v>388</v>
      </c>
      <c r="AG151" t="s">
        <v>389</v>
      </c>
      <c r="AH151">
        <v>8</v>
      </c>
      <c r="AI151">
        <v>2</v>
      </c>
      <c r="AJ151">
        <v>2</v>
      </c>
      <c r="AK151">
        <v>1</v>
      </c>
      <c r="AL151">
        <v>29</v>
      </c>
      <c r="AM151">
        <v>19</v>
      </c>
      <c r="AN151" t="s">
        <v>390</v>
      </c>
      <c r="AO151">
        <v>5</v>
      </c>
      <c r="AP151">
        <v>68</v>
      </c>
      <c r="AQ151">
        <v>7</v>
      </c>
      <c r="AT151">
        <v>12</v>
      </c>
      <c r="AU151">
        <v>9</v>
      </c>
      <c r="AV151">
        <v>55</v>
      </c>
      <c r="AW151">
        <v>11</v>
      </c>
      <c r="AX151">
        <v>21</v>
      </c>
      <c r="AY151">
        <v>2</v>
      </c>
      <c r="AZ151">
        <v>3</v>
      </c>
      <c r="BA151">
        <v>2</v>
      </c>
      <c r="BB151">
        <v>21</v>
      </c>
      <c r="BC151">
        <v>46</v>
      </c>
      <c r="BD151" t="s">
        <v>384</v>
      </c>
      <c r="BE151">
        <v>5</v>
      </c>
      <c r="BF151">
        <v>1</v>
      </c>
      <c r="BJ151">
        <v>12</v>
      </c>
      <c r="BK151">
        <v>9</v>
      </c>
      <c r="BL151">
        <v>55</v>
      </c>
      <c r="BM151">
        <v>11</v>
      </c>
      <c r="BN151">
        <v>21</v>
      </c>
      <c r="BO151">
        <v>2</v>
      </c>
      <c r="BP151">
        <v>90</v>
      </c>
      <c r="BQ151">
        <v>2</v>
      </c>
      <c r="BR151">
        <v>21</v>
      </c>
      <c r="BS151">
        <v>46</v>
      </c>
      <c r="BT151" t="s">
        <v>384</v>
      </c>
      <c r="BU151">
        <v>5</v>
      </c>
      <c r="BV151">
        <v>1</v>
      </c>
      <c r="BZ151">
        <v>12</v>
      </c>
      <c r="CA151">
        <v>9</v>
      </c>
      <c r="CB151">
        <v>55</v>
      </c>
      <c r="CC151">
        <v>11</v>
      </c>
      <c r="CD151">
        <v>21</v>
      </c>
      <c r="CU151">
        <v>505253.58564051002</v>
      </c>
      <c r="CV151">
        <v>5018225.30691728</v>
      </c>
      <c r="CW151">
        <v>45.317513599999998</v>
      </c>
      <c r="CX151">
        <v>-92.932971839999993</v>
      </c>
      <c r="CY151" s="472">
        <v>44416.713888888888</v>
      </c>
      <c r="CZ151" t="s">
        <v>391</v>
      </c>
      <c r="DA151" t="s">
        <v>392</v>
      </c>
      <c r="DB151" t="s">
        <v>397</v>
      </c>
      <c r="DC151" t="s">
        <v>398</v>
      </c>
      <c r="DD151" s="18" t="s">
        <v>555</v>
      </c>
    </row>
    <row r="152" spans="1:108" ht="16.5" customHeight="1" x14ac:dyDescent="0.25">
      <c r="CY152" s="472"/>
      <c r="DD152" s="18"/>
    </row>
    <row r="153" spans="1:108" ht="16.5" customHeight="1" x14ac:dyDescent="0.25">
      <c r="A153">
        <v>13</v>
      </c>
      <c r="B153">
        <v>808606</v>
      </c>
      <c r="C153">
        <v>2</v>
      </c>
      <c r="D153">
        <v>8</v>
      </c>
      <c r="E153">
        <v>4.3730000000000002</v>
      </c>
      <c r="F153">
        <v>13</v>
      </c>
      <c r="G153" t="s">
        <v>440</v>
      </c>
      <c r="I153" t="s">
        <v>384</v>
      </c>
      <c r="J153">
        <v>24</v>
      </c>
      <c r="L153">
        <v>20402561</v>
      </c>
      <c r="M153">
        <v>200990074</v>
      </c>
      <c r="N153">
        <v>4</v>
      </c>
      <c r="O153">
        <v>8</v>
      </c>
      <c r="P153">
        <v>2020</v>
      </c>
      <c r="Q153" t="s">
        <v>396</v>
      </c>
      <c r="R153">
        <v>16</v>
      </c>
      <c r="S153">
        <v>98</v>
      </c>
      <c r="T153">
        <v>5</v>
      </c>
      <c r="U153">
        <v>0</v>
      </c>
      <c r="V153">
        <v>2</v>
      </c>
      <c r="W153">
        <v>12</v>
      </c>
      <c r="X153">
        <v>10</v>
      </c>
      <c r="Y153">
        <v>2</v>
      </c>
      <c r="Z153">
        <v>1</v>
      </c>
      <c r="AA153">
        <v>1</v>
      </c>
      <c r="AC153">
        <v>1</v>
      </c>
      <c r="AD153">
        <v>98</v>
      </c>
      <c r="AE153" t="s">
        <v>388</v>
      </c>
      <c r="AG153" t="s">
        <v>389</v>
      </c>
      <c r="AH153">
        <v>7</v>
      </c>
      <c r="AI153">
        <v>1</v>
      </c>
      <c r="AJ153">
        <v>3</v>
      </c>
      <c r="AK153">
        <v>3</v>
      </c>
      <c r="AL153">
        <v>21</v>
      </c>
      <c r="AT153">
        <v>12</v>
      </c>
      <c r="AU153">
        <v>9</v>
      </c>
      <c r="AV153">
        <v>55</v>
      </c>
      <c r="AW153">
        <v>11</v>
      </c>
      <c r="AX153">
        <v>21</v>
      </c>
      <c r="AY153">
        <v>2</v>
      </c>
      <c r="AZ153">
        <v>4</v>
      </c>
      <c r="BA153">
        <v>3</v>
      </c>
      <c r="BB153">
        <v>34</v>
      </c>
      <c r="BC153">
        <v>55</v>
      </c>
      <c r="BD153" t="s">
        <v>384</v>
      </c>
      <c r="BE153">
        <v>5</v>
      </c>
      <c r="BF153">
        <v>1</v>
      </c>
      <c r="BJ153">
        <v>12</v>
      </c>
      <c r="BK153">
        <v>9</v>
      </c>
      <c r="BL153">
        <v>55</v>
      </c>
      <c r="BM153">
        <v>11</v>
      </c>
      <c r="BN153">
        <v>21</v>
      </c>
      <c r="CU153">
        <v>505331.94300000003</v>
      </c>
      <c r="CV153">
        <v>5018303.7977</v>
      </c>
      <c r="CW153">
        <v>45.318227610000001</v>
      </c>
      <c r="CX153">
        <v>-92.931978970000003</v>
      </c>
      <c r="CY153" s="472">
        <v>43929.706944444442</v>
      </c>
      <c r="CZ153" t="s">
        <v>391</v>
      </c>
      <c r="DA153" t="s">
        <v>392</v>
      </c>
      <c r="DB153" t="s">
        <v>397</v>
      </c>
      <c r="DC153" t="s">
        <v>398</v>
      </c>
      <c r="DD153" s="18" t="s">
        <v>556</v>
      </c>
    </row>
    <row r="154" spans="1:108" ht="16.5" customHeight="1" x14ac:dyDescent="0.25">
      <c r="A154">
        <v>13</v>
      </c>
      <c r="B154">
        <v>821898</v>
      </c>
      <c r="C154">
        <v>2</v>
      </c>
      <c r="D154">
        <v>8</v>
      </c>
      <c r="E154">
        <v>4.383</v>
      </c>
      <c r="F154">
        <v>13</v>
      </c>
      <c r="G154" t="s">
        <v>440</v>
      </c>
      <c r="I154" t="s">
        <v>384</v>
      </c>
      <c r="J154">
        <v>24</v>
      </c>
      <c r="L154">
        <v>20404133</v>
      </c>
      <c r="M154">
        <v>201950212</v>
      </c>
      <c r="N154">
        <v>7</v>
      </c>
      <c r="O154">
        <v>13</v>
      </c>
      <c r="P154">
        <v>2020</v>
      </c>
      <c r="Q154" t="s">
        <v>400</v>
      </c>
      <c r="R154">
        <v>16</v>
      </c>
      <c r="S154" t="s">
        <v>436</v>
      </c>
      <c r="T154">
        <v>3</v>
      </c>
      <c r="U154">
        <v>0</v>
      </c>
      <c r="V154">
        <v>1</v>
      </c>
      <c r="X154">
        <v>83</v>
      </c>
      <c r="Y154">
        <v>2</v>
      </c>
      <c r="Z154">
        <v>1</v>
      </c>
      <c r="AA154">
        <v>1</v>
      </c>
      <c r="AC154">
        <v>1</v>
      </c>
      <c r="AD154">
        <v>98</v>
      </c>
      <c r="AE154" t="s">
        <v>388</v>
      </c>
      <c r="AG154" t="s">
        <v>389</v>
      </c>
      <c r="AH154">
        <v>3</v>
      </c>
      <c r="AI154">
        <v>2</v>
      </c>
      <c r="AJ154">
        <v>31</v>
      </c>
      <c r="AK154">
        <v>2</v>
      </c>
      <c r="AL154">
        <v>99</v>
      </c>
      <c r="AM154">
        <v>18</v>
      </c>
      <c r="AN154" t="s">
        <v>384</v>
      </c>
      <c r="AO154">
        <v>5</v>
      </c>
      <c r="AP154">
        <v>99</v>
      </c>
      <c r="AT154">
        <v>12</v>
      </c>
      <c r="AU154">
        <v>9</v>
      </c>
      <c r="AV154">
        <v>55</v>
      </c>
      <c r="AW154">
        <v>11</v>
      </c>
      <c r="AX154">
        <v>21</v>
      </c>
      <c r="CU154">
        <v>505342.2304</v>
      </c>
      <c r="CV154">
        <v>5018315.3753000004</v>
      </c>
      <c r="CW154">
        <v>45.318331749999999</v>
      </c>
      <c r="CX154">
        <v>-92.931847590000004</v>
      </c>
      <c r="CY154" s="472">
        <v>44025.6875</v>
      </c>
      <c r="CZ154" t="s">
        <v>391</v>
      </c>
      <c r="DA154" t="s">
        <v>392</v>
      </c>
      <c r="DB154" t="s">
        <v>397</v>
      </c>
      <c r="DC154" t="s">
        <v>398</v>
      </c>
      <c r="DD154" s="18" t="s">
        <v>557</v>
      </c>
    </row>
    <row r="155" spans="1:108" ht="16.5" customHeight="1" x14ac:dyDescent="0.25">
      <c r="A155">
        <v>13</v>
      </c>
      <c r="B155">
        <v>841263</v>
      </c>
      <c r="C155">
        <v>2</v>
      </c>
      <c r="D155">
        <v>8</v>
      </c>
      <c r="E155">
        <v>4.3920000000000003</v>
      </c>
      <c r="F155">
        <v>13</v>
      </c>
      <c r="G155" t="s">
        <v>440</v>
      </c>
      <c r="I155" t="s">
        <v>384</v>
      </c>
      <c r="J155">
        <v>24</v>
      </c>
      <c r="L155">
        <v>20405651</v>
      </c>
      <c r="M155">
        <v>202610061</v>
      </c>
      <c r="N155">
        <v>9</v>
      </c>
      <c r="O155">
        <v>17</v>
      </c>
      <c r="P155">
        <v>2020</v>
      </c>
      <c r="Q155" t="s">
        <v>386</v>
      </c>
      <c r="R155">
        <v>13</v>
      </c>
      <c r="T155">
        <v>5</v>
      </c>
      <c r="U155">
        <v>0</v>
      </c>
      <c r="V155">
        <v>2</v>
      </c>
      <c r="W155">
        <v>12</v>
      </c>
      <c r="X155">
        <v>10</v>
      </c>
      <c r="Y155">
        <v>3</v>
      </c>
      <c r="Z155">
        <v>1</v>
      </c>
      <c r="AA155">
        <v>2</v>
      </c>
      <c r="AC155">
        <v>1</v>
      </c>
      <c r="AD155">
        <v>98</v>
      </c>
      <c r="AE155" t="s">
        <v>388</v>
      </c>
      <c r="AG155" t="s">
        <v>389</v>
      </c>
      <c r="AH155">
        <v>7</v>
      </c>
      <c r="AI155">
        <v>2</v>
      </c>
      <c r="AJ155">
        <v>2</v>
      </c>
      <c r="AK155">
        <v>3</v>
      </c>
      <c r="AL155">
        <v>34</v>
      </c>
      <c r="AM155">
        <v>53</v>
      </c>
      <c r="AN155" t="s">
        <v>384</v>
      </c>
      <c r="AO155">
        <v>5</v>
      </c>
      <c r="AP155">
        <v>1</v>
      </c>
      <c r="AT155">
        <v>12</v>
      </c>
      <c r="AU155">
        <v>20</v>
      </c>
      <c r="AV155">
        <v>60</v>
      </c>
      <c r="AW155">
        <v>11</v>
      </c>
      <c r="AX155">
        <v>21</v>
      </c>
      <c r="AY155">
        <v>2</v>
      </c>
      <c r="AZ155">
        <v>2</v>
      </c>
      <c r="BA155">
        <v>3</v>
      </c>
      <c r="BB155">
        <v>21</v>
      </c>
      <c r="BC155">
        <v>20</v>
      </c>
      <c r="BD155" t="s">
        <v>390</v>
      </c>
      <c r="BE155">
        <v>5</v>
      </c>
      <c r="BF155">
        <v>90</v>
      </c>
      <c r="BG155">
        <v>4</v>
      </c>
      <c r="BJ155">
        <v>12</v>
      </c>
      <c r="BK155">
        <v>20</v>
      </c>
      <c r="BL155">
        <v>60</v>
      </c>
      <c r="BM155">
        <v>11</v>
      </c>
      <c r="BN155">
        <v>21</v>
      </c>
      <c r="CU155">
        <v>505352.28330000001</v>
      </c>
      <c r="CV155">
        <v>5018326.6890000002</v>
      </c>
      <c r="CW155">
        <v>45.318433509999998</v>
      </c>
      <c r="CX155">
        <v>-92.931719209999997</v>
      </c>
      <c r="CY155" s="472">
        <v>44091.563194444447</v>
      </c>
      <c r="CZ155" t="s">
        <v>391</v>
      </c>
      <c r="DA155" t="s">
        <v>392</v>
      </c>
      <c r="DB155" t="s">
        <v>397</v>
      </c>
      <c r="DC155" t="s">
        <v>398</v>
      </c>
      <c r="DD155" t="s">
        <v>558</v>
      </c>
    </row>
    <row r="156" spans="1:108" ht="16.5" customHeight="1" x14ac:dyDescent="0.25">
      <c r="A156">
        <v>13</v>
      </c>
      <c r="B156">
        <v>620995</v>
      </c>
      <c r="C156">
        <v>2</v>
      </c>
      <c r="D156">
        <v>8</v>
      </c>
      <c r="E156">
        <v>4.399</v>
      </c>
      <c r="F156">
        <v>13</v>
      </c>
      <c r="G156" t="s">
        <v>440</v>
      </c>
      <c r="I156" t="s">
        <v>384</v>
      </c>
      <c r="J156">
        <v>24</v>
      </c>
      <c r="L156">
        <v>18406415</v>
      </c>
      <c r="M156">
        <v>181910257</v>
      </c>
      <c r="N156">
        <v>7</v>
      </c>
      <c r="O156">
        <v>10</v>
      </c>
      <c r="P156">
        <v>2018</v>
      </c>
      <c r="Q156" t="s">
        <v>402</v>
      </c>
      <c r="R156">
        <v>7</v>
      </c>
      <c r="S156" t="s">
        <v>387</v>
      </c>
      <c r="T156">
        <v>5</v>
      </c>
      <c r="U156">
        <v>0</v>
      </c>
      <c r="V156">
        <v>2</v>
      </c>
      <c r="W156">
        <v>12</v>
      </c>
      <c r="X156">
        <v>10</v>
      </c>
      <c r="Y156">
        <v>3</v>
      </c>
      <c r="Z156">
        <v>1</v>
      </c>
      <c r="AA156">
        <v>2</v>
      </c>
      <c r="AC156">
        <v>1</v>
      </c>
      <c r="AD156">
        <v>98</v>
      </c>
      <c r="AE156" t="s">
        <v>388</v>
      </c>
      <c r="AG156" t="s">
        <v>389</v>
      </c>
      <c r="AH156">
        <v>7</v>
      </c>
      <c r="AI156">
        <v>2</v>
      </c>
      <c r="AJ156">
        <v>2</v>
      </c>
      <c r="AK156">
        <v>3</v>
      </c>
      <c r="AL156">
        <v>34</v>
      </c>
      <c r="AM156">
        <v>17</v>
      </c>
      <c r="AN156" t="s">
        <v>384</v>
      </c>
      <c r="AO156">
        <v>5</v>
      </c>
      <c r="AP156">
        <v>1</v>
      </c>
      <c r="AT156">
        <v>12</v>
      </c>
      <c r="AU156">
        <v>20</v>
      </c>
      <c r="AV156">
        <v>55</v>
      </c>
      <c r="AW156">
        <v>12</v>
      </c>
      <c r="AX156">
        <v>21</v>
      </c>
      <c r="AY156">
        <v>2</v>
      </c>
      <c r="AZ156">
        <v>2</v>
      </c>
      <c r="BA156">
        <v>3</v>
      </c>
      <c r="BB156">
        <v>21</v>
      </c>
      <c r="BC156">
        <v>34</v>
      </c>
      <c r="BD156" t="s">
        <v>384</v>
      </c>
      <c r="BE156">
        <v>9</v>
      </c>
      <c r="BF156">
        <v>74</v>
      </c>
      <c r="BJ156">
        <v>12</v>
      </c>
      <c r="BK156">
        <v>20</v>
      </c>
      <c r="BL156">
        <v>55</v>
      </c>
      <c r="BM156">
        <v>12</v>
      </c>
      <c r="BN156">
        <v>21</v>
      </c>
      <c r="CU156">
        <v>505358.81310000003</v>
      </c>
      <c r="CV156">
        <v>5018334.0378</v>
      </c>
      <c r="CW156">
        <v>45.318499610000003</v>
      </c>
      <c r="CX156">
        <v>-92.931635810000003</v>
      </c>
      <c r="CY156" s="472">
        <v>43291.310416666667</v>
      </c>
      <c r="CZ156" t="s">
        <v>391</v>
      </c>
      <c r="DA156" t="s">
        <v>392</v>
      </c>
      <c r="DB156" t="s">
        <v>397</v>
      </c>
      <c r="DC156" t="s">
        <v>398</v>
      </c>
      <c r="DD156" s="18" t="s">
        <v>559</v>
      </c>
    </row>
    <row r="157" spans="1:108" ht="16.5" customHeight="1" x14ac:dyDescent="0.25">
      <c r="A157">
        <v>13</v>
      </c>
      <c r="B157">
        <v>586346</v>
      </c>
      <c r="C157">
        <v>2</v>
      </c>
      <c r="D157">
        <v>8</v>
      </c>
      <c r="E157">
        <v>4.4009999999999998</v>
      </c>
      <c r="F157">
        <v>13</v>
      </c>
      <c r="G157" t="s">
        <v>440</v>
      </c>
      <c r="I157" t="s">
        <v>384</v>
      </c>
      <c r="J157">
        <v>24</v>
      </c>
      <c r="L157">
        <v>18403187</v>
      </c>
      <c r="M157">
        <v>180810192</v>
      </c>
      <c r="N157">
        <v>3</v>
      </c>
      <c r="O157">
        <v>22</v>
      </c>
      <c r="P157">
        <v>2018</v>
      </c>
      <c r="Q157" t="s">
        <v>386</v>
      </c>
      <c r="R157">
        <v>16</v>
      </c>
      <c r="S157" t="s">
        <v>387</v>
      </c>
      <c r="T157">
        <v>5</v>
      </c>
      <c r="U157">
        <v>0</v>
      </c>
      <c r="V157">
        <v>2</v>
      </c>
      <c r="W157">
        <v>12</v>
      </c>
      <c r="X157">
        <v>10</v>
      </c>
      <c r="Y157">
        <v>10</v>
      </c>
      <c r="Z157">
        <v>1</v>
      </c>
      <c r="AA157">
        <v>1</v>
      </c>
      <c r="AC157">
        <v>1</v>
      </c>
      <c r="AD157">
        <v>98</v>
      </c>
      <c r="AE157" t="s">
        <v>388</v>
      </c>
      <c r="AG157" t="s">
        <v>389</v>
      </c>
      <c r="AH157">
        <v>7</v>
      </c>
      <c r="AI157">
        <v>2</v>
      </c>
      <c r="AJ157">
        <v>2</v>
      </c>
      <c r="AK157">
        <v>3</v>
      </c>
      <c r="AL157">
        <v>21</v>
      </c>
      <c r="AM157">
        <v>28</v>
      </c>
      <c r="AN157" t="s">
        <v>384</v>
      </c>
      <c r="AO157">
        <v>5</v>
      </c>
      <c r="AP157">
        <v>4</v>
      </c>
      <c r="AT157">
        <v>12</v>
      </c>
      <c r="AU157">
        <v>20</v>
      </c>
      <c r="AV157">
        <v>55</v>
      </c>
      <c r="AW157">
        <v>12</v>
      </c>
      <c r="AX157">
        <v>21</v>
      </c>
      <c r="AY157">
        <v>2</v>
      </c>
      <c r="AZ157">
        <v>2</v>
      </c>
      <c r="BA157">
        <v>3</v>
      </c>
      <c r="BB157">
        <v>34</v>
      </c>
      <c r="BC157">
        <v>30</v>
      </c>
      <c r="BD157" t="s">
        <v>384</v>
      </c>
      <c r="BE157">
        <v>5</v>
      </c>
      <c r="BF157">
        <v>1</v>
      </c>
      <c r="BJ157">
        <v>12</v>
      </c>
      <c r="BK157">
        <v>20</v>
      </c>
      <c r="BL157">
        <v>55</v>
      </c>
      <c r="BM157">
        <v>12</v>
      </c>
      <c r="BN157">
        <v>21</v>
      </c>
      <c r="CU157">
        <v>505361.33620000002</v>
      </c>
      <c r="CV157">
        <v>5018336.983</v>
      </c>
      <c r="CW157">
        <v>45.3185261</v>
      </c>
      <c r="CX157">
        <v>-92.931603589999995</v>
      </c>
      <c r="CY157" s="472">
        <v>43181.696527777778</v>
      </c>
      <c r="CZ157" t="s">
        <v>391</v>
      </c>
      <c r="DA157" t="s">
        <v>392</v>
      </c>
      <c r="DB157" t="s">
        <v>397</v>
      </c>
      <c r="DC157" t="s">
        <v>398</v>
      </c>
      <c r="DD157" t="s">
        <v>560</v>
      </c>
    </row>
    <row r="158" spans="1:108" ht="16.5" customHeight="1" x14ac:dyDescent="0.25">
      <c r="A158">
        <v>13</v>
      </c>
      <c r="B158">
        <v>803169</v>
      </c>
      <c r="C158">
        <v>2</v>
      </c>
      <c r="D158">
        <v>8</v>
      </c>
      <c r="E158">
        <v>4.4009999999999998</v>
      </c>
      <c r="F158">
        <v>13</v>
      </c>
      <c r="G158" t="s">
        <v>440</v>
      </c>
      <c r="I158" t="s">
        <v>384</v>
      </c>
      <c r="J158">
        <v>24</v>
      </c>
      <c r="L158">
        <v>20401994</v>
      </c>
      <c r="M158">
        <v>200690096</v>
      </c>
      <c r="N158">
        <v>3</v>
      </c>
      <c r="O158">
        <v>9</v>
      </c>
      <c r="P158">
        <v>2020</v>
      </c>
      <c r="Q158" t="s">
        <v>400</v>
      </c>
      <c r="R158">
        <v>16</v>
      </c>
      <c r="S158">
        <v>98</v>
      </c>
      <c r="T158">
        <v>5</v>
      </c>
      <c r="U158">
        <v>0</v>
      </c>
      <c r="V158">
        <v>2</v>
      </c>
      <c r="W158">
        <v>12</v>
      </c>
      <c r="X158">
        <v>10</v>
      </c>
      <c r="Y158">
        <v>3</v>
      </c>
      <c r="Z158">
        <v>1</v>
      </c>
      <c r="AA158">
        <v>2</v>
      </c>
      <c r="AC158">
        <v>1</v>
      </c>
      <c r="AD158">
        <v>98</v>
      </c>
      <c r="AE158" t="s">
        <v>561</v>
      </c>
      <c r="AG158" t="s">
        <v>389</v>
      </c>
      <c r="AH158">
        <v>7</v>
      </c>
      <c r="AI158">
        <v>2</v>
      </c>
      <c r="AJ158">
        <v>2</v>
      </c>
      <c r="AK158">
        <v>3</v>
      </c>
      <c r="AL158">
        <v>21</v>
      </c>
      <c r="AM158">
        <v>48</v>
      </c>
      <c r="AN158" t="s">
        <v>390</v>
      </c>
      <c r="AO158">
        <v>5</v>
      </c>
      <c r="AP158">
        <v>1</v>
      </c>
      <c r="AT158">
        <v>12</v>
      </c>
      <c r="AU158">
        <v>20</v>
      </c>
      <c r="AV158">
        <v>55</v>
      </c>
      <c r="AW158">
        <v>11</v>
      </c>
      <c r="AX158">
        <v>21</v>
      </c>
      <c r="AY158">
        <v>2</v>
      </c>
      <c r="AZ158">
        <v>2</v>
      </c>
      <c r="BA158">
        <v>3</v>
      </c>
      <c r="BB158">
        <v>21</v>
      </c>
      <c r="BC158">
        <v>30</v>
      </c>
      <c r="BD158" t="s">
        <v>384</v>
      </c>
      <c r="BE158">
        <v>5</v>
      </c>
      <c r="BF158">
        <v>4</v>
      </c>
      <c r="BJ158">
        <v>12</v>
      </c>
      <c r="BK158">
        <v>20</v>
      </c>
      <c r="BL158">
        <v>55</v>
      </c>
      <c r="BM158">
        <v>11</v>
      </c>
      <c r="BN158">
        <v>21</v>
      </c>
      <c r="CU158">
        <v>505361.35320000001</v>
      </c>
      <c r="CV158">
        <v>5018337.0073999995</v>
      </c>
      <c r="CW158">
        <v>45.318526319999997</v>
      </c>
      <c r="CX158">
        <v>-92.931603370000005</v>
      </c>
      <c r="CY158" s="472">
        <v>43899.668055555558</v>
      </c>
      <c r="CZ158" t="s">
        <v>391</v>
      </c>
      <c r="DA158" t="s">
        <v>392</v>
      </c>
      <c r="DB158" t="s">
        <v>397</v>
      </c>
      <c r="DC158" t="s">
        <v>398</v>
      </c>
      <c r="DD158" s="18" t="s">
        <v>562</v>
      </c>
    </row>
    <row r="159" spans="1:108" ht="16.5" customHeight="1" x14ac:dyDescent="0.25">
      <c r="A159">
        <v>13</v>
      </c>
      <c r="B159">
        <v>751662</v>
      </c>
      <c r="C159">
        <v>2</v>
      </c>
      <c r="D159">
        <v>8</v>
      </c>
      <c r="E159">
        <v>4.4059999999999997</v>
      </c>
      <c r="F159">
        <v>13</v>
      </c>
      <c r="G159" t="s">
        <v>440</v>
      </c>
      <c r="I159" t="s">
        <v>384</v>
      </c>
      <c r="J159">
        <v>24</v>
      </c>
      <c r="L159">
        <v>19004857</v>
      </c>
      <c r="M159">
        <v>192750118</v>
      </c>
      <c r="N159">
        <v>10</v>
      </c>
      <c r="O159">
        <v>2</v>
      </c>
      <c r="P159">
        <v>2019</v>
      </c>
      <c r="Q159" t="s">
        <v>396</v>
      </c>
      <c r="R159">
        <v>16</v>
      </c>
      <c r="S159" t="s">
        <v>387</v>
      </c>
      <c r="T159">
        <v>4</v>
      </c>
      <c r="U159">
        <v>0</v>
      </c>
      <c r="V159">
        <v>3</v>
      </c>
      <c r="W159">
        <v>12</v>
      </c>
      <c r="X159">
        <v>10</v>
      </c>
      <c r="Y159">
        <v>3</v>
      </c>
      <c r="Z159">
        <v>1</v>
      </c>
      <c r="AA159">
        <v>3</v>
      </c>
      <c r="AC159">
        <v>2</v>
      </c>
      <c r="AD159">
        <v>98</v>
      </c>
      <c r="AE159" t="s">
        <v>388</v>
      </c>
      <c r="AG159" t="s">
        <v>389</v>
      </c>
      <c r="AH159">
        <v>7</v>
      </c>
      <c r="AI159">
        <v>2</v>
      </c>
      <c r="AJ159">
        <v>2</v>
      </c>
      <c r="AK159">
        <v>3</v>
      </c>
      <c r="AL159">
        <v>34</v>
      </c>
      <c r="AM159">
        <v>49</v>
      </c>
      <c r="AN159" t="s">
        <v>390</v>
      </c>
      <c r="AO159">
        <v>5</v>
      </c>
      <c r="AP159">
        <v>99</v>
      </c>
      <c r="AT159">
        <v>12</v>
      </c>
      <c r="AU159">
        <v>20</v>
      </c>
      <c r="AV159">
        <v>55</v>
      </c>
      <c r="AW159">
        <v>11</v>
      </c>
      <c r="AX159">
        <v>21</v>
      </c>
      <c r="AY159">
        <v>2</v>
      </c>
      <c r="AZ159">
        <v>2</v>
      </c>
      <c r="BA159">
        <v>3</v>
      </c>
      <c r="BB159">
        <v>34</v>
      </c>
      <c r="BC159">
        <v>65</v>
      </c>
      <c r="BD159" t="s">
        <v>390</v>
      </c>
      <c r="BE159">
        <v>5</v>
      </c>
      <c r="BF159">
        <v>1</v>
      </c>
      <c r="BJ159">
        <v>12</v>
      </c>
      <c r="BK159">
        <v>20</v>
      </c>
      <c r="BL159">
        <v>55</v>
      </c>
      <c r="BM159">
        <v>11</v>
      </c>
      <c r="BN159">
        <v>21</v>
      </c>
      <c r="BO159">
        <v>2</v>
      </c>
      <c r="BP159">
        <v>2</v>
      </c>
      <c r="BQ159">
        <v>3</v>
      </c>
      <c r="BR159">
        <v>34</v>
      </c>
      <c r="BS159">
        <v>18</v>
      </c>
      <c r="BT159" t="s">
        <v>390</v>
      </c>
      <c r="BU159">
        <v>5</v>
      </c>
      <c r="BV159">
        <v>1</v>
      </c>
      <c r="BZ159">
        <v>12</v>
      </c>
      <c r="CA159">
        <v>20</v>
      </c>
      <c r="CB159">
        <v>55</v>
      </c>
      <c r="CC159">
        <v>11</v>
      </c>
      <c r="CD159">
        <v>21</v>
      </c>
      <c r="CU159">
        <v>505365.72440000001</v>
      </c>
      <c r="CV159">
        <v>5018343.2995999996</v>
      </c>
      <c r="CW159">
        <v>45.318582929999998</v>
      </c>
      <c r="CX159">
        <v>-92.931547530000003</v>
      </c>
      <c r="CY159" s="472">
        <v>43740.69027777778</v>
      </c>
      <c r="CZ159" t="s">
        <v>391</v>
      </c>
      <c r="DA159" t="s">
        <v>392</v>
      </c>
      <c r="DB159" t="s">
        <v>445</v>
      </c>
      <c r="DC159" t="s">
        <v>394</v>
      </c>
      <c r="DD159" t="s">
        <v>563</v>
      </c>
    </row>
    <row r="160" spans="1:108" ht="16.5" customHeight="1" x14ac:dyDescent="0.25">
      <c r="A160">
        <v>13</v>
      </c>
      <c r="B160">
        <v>661849</v>
      </c>
      <c r="C160">
        <v>2</v>
      </c>
      <c r="D160">
        <v>8</v>
      </c>
      <c r="E160">
        <v>4.41</v>
      </c>
      <c r="F160">
        <v>13</v>
      </c>
      <c r="G160" t="s">
        <v>440</v>
      </c>
      <c r="I160" t="s">
        <v>384</v>
      </c>
      <c r="J160">
        <v>24</v>
      </c>
      <c r="L160">
        <v>18410115</v>
      </c>
      <c r="M160">
        <v>183130600</v>
      </c>
      <c r="N160">
        <v>11</v>
      </c>
      <c r="O160">
        <v>9</v>
      </c>
      <c r="P160">
        <v>2018</v>
      </c>
      <c r="Q160" t="s">
        <v>415</v>
      </c>
      <c r="R160">
        <v>15</v>
      </c>
      <c r="S160">
        <v>98</v>
      </c>
      <c r="T160">
        <v>5</v>
      </c>
      <c r="U160">
        <v>0</v>
      </c>
      <c r="V160">
        <v>3</v>
      </c>
      <c r="W160">
        <v>11</v>
      </c>
      <c r="X160">
        <v>10</v>
      </c>
      <c r="Y160">
        <v>3</v>
      </c>
      <c r="Z160">
        <v>3</v>
      </c>
      <c r="AA160">
        <v>2</v>
      </c>
      <c r="AC160">
        <v>3</v>
      </c>
      <c r="AD160">
        <v>98</v>
      </c>
      <c r="AE160" t="s">
        <v>564</v>
      </c>
      <c r="AG160" t="s">
        <v>389</v>
      </c>
      <c r="AH160">
        <v>6</v>
      </c>
      <c r="AI160">
        <v>2</v>
      </c>
      <c r="AJ160">
        <v>2</v>
      </c>
      <c r="AK160">
        <v>4</v>
      </c>
      <c r="AL160">
        <v>26</v>
      </c>
      <c r="AM160">
        <v>25</v>
      </c>
      <c r="AN160" t="s">
        <v>384</v>
      </c>
      <c r="AO160">
        <v>5</v>
      </c>
      <c r="AP160">
        <v>1</v>
      </c>
      <c r="AT160">
        <v>12</v>
      </c>
      <c r="AU160">
        <v>20</v>
      </c>
      <c r="AV160">
        <v>55</v>
      </c>
      <c r="AW160">
        <v>11</v>
      </c>
      <c r="AX160">
        <v>21</v>
      </c>
      <c r="AY160">
        <v>2</v>
      </c>
      <c r="AZ160">
        <v>4</v>
      </c>
      <c r="BA160">
        <v>3</v>
      </c>
      <c r="BB160">
        <v>34</v>
      </c>
      <c r="BC160">
        <v>61</v>
      </c>
      <c r="BD160" t="s">
        <v>384</v>
      </c>
      <c r="BE160">
        <v>5</v>
      </c>
      <c r="BF160">
        <v>1</v>
      </c>
      <c r="BJ160">
        <v>12</v>
      </c>
      <c r="BK160">
        <v>20</v>
      </c>
      <c r="BL160">
        <v>55</v>
      </c>
      <c r="BM160">
        <v>11</v>
      </c>
      <c r="BN160">
        <v>21</v>
      </c>
      <c r="BO160">
        <v>1</v>
      </c>
      <c r="BQ160">
        <v>4</v>
      </c>
      <c r="BR160">
        <v>21</v>
      </c>
      <c r="BZ160">
        <v>12</v>
      </c>
      <c r="CA160">
        <v>20</v>
      </c>
      <c r="CB160">
        <v>55</v>
      </c>
      <c r="CC160">
        <v>11</v>
      </c>
      <c r="CD160">
        <v>21</v>
      </c>
      <c r="CU160">
        <v>505369.27069999999</v>
      </c>
      <c r="CV160">
        <v>5018348.4041999998</v>
      </c>
      <c r="CW160">
        <v>45.318628850000003</v>
      </c>
      <c r="CX160">
        <v>-92.931502230000007</v>
      </c>
      <c r="CY160" s="472">
        <v>43413.663888888892</v>
      </c>
      <c r="CZ160" t="s">
        <v>391</v>
      </c>
      <c r="DA160" t="s">
        <v>392</v>
      </c>
      <c r="DB160" t="s">
        <v>397</v>
      </c>
      <c r="DC160" t="s">
        <v>398</v>
      </c>
      <c r="DD160" s="18" t="s">
        <v>565</v>
      </c>
    </row>
    <row r="161" spans="1:108" ht="16.5" customHeight="1" x14ac:dyDescent="0.25">
      <c r="CY161" s="472"/>
      <c r="DD161" s="18"/>
    </row>
    <row r="162" spans="1:108" ht="16.5" customHeight="1" x14ac:dyDescent="0.25">
      <c r="A162">
        <v>13</v>
      </c>
      <c r="B162">
        <v>917425</v>
      </c>
      <c r="C162">
        <v>2</v>
      </c>
      <c r="D162">
        <v>8</v>
      </c>
      <c r="E162">
        <v>4.4109999999999996</v>
      </c>
      <c r="F162">
        <v>13</v>
      </c>
      <c r="G162" t="s">
        <v>440</v>
      </c>
      <c r="I162" t="s">
        <v>384</v>
      </c>
      <c r="J162">
        <v>24</v>
      </c>
      <c r="L162">
        <v>21404238</v>
      </c>
      <c r="M162">
        <v>211910128</v>
      </c>
      <c r="N162">
        <v>7</v>
      </c>
      <c r="O162">
        <v>10</v>
      </c>
      <c r="P162">
        <v>2021</v>
      </c>
      <c r="Q162" t="s">
        <v>405</v>
      </c>
      <c r="R162">
        <v>15</v>
      </c>
      <c r="S162" t="s">
        <v>387</v>
      </c>
      <c r="T162">
        <v>5</v>
      </c>
      <c r="U162">
        <v>0</v>
      </c>
      <c r="V162">
        <v>2</v>
      </c>
      <c r="W162">
        <v>12</v>
      </c>
      <c r="X162">
        <v>10</v>
      </c>
      <c r="Y162">
        <v>2</v>
      </c>
      <c r="Z162">
        <v>1</v>
      </c>
      <c r="AA162">
        <v>1</v>
      </c>
      <c r="AC162">
        <v>1</v>
      </c>
      <c r="AD162">
        <v>98</v>
      </c>
      <c r="AE162" t="s">
        <v>388</v>
      </c>
      <c r="AG162" t="s">
        <v>389</v>
      </c>
      <c r="AH162">
        <v>7</v>
      </c>
      <c r="AI162">
        <v>2</v>
      </c>
      <c r="AJ162">
        <v>5</v>
      </c>
      <c r="AK162">
        <v>3</v>
      </c>
      <c r="AL162">
        <v>21</v>
      </c>
      <c r="AM162">
        <v>79</v>
      </c>
      <c r="AN162" t="s">
        <v>384</v>
      </c>
      <c r="AO162">
        <v>5</v>
      </c>
      <c r="AP162">
        <v>99</v>
      </c>
      <c r="AT162">
        <v>12</v>
      </c>
      <c r="AU162">
        <v>20</v>
      </c>
      <c r="AV162">
        <v>55</v>
      </c>
      <c r="AW162">
        <v>12</v>
      </c>
      <c r="AX162">
        <v>21</v>
      </c>
      <c r="AY162">
        <v>2</v>
      </c>
      <c r="AZ162">
        <v>4</v>
      </c>
      <c r="BA162">
        <v>3</v>
      </c>
      <c r="BB162">
        <v>21</v>
      </c>
      <c r="BC162">
        <v>31</v>
      </c>
      <c r="BD162" t="s">
        <v>390</v>
      </c>
      <c r="BE162">
        <v>5</v>
      </c>
      <c r="BF162">
        <v>1</v>
      </c>
      <c r="BJ162">
        <v>12</v>
      </c>
      <c r="BK162">
        <v>20</v>
      </c>
      <c r="BL162">
        <v>55</v>
      </c>
      <c r="BM162">
        <v>12</v>
      </c>
      <c r="BN162">
        <v>21</v>
      </c>
      <c r="CU162">
        <v>505370.81969999999</v>
      </c>
      <c r="CV162">
        <v>5018350.6339999996</v>
      </c>
      <c r="CW162">
        <v>45.31864891</v>
      </c>
      <c r="CX162">
        <v>-92.931482439999996</v>
      </c>
      <c r="CY162" s="472">
        <v>44387.640277777777</v>
      </c>
      <c r="CZ162" t="s">
        <v>391</v>
      </c>
      <c r="DA162" t="s">
        <v>392</v>
      </c>
      <c r="DB162" t="s">
        <v>397</v>
      </c>
      <c r="DC162" t="s">
        <v>398</v>
      </c>
      <c r="DD162" t="s">
        <v>566</v>
      </c>
    </row>
    <row r="163" spans="1:108" ht="16.5" customHeight="1" x14ac:dyDescent="0.25">
      <c r="CY163" s="472"/>
    </row>
    <row r="164" spans="1:108" ht="16.5" customHeight="1" x14ac:dyDescent="0.25">
      <c r="A164">
        <v>13</v>
      </c>
      <c r="B164">
        <v>807428</v>
      </c>
      <c r="C164">
        <v>2</v>
      </c>
      <c r="D164">
        <v>8</v>
      </c>
      <c r="E164">
        <v>4.4139999999999997</v>
      </c>
      <c r="F164">
        <v>13</v>
      </c>
      <c r="G164" t="s">
        <v>440</v>
      </c>
      <c r="I164" t="s">
        <v>384</v>
      </c>
      <c r="J164">
        <v>24</v>
      </c>
      <c r="L164">
        <v>20402568</v>
      </c>
      <c r="M164">
        <v>201080083</v>
      </c>
      <c r="N164">
        <v>4</v>
      </c>
      <c r="O164">
        <v>17</v>
      </c>
      <c r="P164">
        <v>2020</v>
      </c>
      <c r="Q164" t="s">
        <v>415</v>
      </c>
      <c r="R164">
        <v>12</v>
      </c>
      <c r="S164">
        <v>98</v>
      </c>
      <c r="T164">
        <v>3</v>
      </c>
      <c r="U164">
        <v>0</v>
      </c>
      <c r="V164">
        <v>2</v>
      </c>
      <c r="W164">
        <v>5</v>
      </c>
      <c r="X164">
        <v>10</v>
      </c>
      <c r="Y164">
        <v>10</v>
      </c>
      <c r="Z164">
        <v>1</v>
      </c>
      <c r="AA164">
        <v>1</v>
      </c>
      <c r="AC164">
        <v>1</v>
      </c>
      <c r="AD164">
        <v>98</v>
      </c>
      <c r="AE164" t="s">
        <v>388</v>
      </c>
      <c r="AG164" t="s">
        <v>389</v>
      </c>
      <c r="AH164">
        <v>10</v>
      </c>
      <c r="AI164">
        <v>2</v>
      </c>
      <c r="AJ164">
        <v>2</v>
      </c>
      <c r="AK164">
        <v>3</v>
      </c>
      <c r="AL164">
        <v>21</v>
      </c>
      <c r="AM164">
        <v>29</v>
      </c>
      <c r="AN164" t="s">
        <v>390</v>
      </c>
      <c r="AO164">
        <v>5</v>
      </c>
      <c r="AP164">
        <v>63</v>
      </c>
      <c r="AQ164">
        <v>74</v>
      </c>
      <c r="AT164">
        <v>13</v>
      </c>
      <c r="AU164">
        <v>20</v>
      </c>
      <c r="AV164">
        <v>55</v>
      </c>
      <c r="AW164">
        <v>11</v>
      </c>
      <c r="AX164">
        <v>21</v>
      </c>
      <c r="AY164">
        <v>2</v>
      </c>
      <c r="AZ164">
        <v>6</v>
      </c>
      <c r="BA164">
        <v>1</v>
      </c>
      <c r="BB164">
        <v>26</v>
      </c>
      <c r="BC164">
        <v>46</v>
      </c>
      <c r="BD164" t="s">
        <v>384</v>
      </c>
      <c r="BE164">
        <v>5</v>
      </c>
      <c r="BF164">
        <v>1</v>
      </c>
      <c r="BJ164">
        <v>12</v>
      </c>
      <c r="BK164">
        <v>20</v>
      </c>
      <c r="BL164">
        <v>55</v>
      </c>
      <c r="BM164">
        <v>11</v>
      </c>
      <c r="BN164">
        <v>21</v>
      </c>
      <c r="CU164">
        <v>505373.32199999999</v>
      </c>
      <c r="CV164">
        <v>5018354.2358999997</v>
      </c>
      <c r="CW164">
        <v>45.318681310000002</v>
      </c>
      <c r="CX164">
        <v>-92.931450479999995</v>
      </c>
      <c r="CY164" s="472">
        <v>43938.53402777778</v>
      </c>
      <c r="CZ164" t="s">
        <v>391</v>
      </c>
      <c r="DA164" t="s">
        <v>392</v>
      </c>
      <c r="DB164" t="s">
        <v>397</v>
      </c>
      <c r="DC164" t="s">
        <v>398</v>
      </c>
      <c r="DD164" s="18" t="s">
        <v>567</v>
      </c>
    </row>
    <row r="165" spans="1:108" ht="16.5" customHeight="1" x14ac:dyDescent="0.25">
      <c r="CY165" s="472"/>
      <c r="DD165" s="18"/>
    </row>
    <row r="166" spans="1:108" ht="16.5" customHeight="1" x14ac:dyDescent="0.25">
      <c r="A166">
        <v>13</v>
      </c>
      <c r="B166">
        <v>785998</v>
      </c>
      <c r="C166">
        <v>2</v>
      </c>
      <c r="D166">
        <v>8</v>
      </c>
      <c r="E166">
        <v>4.4160000000000004</v>
      </c>
      <c r="F166">
        <v>13</v>
      </c>
      <c r="G166" t="s">
        <v>440</v>
      </c>
      <c r="I166" t="s">
        <v>384</v>
      </c>
      <c r="J166">
        <v>24</v>
      </c>
      <c r="L166">
        <v>20401095</v>
      </c>
      <c r="M166">
        <v>200370172</v>
      </c>
      <c r="N166">
        <v>2</v>
      </c>
      <c r="O166">
        <v>6</v>
      </c>
      <c r="P166">
        <v>2020</v>
      </c>
      <c r="Q166" t="s">
        <v>386</v>
      </c>
      <c r="R166">
        <v>14</v>
      </c>
      <c r="S166" t="s">
        <v>420</v>
      </c>
      <c r="T166">
        <v>5</v>
      </c>
      <c r="U166">
        <v>0</v>
      </c>
      <c r="V166">
        <v>2</v>
      </c>
      <c r="W166">
        <v>12</v>
      </c>
      <c r="X166">
        <v>10</v>
      </c>
      <c r="Y166">
        <v>3</v>
      </c>
      <c r="Z166">
        <v>1</v>
      </c>
      <c r="AA166">
        <v>1</v>
      </c>
      <c r="AC166">
        <v>1</v>
      </c>
      <c r="AD166">
        <v>98</v>
      </c>
      <c r="AE166" t="s">
        <v>388</v>
      </c>
      <c r="AG166" t="s">
        <v>389</v>
      </c>
      <c r="AH166">
        <v>7</v>
      </c>
      <c r="AI166">
        <v>2</v>
      </c>
      <c r="AJ166">
        <v>4</v>
      </c>
      <c r="AK166">
        <v>4</v>
      </c>
      <c r="AL166">
        <v>26</v>
      </c>
      <c r="AM166">
        <v>34</v>
      </c>
      <c r="AN166" t="s">
        <v>390</v>
      </c>
      <c r="AO166">
        <v>5</v>
      </c>
      <c r="AP166">
        <v>1</v>
      </c>
      <c r="AT166">
        <v>13</v>
      </c>
      <c r="AU166">
        <v>20</v>
      </c>
      <c r="AV166">
        <v>55</v>
      </c>
      <c r="AW166">
        <v>11</v>
      </c>
      <c r="AX166">
        <v>21</v>
      </c>
      <c r="AY166">
        <v>2</v>
      </c>
      <c r="AZ166">
        <v>2</v>
      </c>
      <c r="BA166">
        <v>4</v>
      </c>
      <c r="BB166">
        <v>21</v>
      </c>
      <c r="BC166">
        <v>46</v>
      </c>
      <c r="BD166" t="s">
        <v>384</v>
      </c>
      <c r="BE166">
        <v>5</v>
      </c>
      <c r="BF166">
        <v>70</v>
      </c>
      <c r="BG166">
        <v>74</v>
      </c>
      <c r="BJ166">
        <v>13</v>
      </c>
      <c r="BK166">
        <v>20</v>
      </c>
      <c r="BL166">
        <v>55</v>
      </c>
      <c r="BM166">
        <v>11</v>
      </c>
      <c r="BN166">
        <v>21</v>
      </c>
      <c r="CU166">
        <v>505375.00060000003</v>
      </c>
      <c r="CV166">
        <v>5018356.6520999996</v>
      </c>
      <c r="CW166">
        <v>45.318703050000003</v>
      </c>
      <c r="CX166">
        <v>-92.931429039999998</v>
      </c>
      <c r="CY166" s="472">
        <v>43867.597916666666</v>
      </c>
      <c r="CZ166" t="s">
        <v>391</v>
      </c>
      <c r="DA166" t="s">
        <v>392</v>
      </c>
      <c r="DB166" t="s">
        <v>397</v>
      </c>
      <c r="DC166" t="s">
        <v>398</v>
      </c>
      <c r="DD166" s="18" t="s">
        <v>568</v>
      </c>
    </row>
    <row r="167" spans="1:108" ht="16.5" customHeight="1" x14ac:dyDescent="0.25">
      <c r="A167">
        <v>13</v>
      </c>
      <c r="B167">
        <v>607927</v>
      </c>
      <c r="C167">
        <v>2</v>
      </c>
      <c r="D167">
        <v>8</v>
      </c>
      <c r="E167">
        <v>4.4169999999999998</v>
      </c>
      <c r="F167">
        <v>13</v>
      </c>
      <c r="G167" t="s">
        <v>440</v>
      </c>
      <c r="I167" t="s">
        <v>384</v>
      </c>
      <c r="J167">
        <v>24</v>
      </c>
      <c r="L167">
        <v>18406143</v>
      </c>
      <c r="M167">
        <v>181790260</v>
      </c>
      <c r="N167">
        <v>6</v>
      </c>
      <c r="O167">
        <v>28</v>
      </c>
      <c r="P167">
        <v>2018</v>
      </c>
      <c r="Q167" t="s">
        <v>386</v>
      </c>
      <c r="R167">
        <v>22</v>
      </c>
      <c r="S167" t="s">
        <v>420</v>
      </c>
      <c r="T167">
        <v>3</v>
      </c>
      <c r="U167">
        <v>0</v>
      </c>
      <c r="V167">
        <v>2</v>
      </c>
      <c r="W167">
        <v>12</v>
      </c>
      <c r="X167">
        <v>10</v>
      </c>
      <c r="Y167">
        <v>10</v>
      </c>
      <c r="Z167">
        <v>4</v>
      </c>
      <c r="AA167">
        <v>1</v>
      </c>
      <c r="AC167">
        <v>1</v>
      </c>
      <c r="AD167">
        <v>90</v>
      </c>
      <c r="AE167" t="s">
        <v>388</v>
      </c>
      <c r="AG167" t="s">
        <v>389</v>
      </c>
      <c r="AH167">
        <v>7</v>
      </c>
      <c r="AI167">
        <v>2</v>
      </c>
      <c r="AJ167">
        <v>2</v>
      </c>
      <c r="AK167">
        <v>4</v>
      </c>
      <c r="AL167">
        <v>26</v>
      </c>
      <c r="AM167">
        <v>43</v>
      </c>
      <c r="AN167" t="s">
        <v>390</v>
      </c>
      <c r="AO167">
        <v>5</v>
      </c>
      <c r="AP167">
        <v>1</v>
      </c>
      <c r="AT167">
        <v>12</v>
      </c>
      <c r="AU167">
        <v>20</v>
      </c>
      <c r="AV167">
        <v>55</v>
      </c>
      <c r="AW167">
        <v>11</v>
      </c>
      <c r="AX167">
        <v>21</v>
      </c>
      <c r="AY167">
        <v>2</v>
      </c>
      <c r="AZ167">
        <v>2</v>
      </c>
      <c r="BA167">
        <v>4</v>
      </c>
      <c r="BB167">
        <v>26</v>
      </c>
      <c r="BC167">
        <v>30</v>
      </c>
      <c r="BD167" t="s">
        <v>384</v>
      </c>
      <c r="BE167">
        <v>5</v>
      </c>
      <c r="BF167">
        <v>4</v>
      </c>
      <c r="BJ167">
        <v>12</v>
      </c>
      <c r="BK167">
        <v>20</v>
      </c>
      <c r="BL167">
        <v>55</v>
      </c>
      <c r="BM167">
        <v>11</v>
      </c>
      <c r="BN167">
        <v>21</v>
      </c>
      <c r="CU167">
        <v>505375.99400000001</v>
      </c>
      <c r="CV167">
        <v>5018358.0820000004</v>
      </c>
      <c r="CW167">
        <v>45.318715910000002</v>
      </c>
      <c r="CX167">
        <v>-92.931416339999998</v>
      </c>
      <c r="CY167" s="472">
        <v>43279.918055555558</v>
      </c>
      <c r="CZ167" t="s">
        <v>391</v>
      </c>
      <c r="DA167" t="s">
        <v>392</v>
      </c>
      <c r="DB167" t="s">
        <v>397</v>
      </c>
      <c r="DC167" t="s">
        <v>398</v>
      </c>
      <c r="DD167" s="18" t="s">
        <v>569</v>
      </c>
    </row>
    <row r="168" spans="1:108" ht="16.5" customHeight="1" x14ac:dyDescent="0.25">
      <c r="A168">
        <v>13</v>
      </c>
      <c r="B168">
        <v>891437</v>
      </c>
      <c r="C168">
        <v>2</v>
      </c>
      <c r="D168">
        <v>8</v>
      </c>
      <c r="E168">
        <v>4.4169999999999998</v>
      </c>
      <c r="F168">
        <v>13</v>
      </c>
      <c r="G168" t="s">
        <v>440</v>
      </c>
      <c r="I168" t="s">
        <v>384</v>
      </c>
      <c r="J168">
        <v>24</v>
      </c>
      <c r="L168">
        <v>21401231</v>
      </c>
      <c r="M168">
        <v>210490150</v>
      </c>
      <c r="N168">
        <v>2</v>
      </c>
      <c r="O168">
        <v>18</v>
      </c>
      <c r="P168">
        <v>2021</v>
      </c>
      <c r="Q168" t="s">
        <v>386</v>
      </c>
      <c r="R168">
        <v>12</v>
      </c>
      <c r="T168">
        <v>5</v>
      </c>
      <c r="U168">
        <v>0</v>
      </c>
      <c r="V168">
        <v>2</v>
      </c>
      <c r="W168">
        <v>5</v>
      </c>
      <c r="X168">
        <v>10</v>
      </c>
      <c r="Y168">
        <v>3</v>
      </c>
      <c r="Z168">
        <v>1</v>
      </c>
      <c r="AA168">
        <v>2</v>
      </c>
      <c r="AC168">
        <v>1</v>
      </c>
      <c r="AD168">
        <v>98</v>
      </c>
      <c r="AE168" t="s">
        <v>388</v>
      </c>
      <c r="AG168" t="s">
        <v>389</v>
      </c>
      <c r="AH168">
        <v>10</v>
      </c>
      <c r="AI168">
        <v>2</v>
      </c>
      <c r="AJ168">
        <v>4</v>
      </c>
      <c r="AK168">
        <v>4</v>
      </c>
      <c r="AL168">
        <v>24</v>
      </c>
      <c r="AM168">
        <v>32</v>
      </c>
      <c r="AN168" t="s">
        <v>390</v>
      </c>
      <c r="AO168">
        <v>5</v>
      </c>
      <c r="AP168">
        <v>1</v>
      </c>
      <c r="AT168">
        <v>12</v>
      </c>
      <c r="AU168">
        <v>20</v>
      </c>
      <c r="AW168">
        <v>11</v>
      </c>
      <c r="AX168">
        <v>21</v>
      </c>
      <c r="AY168">
        <v>2</v>
      </c>
      <c r="AZ168">
        <v>49</v>
      </c>
      <c r="BA168">
        <v>1</v>
      </c>
      <c r="BB168">
        <v>21</v>
      </c>
      <c r="BC168">
        <v>41</v>
      </c>
      <c r="BD168" t="s">
        <v>384</v>
      </c>
      <c r="BE168">
        <v>5</v>
      </c>
      <c r="BF168">
        <v>63</v>
      </c>
      <c r="BJ168">
        <v>12</v>
      </c>
      <c r="BK168">
        <v>20</v>
      </c>
      <c r="BL168">
        <v>55</v>
      </c>
      <c r="BM168">
        <v>11</v>
      </c>
      <c r="BN168">
        <v>21</v>
      </c>
      <c r="CU168">
        <v>505375.99099999998</v>
      </c>
      <c r="CV168">
        <v>5018358.0778000001</v>
      </c>
      <c r="CW168">
        <v>45.318715869999998</v>
      </c>
      <c r="CX168">
        <v>-92.931416380000002</v>
      </c>
      <c r="CY168" s="472">
        <v>44245.5</v>
      </c>
      <c r="CZ168" t="s">
        <v>391</v>
      </c>
      <c r="DA168" t="s">
        <v>392</v>
      </c>
      <c r="DB168" t="s">
        <v>397</v>
      </c>
      <c r="DC168" t="s">
        <v>398</v>
      </c>
      <c r="DD168" t="s">
        <v>570</v>
      </c>
    </row>
    <row r="169" spans="1:108" ht="16.5" customHeight="1" x14ac:dyDescent="0.25">
      <c r="CY169" s="472"/>
    </row>
    <row r="170" spans="1:108" ht="16.5" customHeight="1" x14ac:dyDescent="0.25">
      <c r="CY170" s="472"/>
      <c r="DD170" s="18"/>
    </row>
    <row r="171" spans="1:108" ht="16.5" customHeight="1" x14ac:dyDescent="0.25">
      <c r="A171">
        <v>13</v>
      </c>
      <c r="B171">
        <v>589154</v>
      </c>
      <c r="C171">
        <v>2</v>
      </c>
      <c r="D171">
        <v>8</v>
      </c>
      <c r="E171">
        <v>4.423</v>
      </c>
      <c r="F171">
        <v>13</v>
      </c>
      <c r="G171" t="s">
        <v>440</v>
      </c>
      <c r="I171" t="s">
        <v>384</v>
      </c>
      <c r="J171">
        <v>24</v>
      </c>
      <c r="L171">
        <v>18001184</v>
      </c>
      <c r="M171">
        <v>180810197</v>
      </c>
      <c r="N171">
        <v>3</v>
      </c>
      <c r="O171">
        <v>22</v>
      </c>
      <c r="P171">
        <v>2018</v>
      </c>
      <c r="Q171" t="s">
        <v>386</v>
      </c>
      <c r="R171">
        <v>15</v>
      </c>
      <c r="T171">
        <v>5</v>
      </c>
      <c r="U171">
        <v>0</v>
      </c>
      <c r="V171">
        <v>2</v>
      </c>
      <c r="W171">
        <v>5</v>
      </c>
      <c r="X171">
        <v>10</v>
      </c>
      <c r="Y171">
        <v>3</v>
      </c>
      <c r="Z171">
        <v>1</v>
      </c>
      <c r="AA171">
        <v>1</v>
      </c>
      <c r="AC171">
        <v>1</v>
      </c>
      <c r="AD171">
        <v>98</v>
      </c>
      <c r="AE171" t="s">
        <v>388</v>
      </c>
      <c r="AF171" t="s">
        <v>449</v>
      </c>
      <c r="AG171" t="s">
        <v>389</v>
      </c>
      <c r="AH171">
        <v>9</v>
      </c>
      <c r="AI171">
        <v>2</v>
      </c>
      <c r="AJ171">
        <v>4</v>
      </c>
      <c r="AK171">
        <v>1</v>
      </c>
      <c r="AL171">
        <v>23</v>
      </c>
      <c r="AM171">
        <v>66</v>
      </c>
      <c r="AN171" t="s">
        <v>390</v>
      </c>
      <c r="AO171">
        <v>5</v>
      </c>
      <c r="AP171">
        <v>65</v>
      </c>
      <c r="AQ171">
        <v>2</v>
      </c>
      <c r="AT171">
        <v>13</v>
      </c>
      <c r="AU171">
        <v>20</v>
      </c>
      <c r="AW171">
        <v>11</v>
      </c>
      <c r="AX171">
        <v>21</v>
      </c>
      <c r="AY171">
        <v>2</v>
      </c>
      <c r="AZ171">
        <v>2</v>
      </c>
      <c r="BA171">
        <v>2</v>
      </c>
      <c r="BB171">
        <v>24</v>
      </c>
      <c r="BC171">
        <v>16</v>
      </c>
      <c r="BD171" t="s">
        <v>384</v>
      </c>
      <c r="BE171">
        <v>5</v>
      </c>
      <c r="BF171">
        <v>1</v>
      </c>
      <c r="BJ171">
        <v>13</v>
      </c>
      <c r="BK171">
        <v>20</v>
      </c>
      <c r="BL171">
        <v>55</v>
      </c>
      <c r="BM171">
        <v>11</v>
      </c>
      <c r="BN171">
        <v>21</v>
      </c>
      <c r="CU171">
        <v>505381.37790000002</v>
      </c>
      <c r="CV171">
        <v>5018365.8320000004</v>
      </c>
      <c r="CW171">
        <v>45.318785630000001</v>
      </c>
      <c r="CX171">
        <v>-92.93134757</v>
      </c>
      <c r="CY171" s="472">
        <v>43181.651388888888</v>
      </c>
      <c r="CZ171" t="s">
        <v>391</v>
      </c>
      <c r="DA171" t="s">
        <v>392</v>
      </c>
      <c r="DB171" t="s">
        <v>445</v>
      </c>
      <c r="DC171" t="s">
        <v>394</v>
      </c>
      <c r="DD171" s="18" t="s">
        <v>571</v>
      </c>
    </row>
    <row r="172" spans="1:108" ht="16.5" customHeight="1" x14ac:dyDescent="0.25">
      <c r="CY172" s="472"/>
      <c r="DD172" s="18"/>
    </row>
    <row r="173" spans="1:108" ht="16.5" customHeight="1" x14ac:dyDescent="0.25">
      <c r="A173">
        <v>14</v>
      </c>
      <c r="B173">
        <v>969755</v>
      </c>
      <c r="C173">
        <v>2</v>
      </c>
      <c r="D173">
        <v>8</v>
      </c>
      <c r="E173">
        <v>4.4349999999999996</v>
      </c>
      <c r="F173">
        <v>13</v>
      </c>
      <c r="G173">
        <v>663797</v>
      </c>
      <c r="J173">
        <v>24</v>
      </c>
      <c r="L173">
        <v>21406914</v>
      </c>
      <c r="M173">
        <v>213010080</v>
      </c>
      <c r="N173">
        <v>10</v>
      </c>
      <c r="O173">
        <v>28</v>
      </c>
      <c r="P173">
        <v>2021</v>
      </c>
      <c r="Q173" t="s">
        <v>386</v>
      </c>
      <c r="R173">
        <v>12</v>
      </c>
      <c r="T173">
        <v>1</v>
      </c>
      <c r="U173">
        <v>1</v>
      </c>
      <c r="V173">
        <v>1</v>
      </c>
      <c r="W173">
        <v>5</v>
      </c>
      <c r="X173">
        <v>10</v>
      </c>
      <c r="Y173">
        <v>3</v>
      </c>
      <c r="Z173">
        <v>1</v>
      </c>
      <c r="AA173">
        <v>2</v>
      </c>
      <c r="AB173">
        <v>3</v>
      </c>
      <c r="AC173">
        <v>2</v>
      </c>
      <c r="AD173">
        <v>98</v>
      </c>
      <c r="AE173" t="s">
        <v>388</v>
      </c>
      <c r="AF173">
        <v>23</v>
      </c>
      <c r="AG173" t="s">
        <v>389</v>
      </c>
      <c r="AH173">
        <v>2</v>
      </c>
      <c r="AI173">
        <v>2</v>
      </c>
      <c r="AJ173">
        <v>2</v>
      </c>
      <c r="AK173">
        <v>3</v>
      </c>
      <c r="AL173">
        <v>23</v>
      </c>
      <c r="AM173">
        <v>23</v>
      </c>
      <c r="AN173" t="s">
        <v>390</v>
      </c>
      <c r="AO173">
        <v>5</v>
      </c>
      <c r="AP173">
        <v>1</v>
      </c>
      <c r="AT173">
        <v>12</v>
      </c>
      <c r="AU173">
        <v>20</v>
      </c>
      <c r="AV173">
        <v>55</v>
      </c>
      <c r="AW173">
        <v>11</v>
      </c>
      <c r="AX173">
        <v>21</v>
      </c>
      <c r="AY173">
        <v>6</v>
      </c>
      <c r="BC173">
        <v>70</v>
      </c>
      <c r="BD173" t="s">
        <v>390</v>
      </c>
      <c r="BE173">
        <v>5</v>
      </c>
      <c r="BF173">
        <v>99</v>
      </c>
      <c r="BH173">
        <v>32</v>
      </c>
      <c r="BI173">
        <v>1</v>
      </c>
      <c r="CU173">
        <v>505397.51926171</v>
      </c>
      <c r="CV173">
        <v>5018377.7072220799</v>
      </c>
      <c r="CW173">
        <v>45.318884330000003</v>
      </c>
      <c r="CX173">
        <v>-92.931133790000004</v>
      </c>
      <c r="CY173" s="472">
        <v>44497.522916666669</v>
      </c>
      <c r="CZ173" t="s">
        <v>391</v>
      </c>
      <c r="DA173" t="s">
        <v>392</v>
      </c>
      <c r="DB173" t="s">
        <v>397</v>
      </c>
      <c r="DC173" t="s">
        <v>398</v>
      </c>
      <c r="DD173" s="18" t="s">
        <v>572</v>
      </c>
    </row>
    <row r="174" spans="1:108" ht="16.5" customHeight="1" x14ac:dyDescent="0.25">
      <c r="A174">
        <v>14</v>
      </c>
      <c r="B174">
        <v>895496</v>
      </c>
      <c r="C174">
        <v>2</v>
      </c>
      <c r="D174">
        <v>8</v>
      </c>
      <c r="E174">
        <v>4.4400000000000004</v>
      </c>
      <c r="F174">
        <v>13</v>
      </c>
      <c r="G174" t="s">
        <v>440</v>
      </c>
      <c r="I174" t="s">
        <v>384</v>
      </c>
      <c r="J174">
        <v>24</v>
      </c>
      <c r="L174">
        <v>21401637</v>
      </c>
      <c r="M174">
        <v>210710125</v>
      </c>
      <c r="N174">
        <v>3</v>
      </c>
      <c r="O174">
        <v>12</v>
      </c>
      <c r="P174">
        <v>2021</v>
      </c>
      <c r="Q174" t="s">
        <v>415</v>
      </c>
      <c r="R174">
        <v>9</v>
      </c>
      <c r="S174">
        <v>98</v>
      </c>
      <c r="T174">
        <v>5</v>
      </c>
      <c r="U174">
        <v>0</v>
      </c>
      <c r="V174">
        <v>2</v>
      </c>
      <c r="W174">
        <v>13</v>
      </c>
      <c r="X174">
        <v>10</v>
      </c>
      <c r="Y174">
        <v>3</v>
      </c>
      <c r="Z174">
        <v>1</v>
      </c>
      <c r="AA174">
        <v>1</v>
      </c>
      <c r="AC174">
        <v>1</v>
      </c>
      <c r="AD174">
        <v>98</v>
      </c>
      <c r="AE174" t="s">
        <v>412</v>
      </c>
      <c r="AG174" t="s">
        <v>389</v>
      </c>
      <c r="AH174">
        <v>8</v>
      </c>
      <c r="AI174">
        <v>2</v>
      </c>
      <c r="AJ174">
        <v>3</v>
      </c>
      <c r="AK174">
        <v>2</v>
      </c>
      <c r="AL174">
        <v>21</v>
      </c>
      <c r="AM174">
        <v>38</v>
      </c>
      <c r="AN174" t="s">
        <v>384</v>
      </c>
      <c r="AO174">
        <v>5</v>
      </c>
      <c r="AP174">
        <v>1</v>
      </c>
      <c r="AT174">
        <v>12</v>
      </c>
      <c r="AU174">
        <v>20</v>
      </c>
      <c r="AV174">
        <v>40</v>
      </c>
      <c r="AW174">
        <v>11</v>
      </c>
      <c r="AX174">
        <v>23</v>
      </c>
      <c r="AY174">
        <v>2</v>
      </c>
      <c r="AZ174">
        <v>4</v>
      </c>
      <c r="BA174">
        <v>1</v>
      </c>
      <c r="BB174">
        <v>24</v>
      </c>
      <c r="BC174">
        <v>23</v>
      </c>
      <c r="BD174" t="s">
        <v>390</v>
      </c>
      <c r="BE174">
        <v>5</v>
      </c>
      <c r="BF174">
        <v>2</v>
      </c>
      <c r="BJ174">
        <v>12</v>
      </c>
      <c r="BK174">
        <v>20</v>
      </c>
      <c r="BL174">
        <v>40</v>
      </c>
      <c r="BM174">
        <v>11</v>
      </c>
      <c r="BN174">
        <v>24</v>
      </c>
      <c r="CU174">
        <v>505396.80430000002</v>
      </c>
      <c r="CV174">
        <v>5018388.0345000001</v>
      </c>
      <c r="CW174">
        <v>45.31898537</v>
      </c>
      <c r="CX174">
        <v>-92.931150500000001</v>
      </c>
      <c r="CY174" s="472">
        <v>44267.393750000003</v>
      </c>
      <c r="CZ174" t="s">
        <v>391</v>
      </c>
      <c r="DA174" t="s">
        <v>392</v>
      </c>
      <c r="DB174" t="s">
        <v>397</v>
      </c>
      <c r="DC174" t="s">
        <v>398</v>
      </c>
      <c r="DD174" t="s">
        <v>573</v>
      </c>
    </row>
    <row r="175" spans="1:108" ht="16.5" customHeight="1" x14ac:dyDescent="0.25">
      <c r="A175">
        <v>14</v>
      </c>
      <c r="B175">
        <v>564095</v>
      </c>
      <c r="C175">
        <v>2</v>
      </c>
      <c r="D175">
        <v>8</v>
      </c>
      <c r="E175">
        <v>4.5090000000000003</v>
      </c>
      <c r="F175">
        <v>13</v>
      </c>
      <c r="G175" t="s">
        <v>440</v>
      </c>
      <c r="I175" t="s">
        <v>384</v>
      </c>
      <c r="J175">
        <v>24</v>
      </c>
      <c r="L175">
        <v>18401758</v>
      </c>
      <c r="M175">
        <v>180380285</v>
      </c>
      <c r="N175">
        <v>2</v>
      </c>
      <c r="O175">
        <v>7</v>
      </c>
      <c r="P175">
        <v>2018</v>
      </c>
      <c r="Q175" t="s">
        <v>396</v>
      </c>
      <c r="R175">
        <v>9</v>
      </c>
      <c r="S175">
        <v>98</v>
      </c>
      <c r="T175">
        <v>5</v>
      </c>
      <c r="U175">
        <v>0</v>
      </c>
      <c r="V175">
        <v>1</v>
      </c>
      <c r="X175">
        <v>83</v>
      </c>
      <c r="Y175">
        <v>2</v>
      </c>
      <c r="Z175">
        <v>1</v>
      </c>
      <c r="AA175">
        <v>1</v>
      </c>
      <c r="AC175">
        <v>5</v>
      </c>
      <c r="AD175">
        <v>98</v>
      </c>
      <c r="AE175" t="s">
        <v>412</v>
      </c>
      <c r="AG175" t="s">
        <v>389</v>
      </c>
      <c r="AH175">
        <v>3</v>
      </c>
      <c r="AI175">
        <v>2</v>
      </c>
      <c r="AJ175">
        <v>4</v>
      </c>
      <c r="AK175">
        <v>4</v>
      </c>
      <c r="AL175">
        <v>21</v>
      </c>
      <c r="AM175">
        <v>38</v>
      </c>
      <c r="AN175" t="s">
        <v>390</v>
      </c>
      <c r="AO175">
        <v>5</v>
      </c>
      <c r="AP175">
        <v>68</v>
      </c>
      <c r="AT175">
        <v>12</v>
      </c>
      <c r="AU175">
        <v>9</v>
      </c>
      <c r="AV175">
        <v>55</v>
      </c>
      <c r="AW175">
        <v>11</v>
      </c>
      <c r="AX175">
        <v>21</v>
      </c>
      <c r="CU175">
        <v>505446.66499999998</v>
      </c>
      <c r="CV175">
        <v>5018488.4890999999</v>
      </c>
      <c r="CW175">
        <v>45.319889209999999</v>
      </c>
      <c r="CX175">
        <v>-92.930513230000003</v>
      </c>
      <c r="CY175" s="472">
        <v>43138.379166666666</v>
      </c>
      <c r="CZ175" t="s">
        <v>391</v>
      </c>
      <c r="DA175" t="s">
        <v>392</v>
      </c>
      <c r="DB175" t="s">
        <v>397</v>
      </c>
      <c r="DC175" t="s">
        <v>398</v>
      </c>
      <c r="DD175" t="s">
        <v>574</v>
      </c>
    </row>
    <row r="176" spans="1:108" ht="16.5" customHeight="1" x14ac:dyDescent="0.25">
      <c r="A176">
        <v>14</v>
      </c>
      <c r="B176">
        <v>564096</v>
      </c>
      <c r="C176">
        <v>2</v>
      </c>
      <c r="D176">
        <v>8</v>
      </c>
      <c r="E176">
        <v>4.5170000000000003</v>
      </c>
      <c r="F176">
        <v>13</v>
      </c>
      <c r="G176" t="s">
        <v>440</v>
      </c>
      <c r="I176" t="s">
        <v>384</v>
      </c>
      <c r="J176">
        <v>24</v>
      </c>
      <c r="L176">
        <v>18401762</v>
      </c>
      <c r="M176">
        <v>180380287</v>
      </c>
      <c r="N176">
        <v>2</v>
      </c>
      <c r="O176">
        <v>7</v>
      </c>
      <c r="P176">
        <v>2018</v>
      </c>
      <c r="Q176" t="s">
        <v>396</v>
      </c>
      <c r="R176">
        <v>9</v>
      </c>
      <c r="S176" t="s">
        <v>420</v>
      </c>
      <c r="T176">
        <v>5</v>
      </c>
      <c r="U176">
        <v>0</v>
      </c>
      <c r="V176">
        <v>1</v>
      </c>
      <c r="X176">
        <v>83</v>
      </c>
      <c r="Y176">
        <v>2</v>
      </c>
      <c r="Z176">
        <v>1</v>
      </c>
      <c r="AA176">
        <v>1</v>
      </c>
      <c r="AC176">
        <v>5</v>
      </c>
      <c r="AD176">
        <v>98</v>
      </c>
      <c r="AE176" t="s">
        <v>412</v>
      </c>
      <c r="AG176" t="s">
        <v>389</v>
      </c>
      <c r="AH176">
        <v>3</v>
      </c>
      <c r="AI176">
        <v>2</v>
      </c>
      <c r="AJ176">
        <v>2</v>
      </c>
      <c r="AK176">
        <v>4</v>
      </c>
      <c r="AL176">
        <v>21</v>
      </c>
      <c r="AM176">
        <v>38</v>
      </c>
      <c r="AN176" t="s">
        <v>390</v>
      </c>
      <c r="AO176">
        <v>5</v>
      </c>
      <c r="AP176">
        <v>68</v>
      </c>
      <c r="AT176">
        <v>12</v>
      </c>
      <c r="AU176">
        <v>9</v>
      </c>
      <c r="AV176">
        <v>55</v>
      </c>
      <c r="AW176">
        <v>11</v>
      </c>
      <c r="AX176">
        <v>21</v>
      </c>
      <c r="CU176">
        <v>505451.29</v>
      </c>
      <c r="CV176">
        <v>5018499.1902999999</v>
      </c>
      <c r="CW176">
        <v>45.319985500000001</v>
      </c>
      <c r="CX176">
        <v>-92.930454100000006</v>
      </c>
      <c r="CY176" s="472">
        <v>43138.393750000003</v>
      </c>
      <c r="CZ176" t="s">
        <v>391</v>
      </c>
      <c r="DA176" t="s">
        <v>392</v>
      </c>
      <c r="DB176" t="s">
        <v>397</v>
      </c>
      <c r="DC176" t="s">
        <v>398</v>
      </c>
      <c r="DD176" t="s">
        <v>575</v>
      </c>
    </row>
    <row r="177" spans="1:108" ht="16.5" customHeight="1" x14ac:dyDescent="0.25">
      <c r="CY177" s="472"/>
      <c r="DD177" s="18"/>
    </row>
    <row r="178" spans="1:108" ht="16.5" customHeight="1" x14ac:dyDescent="0.25">
      <c r="A178">
        <v>14</v>
      </c>
      <c r="B178">
        <v>847683</v>
      </c>
      <c r="C178">
        <v>2</v>
      </c>
      <c r="D178">
        <v>8</v>
      </c>
      <c r="E178">
        <v>4.7460000000000004</v>
      </c>
      <c r="F178">
        <v>13</v>
      </c>
      <c r="G178" t="s">
        <v>440</v>
      </c>
      <c r="I178" t="s">
        <v>384</v>
      </c>
      <c r="J178">
        <v>24</v>
      </c>
      <c r="L178">
        <v>20004917</v>
      </c>
      <c r="M178">
        <v>202940271</v>
      </c>
      <c r="N178">
        <v>10</v>
      </c>
      <c r="O178">
        <v>20</v>
      </c>
      <c r="P178">
        <v>2020</v>
      </c>
      <c r="Q178" t="s">
        <v>402</v>
      </c>
      <c r="R178">
        <v>14</v>
      </c>
      <c r="S178" t="s">
        <v>387</v>
      </c>
      <c r="T178">
        <v>5</v>
      </c>
      <c r="U178">
        <v>0</v>
      </c>
      <c r="V178">
        <v>1</v>
      </c>
      <c r="X178">
        <v>35</v>
      </c>
      <c r="Y178">
        <v>2</v>
      </c>
      <c r="Z178">
        <v>1</v>
      </c>
      <c r="AA178">
        <v>4</v>
      </c>
      <c r="AB178">
        <v>7</v>
      </c>
      <c r="AC178">
        <v>3</v>
      </c>
      <c r="AD178">
        <v>98</v>
      </c>
      <c r="AE178" t="s">
        <v>388</v>
      </c>
      <c r="AG178" t="s">
        <v>389</v>
      </c>
      <c r="AH178">
        <v>3</v>
      </c>
      <c r="AI178">
        <v>2</v>
      </c>
      <c r="AJ178">
        <v>2</v>
      </c>
      <c r="AK178">
        <v>3</v>
      </c>
      <c r="AL178">
        <v>21</v>
      </c>
      <c r="AM178">
        <v>49</v>
      </c>
      <c r="AN178" t="s">
        <v>390</v>
      </c>
      <c r="AO178">
        <v>5</v>
      </c>
      <c r="AP178">
        <v>71</v>
      </c>
      <c r="AT178">
        <v>12</v>
      </c>
      <c r="AU178">
        <v>9</v>
      </c>
      <c r="AV178">
        <v>55</v>
      </c>
      <c r="AW178">
        <v>11</v>
      </c>
      <c r="AX178">
        <v>21</v>
      </c>
      <c r="CU178">
        <v>505541.58990000002</v>
      </c>
      <c r="CV178">
        <v>5018854.2120000003</v>
      </c>
      <c r="CW178">
        <v>45.323180489999999</v>
      </c>
      <c r="CX178">
        <v>-92.929297980000001</v>
      </c>
      <c r="CY178" s="472">
        <v>44124.583333333336</v>
      </c>
      <c r="CZ178" t="s">
        <v>391</v>
      </c>
      <c r="DA178" t="s">
        <v>392</v>
      </c>
      <c r="DB178" t="s">
        <v>445</v>
      </c>
      <c r="DC178" t="s">
        <v>394</v>
      </c>
      <c r="DD178" t="s">
        <v>576</v>
      </c>
    </row>
    <row r="179" spans="1:108" ht="16.5" customHeight="1" x14ac:dyDescent="0.25">
      <c r="A179">
        <v>14</v>
      </c>
      <c r="B179">
        <v>893900</v>
      </c>
      <c r="C179">
        <v>2</v>
      </c>
      <c r="D179">
        <v>8</v>
      </c>
      <c r="E179">
        <v>5.0149999999999997</v>
      </c>
      <c r="F179">
        <v>13</v>
      </c>
      <c r="G179" t="s">
        <v>440</v>
      </c>
      <c r="I179" t="s">
        <v>384</v>
      </c>
      <c r="J179">
        <v>24</v>
      </c>
      <c r="L179">
        <v>21401457</v>
      </c>
      <c r="M179">
        <v>210600222</v>
      </c>
      <c r="N179">
        <v>3</v>
      </c>
      <c r="O179">
        <v>1</v>
      </c>
      <c r="P179">
        <v>2021</v>
      </c>
      <c r="Q179" t="s">
        <v>400</v>
      </c>
      <c r="R179">
        <v>8</v>
      </c>
      <c r="S179">
        <v>98</v>
      </c>
      <c r="T179">
        <v>3</v>
      </c>
      <c r="U179">
        <v>0</v>
      </c>
      <c r="V179">
        <v>2</v>
      </c>
      <c r="W179">
        <v>5</v>
      </c>
      <c r="X179">
        <v>10</v>
      </c>
      <c r="Y179">
        <v>2</v>
      </c>
      <c r="Z179">
        <v>1</v>
      </c>
      <c r="AA179">
        <v>1</v>
      </c>
      <c r="AC179">
        <v>5</v>
      </c>
      <c r="AD179">
        <v>98</v>
      </c>
      <c r="AE179" t="s">
        <v>388</v>
      </c>
      <c r="AG179" t="s">
        <v>389</v>
      </c>
      <c r="AH179">
        <v>10</v>
      </c>
      <c r="AI179">
        <v>2</v>
      </c>
      <c r="AJ179">
        <v>2</v>
      </c>
      <c r="AK179">
        <v>4</v>
      </c>
      <c r="AL179">
        <v>29</v>
      </c>
      <c r="AM179">
        <v>22</v>
      </c>
      <c r="AN179" t="s">
        <v>384</v>
      </c>
      <c r="AO179">
        <v>5</v>
      </c>
      <c r="AP179">
        <v>75</v>
      </c>
      <c r="AQ179">
        <v>7</v>
      </c>
      <c r="AT179">
        <v>12</v>
      </c>
      <c r="AU179">
        <v>9</v>
      </c>
      <c r="AV179">
        <v>55</v>
      </c>
      <c r="AW179">
        <v>11</v>
      </c>
      <c r="AX179">
        <v>21</v>
      </c>
      <c r="AY179">
        <v>2</v>
      </c>
      <c r="AZ179">
        <v>2</v>
      </c>
      <c r="BA179">
        <v>3</v>
      </c>
      <c r="BB179">
        <v>21</v>
      </c>
      <c r="BC179">
        <v>28</v>
      </c>
      <c r="BD179" t="s">
        <v>384</v>
      </c>
      <c r="BE179">
        <v>5</v>
      </c>
      <c r="BF179">
        <v>1</v>
      </c>
      <c r="BJ179">
        <v>12</v>
      </c>
      <c r="BK179">
        <v>9</v>
      </c>
      <c r="BL179">
        <v>55</v>
      </c>
      <c r="BM179">
        <v>11</v>
      </c>
      <c r="BN179">
        <v>21</v>
      </c>
      <c r="CU179">
        <v>505623.72529999999</v>
      </c>
      <c r="CV179">
        <v>5019278.4889000002</v>
      </c>
      <c r="CW179">
        <v>45.326998930000002</v>
      </c>
      <c r="CX179">
        <v>-92.928245129999993</v>
      </c>
      <c r="CY179" s="472">
        <v>44256.334722222222</v>
      </c>
      <c r="CZ179" t="s">
        <v>391</v>
      </c>
      <c r="DA179" t="s">
        <v>392</v>
      </c>
      <c r="DB179" t="s">
        <v>397</v>
      </c>
      <c r="DC179" t="s">
        <v>398</v>
      </c>
      <c r="DD179" s="18" t="s">
        <v>577</v>
      </c>
    </row>
    <row r="180" spans="1:108" ht="16.5" customHeight="1" x14ac:dyDescent="0.25">
      <c r="A180">
        <v>14</v>
      </c>
      <c r="B180">
        <v>819089</v>
      </c>
      <c r="C180">
        <v>2</v>
      </c>
      <c r="D180">
        <v>8</v>
      </c>
      <c r="E180">
        <v>5.9119999999999999</v>
      </c>
      <c r="F180">
        <v>13</v>
      </c>
      <c r="G180" t="s">
        <v>440</v>
      </c>
      <c r="I180" t="s">
        <v>384</v>
      </c>
      <c r="J180">
        <v>24</v>
      </c>
      <c r="L180">
        <v>20404098</v>
      </c>
      <c r="M180">
        <v>201930056</v>
      </c>
      <c r="N180">
        <v>7</v>
      </c>
      <c r="O180">
        <v>11</v>
      </c>
      <c r="P180">
        <v>2020</v>
      </c>
      <c r="Q180" t="s">
        <v>405</v>
      </c>
      <c r="R180">
        <v>15</v>
      </c>
      <c r="S180">
        <v>98</v>
      </c>
      <c r="T180">
        <v>4</v>
      </c>
      <c r="U180">
        <v>0</v>
      </c>
      <c r="V180">
        <v>2</v>
      </c>
      <c r="W180">
        <v>12</v>
      </c>
      <c r="X180">
        <v>10</v>
      </c>
      <c r="Y180">
        <v>2</v>
      </c>
      <c r="Z180">
        <v>1</v>
      </c>
      <c r="AA180">
        <v>1</v>
      </c>
      <c r="AC180">
        <v>1</v>
      </c>
      <c r="AD180">
        <v>98</v>
      </c>
      <c r="AE180" t="s">
        <v>388</v>
      </c>
      <c r="AG180" t="s">
        <v>389</v>
      </c>
      <c r="AH180">
        <v>7</v>
      </c>
      <c r="AI180">
        <v>2</v>
      </c>
      <c r="AJ180">
        <v>31</v>
      </c>
      <c r="AK180">
        <v>4</v>
      </c>
      <c r="AL180">
        <v>21</v>
      </c>
      <c r="AM180">
        <v>60</v>
      </c>
      <c r="AN180" t="s">
        <v>384</v>
      </c>
      <c r="AO180">
        <v>5</v>
      </c>
      <c r="AP180">
        <v>74</v>
      </c>
      <c r="AT180">
        <v>12</v>
      </c>
      <c r="AU180">
        <v>9</v>
      </c>
      <c r="AV180">
        <v>55</v>
      </c>
      <c r="AW180">
        <v>11</v>
      </c>
      <c r="AX180">
        <v>21</v>
      </c>
      <c r="AY180">
        <v>2</v>
      </c>
      <c r="AZ180">
        <v>4</v>
      </c>
      <c r="BA180">
        <v>4</v>
      </c>
      <c r="BB180">
        <v>34</v>
      </c>
      <c r="BC180">
        <v>35</v>
      </c>
      <c r="BD180" t="s">
        <v>384</v>
      </c>
      <c r="BE180">
        <v>5</v>
      </c>
      <c r="BF180">
        <v>1</v>
      </c>
      <c r="BJ180">
        <v>12</v>
      </c>
      <c r="BK180">
        <v>9</v>
      </c>
      <c r="BL180">
        <v>55</v>
      </c>
      <c r="BM180">
        <v>11</v>
      </c>
      <c r="BN180">
        <v>21</v>
      </c>
      <c r="CU180">
        <v>506447.4045</v>
      </c>
      <c r="CV180">
        <v>5020454.0838000001</v>
      </c>
      <c r="CW180">
        <v>45.337573829999997</v>
      </c>
      <c r="CX180">
        <v>-92.917719109999993</v>
      </c>
      <c r="CY180" s="472">
        <v>44023.647916666669</v>
      </c>
      <c r="CZ180" t="s">
        <v>391</v>
      </c>
      <c r="DA180" t="s">
        <v>392</v>
      </c>
      <c r="DB180" t="s">
        <v>397</v>
      </c>
      <c r="DC180" t="s">
        <v>398</v>
      </c>
      <c r="DD180" s="18" t="s">
        <v>578</v>
      </c>
    </row>
    <row r="181" spans="1:108" ht="16.5" customHeight="1" x14ac:dyDescent="0.25">
      <c r="A181">
        <v>14</v>
      </c>
      <c r="B181">
        <v>806633</v>
      </c>
      <c r="C181">
        <v>2</v>
      </c>
      <c r="D181">
        <v>8</v>
      </c>
      <c r="E181">
        <v>6.056</v>
      </c>
      <c r="F181">
        <v>13</v>
      </c>
      <c r="G181" t="s">
        <v>440</v>
      </c>
      <c r="I181" t="s">
        <v>384</v>
      </c>
      <c r="J181">
        <v>24</v>
      </c>
      <c r="L181">
        <v>20402290</v>
      </c>
      <c r="M181">
        <v>200880073</v>
      </c>
      <c r="N181">
        <v>3</v>
      </c>
      <c r="O181">
        <v>28</v>
      </c>
      <c r="P181">
        <v>2020</v>
      </c>
      <c r="Q181" t="s">
        <v>405</v>
      </c>
      <c r="R181">
        <v>19</v>
      </c>
      <c r="S181">
        <v>98</v>
      </c>
      <c r="T181">
        <v>3</v>
      </c>
      <c r="U181">
        <v>0</v>
      </c>
      <c r="V181">
        <v>2</v>
      </c>
      <c r="W181">
        <v>10</v>
      </c>
      <c r="X181">
        <v>10</v>
      </c>
      <c r="Y181">
        <v>3</v>
      </c>
      <c r="Z181">
        <v>6</v>
      </c>
      <c r="AA181">
        <v>3</v>
      </c>
      <c r="AC181">
        <v>2</v>
      </c>
      <c r="AD181">
        <v>98</v>
      </c>
      <c r="AE181" t="s">
        <v>579</v>
      </c>
      <c r="AG181" t="s">
        <v>389</v>
      </c>
      <c r="AH181">
        <v>5</v>
      </c>
      <c r="AI181">
        <v>2</v>
      </c>
      <c r="AJ181">
        <v>2</v>
      </c>
      <c r="AK181">
        <v>4</v>
      </c>
      <c r="AL181">
        <v>34</v>
      </c>
      <c r="AM181">
        <v>30</v>
      </c>
      <c r="AN181" t="s">
        <v>390</v>
      </c>
      <c r="AO181">
        <v>5</v>
      </c>
      <c r="AP181">
        <v>1</v>
      </c>
      <c r="AT181">
        <v>12</v>
      </c>
      <c r="AU181">
        <v>9</v>
      </c>
      <c r="AV181">
        <v>55</v>
      </c>
      <c r="AW181">
        <v>11</v>
      </c>
      <c r="AX181">
        <v>21</v>
      </c>
      <c r="AY181">
        <v>2</v>
      </c>
      <c r="AZ181">
        <v>2</v>
      </c>
      <c r="BA181">
        <v>4</v>
      </c>
      <c r="BB181">
        <v>28</v>
      </c>
      <c r="BC181">
        <v>32</v>
      </c>
      <c r="BD181" t="s">
        <v>390</v>
      </c>
      <c r="BE181">
        <v>5</v>
      </c>
      <c r="BF181">
        <v>7</v>
      </c>
      <c r="BJ181">
        <v>12</v>
      </c>
      <c r="BK181">
        <v>9</v>
      </c>
      <c r="BL181">
        <v>55</v>
      </c>
      <c r="BM181">
        <v>11</v>
      </c>
      <c r="BN181">
        <v>21</v>
      </c>
      <c r="CU181">
        <v>506590.14059999998</v>
      </c>
      <c r="CV181">
        <v>5020636.8871999998</v>
      </c>
      <c r="CW181">
        <v>45.339217990000002</v>
      </c>
      <c r="CX181">
        <v>-92.91589492</v>
      </c>
      <c r="CY181" s="472">
        <v>43918.793055555558</v>
      </c>
      <c r="CZ181" t="s">
        <v>391</v>
      </c>
      <c r="DA181" t="s">
        <v>392</v>
      </c>
      <c r="DB181" t="s">
        <v>397</v>
      </c>
      <c r="DC181" t="s">
        <v>398</v>
      </c>
      <c r="DD181" s="18" t="s">
        <v>580</v>
      </c>
    </row>
    <row r="182" spans="1:108" ht="16.5" customHeight="1" x14ac:dyDescent="0.25">
      <c r="A182">
        <v>14</v>
      </c>
      <c r="B182">
        <v>609522</v>
      </c>
      <c r="C182">
        <v>2</v>
      </c>
      <c r="D182">
        <v>8</v>
      </c>
      <c r="E182">
        <v>6.0789999999999997</v>
      </c>
      <c r="F182">
        <v>13</v>
      </c>
      <c r="G182" t="s">
        <v>440</v>
      </c>
      <c r="I182" t="s">
        <v>384</v>
      </c>
      <c r="J182">
        <v>24</v>
      </c>
      <c r="L182">
        <v>18406381</v>
      </c>
      <c r="M182">
        <v>181890106</v>
      </c>
      <c r="N182">
        <v>7</v>
      </c>
      <c r="O182">
        <v>8</v>
      </c>
      <c r="P182">
        <v>2018</v>
      </c>
      <c r="Q182" t="s">
        <v>422</v>
      </c>
      <c r="R182">
        <v>18</v>
      </c>
      <c r="S182" t="s">
        <v>387</v>
      </c>
      <c r="T182">
        <v>3</v>
      </c>
      <c r="U182">
        <v>0</v>
      </c>
      <c r="V182">
        <v>3</v>
      </c>
      <c r="W182">
        <v>12</v>
      </c>
      <c r="X182">
        <v>10</v>
      </c>
      <c r="Y182">
        <v>3</v>
      </c>
      <c r="Z182">
        <v>1</v>
      </c>
      <c r="AA182">
        <v>1</v>
      </c>
      <c r="AC182">
        <v>1</v>
      </c>
      <c r="AD182">
        <v>98</v>
      </c>
      <c r="AE182" t="s">
        <v>388</v>
      </c>
      <c r="AG182" t="s">
        <v>389</v>
      </c>
      <c r="AH182">
        <v>7</v>
      </c>
      <c r="AI182">
        <v>2</v>
      </c>
      <c r="AJ182">
        <v>3</v>
      </c>
      <c r="AK182">
        <v>3</v>
      </c>
      <c r="AL182">
        <v>34</v>
      </c>
      <c r="AM182">
        <v>24</v>
      </c>
      <c r="AN182" t="s">
        <v>390</v>
      </c>
      <c r="AO182">
        <v>5</v>
      </c>
      <c r="AP182">
        <v>1</v>
      </c>
      <c r="AT182">
        <v>12</v>
      </c>
      <c r="AU182">
        <v>9</v>
      </c>
      <c r="AV182">
        <v>55</v>
      </c>
      <c r="AW182">
        <v>11</v>
      </c>
      <c r="AX182">
        <v>21</v>
      </c>
      <c r="AY182">
        <v>2</v>
      </c>
      <c r="AZ182">
        <v>2</v>
      </c>
      <c r="BA182">
        <v>3</v>
      </c>
      <c r="BB182">
        <v>21</v>
      </c>
      <c r="BC182">
        <v>20</v>
      </c>
      <c r="BD182" t="s">
        <v>384</v>
      </c>
      <c r="BE182">
        <v>5</v>
      </c>
      <c r="BF182">
        <v>99</v>
      </c>
      <c r="BJ182">
        <v>12</v>
      </c>
      <c r="BK182">
        <v>9</v>
      </c>
      <c r="BL182">
        <v>55</v>
      </c>
      <c r="BM182">
        <v>11</v>
      </c>
      <c r="BN182">
        <v>21</v>
      </c>
      <c r="BO182">
        <v>2</v>
      </c>
      <c r="BP182">
        <v>4</v>
      </c>
      <c r="BQ182">
        <v>4</v>
      </c>
      <c r="BR182">
        <v>27</v>
      </c>
      <c r="BS182">
        <v>51</v>
      </c>
      <c r="BT182" t="s">
        <v>390</v>
      </c>
      <c r="BU182">
        <v>5</v>
      </c>
      <c r="BV182">
        <v>71</v>
      </c>
      <c r="BZ182">
        <v>12</v>
      </c>
      <c r="CA182">
        <v>9</v>
      </c>
      <c r="CB182">
        <v>55</v>
      </c>
      <c r="CC182">
        <v>11</v>
      </c>
      <c r="CD182">
        <v>21</v>
      </c>
      <c r="CU182">
        <v>506612.41119999997</v>
      </c>
      <c r="CV182">
        <v>5020665.8894999996</v>
      </c>
      <c r="CW182">
        <v>45.339478839999998</v>
      </c>
      <c r="CX182">
        <v>-92.915610290000004</v>
      </c>
      <c r="CY182" s="472">
        <v>43289.767361111109</v>
      </c>
      <c r="CZ182" t="s">
        <v>391</v>
      </c>
      <c r="DA182" t="s">
        <v>392</v>
      </c>
      <c r="DB182" t="s">
        <v>397</v>
      </c>
      <c r="DC182" t="s">
        <v>398</v>
      </c>
      <c r="DD182" t="s">
        <v>581</v>
      </c>
    </row>
    <row r="183" spans="1:108" ht="16.5" customHeight="1" x14ac:dyDescent="0.25">
      <c r="A183">
        <v>14</v>
      </c>
      <c r="B183">
        <v>776201</v>
      </c>
      <c r="C183">
        <v>2</v>
      </c>
      <c r="D183">
        <v>8</v>
      </c>
      <c r="E183">
        <v>6.1280000000000001</v>
      </c>
      <c r="F183">
        <v>13</v>
      </c>
      <c r="G183" t="s">
        <v>440</v>
      </c>
      <c r="I183" t="s">
        <v>384</v>
      </c>
      <c r="J183">
        <v>24</v>
      </c>
      <c r="L183">
        <v>19411849</v>
      </c>
      <c r="M183">
        <v>193650283</v>
      </c>
      <c r="N183">
        <v>12</v>
      </c>
      <c r="O183">
        <v>31</v>
      </c>
      <c r="P183">
        <v>2019</v>
      </c>
      <c r="Q183" t="s">
        <v>402</v>
      </c>
      <c r="R183">
        <v>16</v>
      </c>
      <c r="S183">
        <v>98</v>
      </c>
      <c r="T183">
        <v>5</v>
      </c>
      <c r="U183">
        <v>0</v>
      </c>
      <c r="V183">
        <v>2</v>
      </c>
      <c r="W183">
        <v>12</v>
      </c>
      <c r="X183">
        <v>10</v>
      </c>
      <c r="Y183">
        <v>2</v>
      </c>
      <c r="Z183">
        <v>1</v>
      </c>
      <c r="AA183">
        <v>1</v>
      </c>
      <c r="AC183">
        <v>1</v>
      </c>
      <c r="AD183">
        <v>98</v>
      </c>
      <c r="AE183" t="s">
        <v>582</v>
      </c>
      <c r="AG183" t="s">
        <v>389</v>
      </c>
      <c r="AH183">
        <v>7</v>
      </c>
      <c r="AI183">
        <v>2</v>
      </c>
      <c r="AJ183">
        <v>2</v>
      </c>
      <c r="AK183">
        <v>4</v>
      </c>
      <c r="AL183">
        <v>21</v>
      </c>
      <c r="AM183">
        <v>55</v>
      </c>
      <c r="AN183" t="s">
        <v>384</v>
      </c>
      <c r="AO183">
        <v>5</v>
      </c>
      <c r="AP183">
        <v>1</v>
      </c>
      <c r="AT183">
        <v>12</v>
      </c>
      <c r="AU183">
        <v>9</v>
      </c>
      <c r="AV183">
        <v>55</v>
      </c>
      <c r="AW183">
        <v>11</v>
      </c>
      <c r="AX183">
        <v>21</v>
      </c>
      <c r="AY183">
        <v>2</v>
      </c>
      <c r="AZ183">
        <v>5</v>
      </c>
      <c r="BA183">
        <v>4</v>
      </c>
      <c r="BB183">
        <v>21</v>
      </c>
      <c r="BC183">
        <v>62</v>
      </c>
      <c r="BD183" t="s">
        <v>390</v>
      </c>
      <c r="BE183">
        <v>5</v>
      </c>
      <c r="BF183">
        <v>4</v>
      </c>
      <c r="BJ183">
        <v>12</v>
      </c>
      <c r="BK183">
        <v>9</v>
      </c>
      <c r="BL183">
        <v>55</v>
      </c>
      <c r="BM183">
        <v>11</v>
      </c>
      <c r="BN183">
        <v>21</v>
      </c>
      <c r="CU183">
        <v>506661.39870000002</v>
      </c>
      <c r="CV183">
        <v>5020727.8033999996</v>
      </c>
      <c r="CW183">
        <v>45.340035690000001</v>
      </c>
      <c r="CX183">
        <v>-92.914984200000006</v>
      </c>
      <c r="CY183" s="472">
        <v>43830.6875</v>
      </c>
      <c r="CZ183" t="s">
        <v>391</v>
      </c>
      <c r="DA183" t="s">
        <v>392</v>
      </c>
      <c r="DB183" t="s">
        <v>397</v>
      </c>
      <c r="DC183" t="s">
        <v>398</v>
      </c>
      <c r="DD183" s="18" t="s">
        <v>583</v>
      </c>
    </row>
    <row r="184" spans="1:108" ht="16.5" customHeight="1" x14ac:dyDescent="0.25">
      <c r="A184">
        <v>14</v>
      </c>
      <c r="B184">
        <v>741881</v>
      </c>
      <c r="C184">
        <v>2</v>
      </c>
      <c r="D184">
        <v>8</v>
      </c>
      <c r="E184">
        <v>6.2539999999999996</v>
      </c>
      <c r="F184">
        <v>13</v>
      </c>
      <c r="G184" t="s">
        <v>440</v>
      </c>
      <c r="I184" t="s">
        <v>384</v>
      </c>
      <c r="J184">
        <v>24</v>
      </c>
      <c r="L184">
        <v>19407456</v>
      </c>
      <c r="M184">
        <v>192330085</v>
      </c>
      <c r="N184">
        <v>8</v>
      </c>
      <c r="O184">
        <v>21</v>
      </c>
      <c r="P184">
        <v>2019</v>
      </c>
      <c r="Q184" t="s">
        <v>396</v>
      </c>
      <c r="R184">
        <v>13</v>
      </c>
      <c r="S184">
        <v>98</v>
      </c>
      <c r="T184">
        <v>3</v>
      </c>
      <c r="U184">
        <v>0</v>
      </c>
      <c r="V184">
        <v>2</v>
      </c>
      <c r="W184">
        <v>5</v>
      </c>
      <c r="X184">
        <v>10</v>
      </c>
      <c r="Y184">
        <v>2</v>
      </c>
      <c r="Z184">
        <v>1</v>
      </c>
      <c r="AA184">
        <v>1</v>
      </c>
      <c r="AC184">
        <v>1</v>
      </c>
      <c r="AD184">
        <v>3</v>
      </c>
      <c r="AE184" t="s">
        <v>388</v>
      </c>
      <c r="AG184" t="s">
        <v>389</v>
      </c>
      <c r="AH184">
        <v>9</v>
      </c>
      <c r="AI184">
        <v>2</v>
      </c>
      <c r="AJ184">
        <v>2</v>
      </c>
      <c r="AK184">
        <v>3</v>
      </c>
      <c r="AL184">
        <v>25</v>
      </c>
      <c r="AM184">
        <v>71</v>
      </c>
      <c r="AN184" t="s">
        <v>390</v>
      </c>
      <c r="AO184">
        <v>5</v>
      </c>
      <c r="AP184">
        <v>10</v>
      </c>
      <c r="AQ184">
        <v>70</v>
      </c>
      <c r="AT184">
        <v>12</v>
      </c>
      <c r="AU184">
        <v>25</v>
      </c>
      <c r="AV184">
        <v>55</v>
      </c>
      <c r="AW184">
        <v>11</v>
      </c>
      <c r="AX184">
        <v>21</v>
      </c>
      <c r="AY184">
        <v>2</v>
      </c>
      <c r="AZ184">
        <v>2</v>
      </c>
      <c r="BA184">
        <v>4</v>
      </c>
      <c r="BB184">
        <v>21</v>
      </c>
      <c r="BC184">
        <v>31</v>
      </c>
      <c r="BD184" t="s">
        <v>390</v>
      </c>
      <c r="BE184">
        <v>5</v>
      </c>
      <c r="BF184">
        <v>1</v>
      </c>
      <c r="BJ184">
        <v>12</v>
      </c>
      <c r="BK184">
        <v>25</v>
      </c>
      <c r="BL184">
        <v>55</v>
      </c>
      <c r="BM184">
        <v>11</v>
      </c>
      <c r="BN184">
        <v>21</v>
      </c>
      <c r="CU184">
        <v>506781.00929999998</v>
      </c>
      <c r="CV184">
        <v>5020891.9872000003</v>
      </c>
      <c r="CW184">
        <v>45.341512420000001</v>
      </c>
      <c r="CX184">
        <v>-92.913455290000002</v>
      </c>
      <c r="CY184" s="472">
        <v>43698.556250000001</v>
      </c>
      <c r="CZ184" t="s">
        <v>391</v>
      </c>
      <c r="DA184" t="s">
        <v>392</v>
      </c>
      <c r="DB184" t="s">
        <v>397</v>
      </c>
      <c r="DC184" t="s">
        <v>398</v>
      </c>
      <c r="DD184" s="18" t="s">
        <v>584</v>
      </c>
    </row>
    <row r="185" spans="1:108" ht="16.5" customHeight="1" x14ac:dyDescent="0.25">
      <c r="A185">
        <v>14</v>
      </c>
      <c r="B185">
        <v>596114</v>
      </c>
      <c r="C185">
        <v>2</v>
      </c>
      <c r="D185">
        <v>8</v>
      </c>
      <c r="E185">
        <v>6.2590000000000003</v>
      </c>
      <c r="F185">
        <v>13</v>
      </c>
      <c r="G185" t="s">
        <v>440</v>
      </c>
      <c r="I185" t="s">
        <v>384</v>
      </c>
      <c r="J185">
        <v>24</v>
      </c>
      <c r="L185">
        <v>18404602</v>
      </c>
      <c r="M185">
        <v>181270236</v>
      </c>
      <c r="N185">
        <v>5</v>
      </c>
      <c r="O185">
        <v>7</v>
      </c>
      <c r="P185">
        <v>2018</v>
      </c>
      <c r="Q185" t="s">
        <v>400</v>
      </c>
      <c r="R185">
        <v>5</v>
      </c>
      <c r="S185" t="s">
        <v>387</v>
      </c>
      <c r="T185">
        <v>5</v>
      </c>
      <c r="U185">
        <v>0</v>
      </c>
      <c r="V185">
        <v>3</v>
      </c>
      <c r="X185">
        <v>17</v>
      </c>
      <c r="Y185">
        <v>2</v>
      </c>
      <c r="Z185">
        <v>2</v>
      </c>
      <c r="AA185">
        <v>1</v>
      </c>
      <c r="AC185">
        <v>1</v>
      </c>
      <c r="AD185">
        <v>98</v>
      </c>
      <c r="AE185" t="s">
        <v>388</v>
      </c>
      <c r="AG185" t="s">
        <v>389</v>
      </c>
      <c r="AH185">
        <v>90</v>
      </c>
      <c r="AI185">
        <v>2</v>
      </c>
      <c r="AJ185">
        <v>2</v>
      </c>
      <c r="AK185">
        <v>3</v>
      </c>
      <c r="AL185">
        <v>21</v>
      </c>
      <c r="AM185">
        <v>72</v>
      </c>
      <c r="AN185" t="s">
        <v>390</v>
      </c>
      <c r="AO185">
        <v>5</v>
      </c>
      <c r="AP185">
        <v>1</v>
      </c>
      <c r="AT185">
        <v>12</v>
      </c>
      <c r="AU185">
        <v>9</v>
      </c>
      <c r="AV185">
        <v>55</v>
      </c>
      <c r="AW185">
        <v>13</v>
      </c>
      <c r="AX185">
        <v>24</v>
      </c>
      <c r="AY185">
        <v>2</v>
      </c>
      <c r="AZ185">
        <v>2</v>
      </c>
      <c r="BA185">
        <v>3</v>
      </c>
      <c r="BB185">
        <v>21</v>
      </c>
      <c r="BC185">
        <v>62</v>
      </c>
      <c r="BD185" t="s">
        <v>384</v>
      </c>
      <c r="BE185">
        <v>5</v>
      </c>
      <c r="BF185">
        <v>1</v>
      </c>
      <c r="BJ185">
        <v>12</v>
      </c>
      <c r="BK185">
        <v>9</v>
      </c>
      <c r="BL185">
        <v>55</v>
      </c>
      <c r="BM185">
        <v>13</v>
      </c>
      <c r="BN185">
        <v>24</v>
      </c>
      <c r="BO185">
        <v>2</v>
      </c>
      <c r="BP185">
        <v>4</v>
      </c>
      <c r="BQ185">
        <v>3</v>
      </c>
      <c r="BR185">
        <v>27</v>
      </c>
      <c r="BS185">
        <v>19</v>
      </c>
      <c r="BT185" t="s">
        <v>390</v>
      </c>
      <c r="BU185">
        <v>5</v>
      </c>
      <c r="BV185">
        <v>1</v>
      </c>
      <c r="BZ185">
        <v>12</v>
      </c>
      <c r="CA185">
        <v>9</v>
      </c>
      <c r="CB185">
        <v>55</v>
      </c>
      <c r="CC185">
        <v>13</v>
      </c>
      <c r="CD185">
        <v>24</v>
      </c>
      <c r="CU185">
        <v>506785.2991</v>
      </c>
      <c r="CV185">
        <v>5020899.1173</v>
      </c>
      <c r="CW185">
        <v>45.34157656</v>
      </c>
      <c r="CX185">
        <v>-92.913400440000004</v>
      </c>
      <c r="CY185" s="472">
        <v>43227.21597222222</v>
      </c>
      <c r="CZ185" t="s">
        <v>391</v>
      </c>
      <c r="DA185" t="s">
        <v>392</v>
      </c>
      <c r="DB185" t="s">
        <v>397</v>
      </c>
      <c r="DC185" t="s">
        <v>398</v>
      </c>
      <c r="DD185" s="18" t="s">
        <v>585</v>
      </c>
    </row>
    <row r="186" spans="1:108" ht="16.5" customHeight="1" x14ac:dyDescent="0.25">
      <c r="A186">
        <v>14</v>
      </c>
      <c r="B186">
        <v>681432</v>
      </c>
      <c r="C186">
        <v>2</v>
      </c>
      <c r="D186">
        <v>8</v>
      </c>
      <c r="E186">
        <v>6.41</v>
      </c>
      <c r="F186">
        <v>13</v>
      </c>
      <c r="G186" t="s">
        <v>440</v>
      </c>
      <c r="I186" t="s">
        <v>384</v>
      </c>
      <c r="J186">
        <v>24</v>
      </c>
      <c r="L186">
        <v>19401169</v>
      </c>
      <c r="M186">
        <v>190310037</v>
      </c>
      <c r="N186">
        <v>1</v>
      </c>
      <c r="O186">
        <v>31</v>
      </c>
      <c r="P186">
        <v>2019</v>
      </c>
      <c r="Q186" t="s">
        <v>386</v>
      </c>
      <c r="R186">
        <v>7</v>
      </c>
      <c r="S186" t="s">
        <v>420</v>
      </c>
      <c r="T186">
        <v>5</v>
      </c>
      <c r="U186">
        <v>0</v>
      </c>
      <c r="V186">
        <v>2</v>
      </c>
      <c r="W186">
        <v>12</v>
      </c>
      <c r="X186">
        <v>10</v>
      </c>
      <c r="Y186">
        <v>16</v>
      </c>
      <c r="Z186">
        <v>1</v>
      </c>
      <c r="AA186">
        <v>90</v>
      </c>
      <c r="AC186">
        <v>1</v>
      </c>
      <c r="AD186">
        <v>98</v>
      </c>
      <c r="AE186" t="s">
        <v>388</v>
      </c>
      <c r="AG186" t="s">
        <v>389</v>
      </c>
      <c r="AH186">
        <v>7</v>
      </c>
      <c r="AI186">
        <v>2</v>
      </c>
      <c r="AJ186">
        <v>4</v>
      </c>
      <c r="AK186">
        <v>4</v>
      </c>
      <c r="AL186">
        <v>31</v>
      </c>
      <c r="AM186">
        <v>56</v>
      </c>
      <c r="AN186" t="s">
        <v>390</v>
      </c>
      <c r="AO186">
        <v>5</v>
      </c>
      <c r="AP186">
        <v>1</v>
      </c>
      <c r="AT186">
        <v>12</v>
      </c>
      <c r="AU186">
        <v>9</v>
      </c>
      <c r="AV186">
        <v>55</v>
      </c>
      <c r="AW186">
        <v>11</v>
      </c>
      <c r="AX186">
        <v>21</v>
      </c>
      <c r="AY186">
        <v>2</v>
      </c>
      <c r="AZ186">
        <v>4</v>
      </c>
      <c r="BA186">
        <v>4</v>
      </c>
      <c r="BB186">
        <v>21</v>
      </c>
      <c r="BC186">
        <v>37</v>
      </c>
      <c r="BD186" t="s">
        <v>384</v>
      </c>
      <c r="BE186">
        <v>5</v>
      </c>
      <c r="BF186">
        <v>2</v>
      </c>
      <c r="BJ186">
        <v>12</v>
      </c>
      <c r="BK186">
        <v>9</v>
      </c>
      <c r="BL186">
        <v>55</v>
      </c>
      <c r="BM186">
        <v>11</v>
      </c>
      <c r="BN186">
        <v>21</v>
      </c>
      <c r="CU186">
        <v>506878.25799999997</v>
      </c>
      <c r="CV186">
        <v>5021121.7915000003</v>
      </c>
      <c r="CW186">
        <v>45.343580029999998</v>
      </c>
      <c r="CX186">
        <v>-92.912210819999999</v>
      </c>
      <c r="CY186" s="472">
        <v>43496.328472222223</v>
      </c>
      <c r="CZ186" t="s">
        <v>391</v>
      </c>
      <c r="DA186" t="s">
        <v>392</v>
      </c>
      <c r="DB186" t="s">
        <v>397</v>
      </c>
      <c r="DC186" t="s">
        <v>398</v>
      </c>
      <c r="DD186" s="18" t="s">
        <v>586</v>
      </c>
    </row>
    <row r="187" spans="1:108" ht="16.5" customHeight="1" x14ac:dyDescent="0.25">
      <c r="A187">
        <v>14</v>
      </c>
      <c r="B187">
        <v>681757</v>
      </c>
      <c r="C187">
        <v>2</v>
      </c>
      <c r="D187">
        <v>8</v>
      </c>
      <c r="E187">
        <v>6.71</v>
      </c>
      <c r="F187">
        <v>13</v>
      </c>
      <c r="G187" t="s">
        <v>440</v>
      </c>
      <c r="I187" t="s">
        <v>384</v>
      </c>
      <c r="J187">
        <v>24</v>
      </c>
      <c r="L187">
        <v>19400677</v>
      </c>
      <c r="M187">
        <v>190240420</v>
      </c>
      <c r="N187">
        <v>1</v>
      </c>
      <c r="O187">
        <v>24</v>
      </c>
      <c r="P187">
        <v>2019</v>
      </c>
      <c r="Q187" t="s">
        <v>386</v>
      </c>
      <c r="R187">
        <v>16</v>
      </c>
      <c r="S187">
        <v>98</v>
      </c>
      <c r="T187">
        <v>1</v>
      </c>
      <c r="U187">
        <v>1</v>
      </c>
      <c r="V187">
        <v>2</v>
      </c>
      <c r="W187">
        <v>13</v>
      </c>
      <c r="X187">
        <v>10</v>
      </c>
      <c r="Y187">
        <v>2</v>
      </c>
      <c r="Z187">
        <v>1</v>
      </c>
      <c r="AA187">
        <v>1</v>
      </c>
      <c r="AC187">
        <v>1</v>
      </c>
      <c r="AD187">
        <v>98</v>
      </c>
      <c r="AE187" t="s">
        <v>388</v>
      </c>
      <c r="AG187" t="s">
        <v>389</v>
      </c>
      <c r="AH187">
        <v>8</v>
      </c>
      <c r="AI187">
        <v>2</v>
      </c>
      <c r="AJ187">
        <v>3</v>
      </c>
      <c r="AK187">
        <v>3</v>
      </c>
      <c r="AL187">
        <v>21</v>
      </c>
      <c r="AM187">
        <v>75</v>
      </c>
      <c r="AN187" t="s">
        <v>384</v>
      </c>
      <c r="AO187">
        <v>9</v>
      </c>
      <c r="AP187">
        <v>68</v>
      </c>
      <c r="AT187">
        <v>12</v>
      </c>
      <c r="AU187">
        <v>9</v>
      </c>
      <c r="AV187">
        <v>55</v>
      </c>
      <c r="AW187">
        <v>11</v>
      </c>
      <c r="AX187">
        <v>21</v>
      </c>
      <c r="AY187">
        <v>2</v>
      </c>
      <c r="AZ187">
        <v>2</v>
      </c>
      <c r="BA187">
        <v>4</v>
      </c>
      <c r="BB187">
        <v>21</v>
      </c>
      <c r="BC187">
        <v>35</v>
      </c>
      <c r="BD187" t="s">
        <v>390</v>
      </c>
      <c r="BE187">
        <v>5</v>
      </c>
      <c r="BF187">
        <v>1</v>
      </c>
      <c r="BJ187">
        <v>12</v>
      </c>
      <c r="BK187">
        <v>9</v>
      </c>
      <c r="BL187">
        <v>55</v>
      </c>
      <c r="BM187">
        <v>11</v>
      </c>
      <c r="BN187">
        <v>21</v>
      </c>
      <c r="CU187">
        <v>506910.34210000001</v>
      </c>
      <c r="CV187">
        <v>5021601.4067000002</v>
      </c>
      <c r="CW187">
        <v>45.347896910000003</v>
      </c>
      <c r="CX187">
        <v>-92.911794580000006</v>
      </c>
      <c r="CY187" s="472">
        <v>43489.690972222219</v>
      </c>
      <c r="CZ187" t="s">
        <v>391</v>
      </c>
      <c r="DA187" t="s">
        <v>392</v>
      </c>
      <c r="DB187" t="s">
        <v>397</v>
      </c>
      <c r="DC187" t="s">
        <v>398</v>
      </c>
      <c r="DD187" s="18" t="s">
        <v>587</v>
      </c>
    </row>
    <row r="188" spans="1:108" ht="16.5" customHeight="1" x14ac:dyDescent="0.25">
      <c r="A188">
        <v>14</v>
      </c>
      <c r="B188">
        <v>941035</v>
      </c>
      <c r="C188">
        <v>2</v>
      </c>
      <c r="D188">
        <v>8</v>
      </c>
      <c r="E188">
        <v>6.7329999999999997</v>
      </c>
      <c r="F188">
        <v>13</v>
      </c>
      <c r="G188" t="s">
        <v>440</v>
      </c>
      <c r="I188" t="s">
        <v>384</v>
      </c>
      <c r="J188">
        <v>24</v>
      </c>
      <c r="L188">
        <v>21405905</v>
      </c>
      <c r="M188">
        <v>212590130</v>
      </c>
      <c r="N188">
        <v>9</v>
      </c>
      <c r="O188">
        <v>16</v>
      </c>
      <c r="P188">
        <v>2021</v>
      </c>
      <c r="Q188" t="s">
        <v>386</v>
      </c>
      <c r="R188">
        <v>19</v>
      </c>
      <c r="S188" t="s">
        <v>420</v>
      </c>
      <c r="T188">
        <v>4</v>
      </c>
      <c r="U188">
        <v>0</v>
      </c>
      <c r="V188">
        <v>2</v>
      </c>
      <c r="W188">
        <v>12</v>
      </c>
      <c r="X188">
        <v>10</v>
      </c>
      <c r="Y188">
        <v>10</v>
      </c>
      <c r="Z188">
        <v>3</v>
      </c>
      <c r="AA188">
        <v>1</v>
      </c>
      <c r="AC188">
        <v>1</v>
      </c>
      <c r="AD188">
        <v>98</v>
      </c>
      <c r="AE188" t="s">
        <v>388</v>
      </c>
      <c r="AG188" t="s">
        <v>389</v>
      </c>
      <c r="AH188">
        <v>7</v>
      </c>
      <c r="AI188">
        <v>2</v>
      </c>
      <c r="AJ188">
        <v>2</v>
      </c>
      <c r="AK188">
        <v>4</v>
      </c>
      <c r="AL188">
        <v>24</v>
      </c>
      <c r="AM188">
        <v>66</v>
      </c>
      <c r="AN188" t="s">
        <v>384</v>
      </c>
      <c r="AO188">
        <v>5</v>
      </c>
      <c r="AP188">
        <v>1</v>
      </c>
      <c r="AT188">
        <v>12</v>
      </c>
      <c r="AU188">
        <v>9</v>
      </c>
      <c r="AV188">
        <v>55</v>
      </c>
      <c r="AW188">
        <v>13</v>
      </c>
      <c r="AX188">
        <v>21</v>
      </c>
      <c r="AY188">
        <v>2</v>
      </c>
      <c r="AZ188">
        <v>2</v>
      </c>
      <c r="BA188">
        <v>4</v>
      </c>
      <c r="BB188">
        <v>21</v>
      </c>
      <c r="BC188">
        <v>53</v>
      </c>
      <c r="BD188" t="s">
        <v>390</v>
      </c>
      <c r="BE188">
        <v>5</v>
      </c>
      <c r="BF188">
        <v>4</v>
      </c>
      <c r="BJ188">
        <v>12</v>
      </c>
      <c r="BK188">
        <v>9</v>
      </c>
      <c r="BL188">
        <v>55</v>
      </c>
      <c r="BM188">
        <v>13</v>
      </c>
      <c r="BN188">
        <v>21</v>
      </c>
      <c r="CU188">
        <v>506911.08179999999</v>
      </c>
      <c r="CV188">
        <v>5021639.3578000003</v>
      </c>
      <c r="CW188">
        <v>45.348238510000002</v>
      </c>
      <c r="CX188">
        <v>-92.911784600000004</v>
      </c>
      <c r="CY188" s="472">
        <v>44455.793749999997</v>
      </c>
      <c r="CZ188" t="s">
        <v>391</v>
      </c>
      <c r="DA188" t="s">
        <v>392</v>
      </c>
      <c r="DB188" t="s">
        <v>397</v>
      </c>
      <c r="DC188" t="s">
        <v>398</v>
      </c>
      <c r="DD188" t="s">
        <v>588</v>
      </c>
    </row>
    <row r="189" spans="1:108" ht="16.5" customHeight="1" x14ac:dyDescent="0.25">
      <c r="A189">
        <v>14</v>
      </c>
      <c r="B189">
        <v>657534</v>
      </c>
      <c r="C189">
        <v>2</v>
      </c>
      <c r="D189">
        <v>8</v>
      </c>
      <c r="E189">
        <v>6.7359999999999998</v>
      </c>
      <c r="F189">
        <v>13</v>
      </c>
      <c r="G189" t="s">
        <v>440</v>
      </c>
      <c r="I189" t="s">
        <v>384</v>
      </c>
      <c r="J189">
        <v>24</v>
      </c>
      <c r="L189">
        <v>18409953</v>
      </c>
      <c r="M189">
        <v>183110066</v>
      </c>
      <c r="N189">
        <v>11</v>
      </c>
      <c r="O189">
        <v>7</v>
      </c>
      <c r="P189">
        <v>2018</v>
      </c>
      <c r="Q189" t="s">
        <v>396</v>
      </c>
      <c r="R189">
        <v>6</v>
      </c>
      <c r="S189" t="s">
        <v>420</v>
      </c>
      <c r="T189">
        <v>5</v>
      </c>
      <c r="U189">
        <v>0</v>
      </c>
      <c r="V189">
        <v>1</v>
      </c>
      <c r="X189">
        <v>83</v>
      </c>
      <c r="Y189">
        <v>4</v>
      </c>
      <c r="Z189">
        <v>6</v>
      </c>
      <c r="AA189">
        <v>5</v>
      </c>
      <c r="AB189">
        <v>2</v>
      </c>
      <c r="AC189">
        <v>5</v>
      </c>
      <c r="AD189">
        <v>98</v>
      </c>
      <c r="AE189" t="s">
        <v>388</v>
      </c>
      <c r="AG189" t="s">
        <v>389</v>
      </c>
      <c r="AH189">
        <v>3</v>
      </c>
      <c r="AI189">
        <v>2</v>
      </c>
      <c r="AJ189">
        <v>3</v>
      </c>
      <c r="AK189">
        <v>4</v>
      </c>
      <c r="AL189">
        <v>26</v>
      </c>
      <c r="AM189">
        <v>40</v>
      </c>
      <c r="AN189" t="s">
        <v>390</v>
      </c>
      <c r="AO189">
        <v>5</v>
      </c>
      <c r="AP189">
        <v>90</v>
      </c>
      <c r="AT189">
        <v>12</v>
      </c>
      <c r="AU189">
        <v>9</v>
      </c>
      <c r="AV189">
        <v>55</v>
      </c>
      <c r="AW189">
        <v>11</v>
      </c>
      <c r="AX189">
        <v>21</v>
      </c>
      <c r="CU189">
        <v>506911.1691</v>
      </c>
      <c r="CV189">
        <v>5021643.8493999997</v>
      </c>
      <c r="CW189">
        <v>45.34827894</v>
      </c>
      <c r="CX189">
        <v>-92.91178343</v>
      </c>
      <c r="CY189" s="472">
        <v>43411.253472222219</v>
      </c>
      <c r="CZ189" t="s">
        <v>391</v>
      </c>
      <c r="DA189" t="s">
        <v>392</v>
      </c>
      <c r="DB189" t="s">
        <v>397</v>
      </c>
      <c r="DC189" t="s">
        <v>398</v>
      </c>
      <c r="DD189" s="18" t="s">
        <v>589</v>
      </c>
    </row>
    <row r="190" spans="1:108" ht="16.5" customHeight="1" x14ac:dyDescent="0.25">
      <c r="A190">
        <v>14</v>
      </c>
      <c r="B190">
        <v>756124</v>
      </c>
      <c r="C190">
        <v>2</v>
      </c>
      <c r="D190">
        <v>8</v>
      </c>
      <c r="E190">
        <v>6.75</v>
      </c>
      <c r="F190">
        <v>13</v>
      </c>
      <c r="G190" t="s">
        <v>440</v>
      </c>
      <c r="I190" t="s">
        <v>384</v>
      </c>
      <c r="J190">
        <v>24</v>
      </c>
      <c r="L190">
        <v>19409281</v>
      </c>
      <c r="M190">
        <v>192940164</v>
      </c>
      <c r="N190">
        <v>10</v>
      </c>
      <c r="O190">
        <v>21</v>
      </c>
      <c r="P190">
        <v>2019</v>
      </c>
      <c r="Q190" t="s">
        <v>400</v>
      </c>
      <c r="R190">
        <v>15</v>
      </c>
      <c r="S190">
        <v>98</v>
      </c>
      <c r="T190">
        <v>5</v>
      </c>
      <c r="U190">
        <v>0</v>
      </c>
      <c r="V190">
        <v>2</v>
      </c>
      <c r="W190">
        <v>12</v>
      </c>
      <c r="X190">
        <v>10</v>
      </c>
      <c r="Y190">
        <v>10</v>
      </c>
      <c r="Z190">
        <v>1</v>
      </c>
      <c r="AA190">
        <v>2</v>
      </c>
      <c r="AC190">
        <v>1</v>
      </c>
      <c r="AD190">
        <v>98</v>
      </c>
      <c r="AE190" t="s">
        <v>388</v>
      </c>
      <c r="AG190" t="s">
        <v>389</v>
      </c>
      <c r="AH190">
        <v>7</v>
      </c>
      <c r="AI190">
        <v>2</v>
      </c>
      <c r="AJ190">
        <v>2</v>
      </c>
      <c r="AK190">
        <v>4</v>
      </c>
      <c r="AL190">
        <v>26</v>
      </c>
      <c r="AM190">
        <v>18</v>
      </c>
      <c r="AN190" t="s">
        <v>384</v>
      </c>
      <c r="AO190">
        <v>5</v>
      </c>
      <c r="AP190">
        <v>1</v>
      </c>
      <c r="AT190">
        <v>12</v>
      </c>
      <c r="AU190">
        <v>9</v>
      </c>
      <c r="AV190">
        <v>55</v>
      </c>
      <c r="AW190">
        <v>11</v>
      </c>
      <c r="AX190">
        <v>21</v>
      </c>
      <c r="AY190">
        <v>2</v>
      </c>
      <c r="AZ190">
        <v>4</v>
      </c>
      <c r="BA190">
        <v>4</v>
      </c>
      <c r="BB190">
        <v>21</v>
      </c>
      <c r="BC190">
        <v>27</v>
      </c>
      <c r="BD190" t="s">
        <v>384</v>
      </c>
      <c r="BE190">
        <v>5</v>
      </c>
      <c r="BF190">
        <v>4</v>
      </c>
      <c r="BJ190">
        <v>12</v>
      </c>
      <c r="BK190">
        <v>9</v>
      </c>
      <c r="BL190">
        <v>55</v>
      </c>
      <c r="BM190">
        <v>11</v>
      </c>
      <c r="BN190">
        <v>21</v>
      </c>
      <c r="CU190">
        <v>506911.62800000003</v>
      </c>
      <c r="CV190">
        <v>5021666.9373000003</v>
      </c>
      <c r="CW190">
        <v>45.34848676</v>
      </c>
      <c r="CX190">
        <v>-92.911777240000006</v>
      </c>
      <c r="CY190" s="472">
        <v>43759.654166666667</v>
      </c>
      <c r="CZ190" t="s">
        <v>391</v>
      </c>
      <c r="DA190" t="s">
        <v>392</v>
      </c>
      <c r="DB190" t="s">
        <v>397</v>
      </c>
      <c r="DC190" t="s">
        <v>398</v>
      </c>
      <c r="DD190" s="18" t="s">
        <v>590</v>
      </c>
    </row>
    <row r="191" spans="1:108" ht="16.5" customHeight="1" x14ac:dyDescent="0.25">
      <c r="A191">
        <v>14</v>
      </c>
      <c r="B191">
        <v>968512</v>
      </c>
      <c r="C191">
        <v>2</v>
      </c>
      <c r="D191">
        <v>8</v>
      </c>
      <c r="E191">
        <v>6.79</v>
      </c>
      <c r="F191">
        <v>13</v>
      </c>
      <c r="G191" t="s">
        <v>440</v>
      </c>
      <c r="I191" t="s">
        <v>384</v>
      </c>
      <c r="J191">
        <v>24</v>
      </c>
      <c r="L191">
        <v>21406780</v>
      </c>
      <c r="M191">
        <v>212950057</v>
      </c>
      <c r="N191">
        <v>10</v>
      </c>
      <c r="O191">
        <v>22</v>
      </c>
      <c r="P191">
        <v>2021</v>
      </c>
      <c r="Q191" t="s">
        <v>415</v>
      </c>
      <c r="R191">
        <v>11</v>
      </c>
      <c r="S191">
        <v>98</v>
      </c>
      <c r="T191">
        <v>5</v>
      </c>
      <c r="U191">
        <v>0</v>
      </c>
      <c r="V191">
        <v>2</v>
      </c>
      <c r="W191">
        <v>12</v>
      </c>
      <c r="X191">
        <v>10</v>
      </c>
      <c r="Y191">
        <v>4</v>
      </c>
      <c r="Z191">
        <v>1</v>
      </c>
      <c r="AA191">
        <v>1</v>
      </c>
      <c r="AC191">
        <v>1</v>
      </c>
      <c r="AD191">
        <v>98</v>
      </c>
      <c r="AE191" t="s">
        <v>412</v>
      </c>
      <c r="AF191" t="s">
        <v>591</v>
      </c>
      <c r="AG191" t="s">
        <v>389</v>
      </c>
      <c r="AH191">
        <v>7</v>
      </c>
      <c r="AI191">
        <v>2</v>
      </c>
      <c r="AJ191">
        <v>5</v>
      </c>
      <c r="AK191">
        <v>4</v>
      </c>
      <c r="AL191">
        <v>26</v>
      </c>
      <c r="AM191">
        <v>71</v>
      </c>
      <c r="AN191" t="s">
        <v>384</v>
      </c>
      <c r="AO191">
        <v>5</v>
      </c>
      <c r="AP191">
        <v>1</v>
      </c>
      <c r="AT191">
        <v>12</v>
      </c>
      <c r="AU191">
        <v>9</v>
      </c>
      <c r="AV191">
        <v>55</v>
      </c>
      <c r="AW191">
        <v>13</v>
      </c>
      <c r="AX191">
        <v>21</v>
      </c>
      <c r="AY191">
        <v>2</v>
      </c>
      <c r="AZ191">
        <v>3</v>
      </c>
      <c r="BA191">
        <v>4</v>
      </c>
      <c r="BB191">
        <v>21</v>
      </c>
      <c r="BC191">
        <v>55</v>
      </c>
      <c r="BD191" t="s">
        <v>390</v>
      </c>
      <c r="BE191">
        <v>5</v>
      </c>
      <c r="BF191">
        <v>74</v>
      </c>
      <c r="BJ191">
        <v>12</v>
      </c>
      <c r="BK191">
        <v>9</v>
      </c>
      <c r="BL191">
        <v>55</v>
      </c>
      <c r="BM191">
        <v>13</v>
      </c>
      <c r="BN191">
        <v>21</v>
      </c>
      <c r="CU191">
        <v>506912.98509999999</v>
      </c>
      <c r="CV191">
        <v>5021730.3564999998</v>
      </c>
      <c r="CW191">
        <v>45.349057610000003</v>
      </c>
      <c r="CX191">
        <v>-92.911759029999999</v>
      </c>
      <c r="CY191" s="472">
        <v>44491.480555555558</v>
      </c>
      <c r="CZ191" t="s">
        <v>391</v>
      </c>
      <c r="DA191" t="s">
        <v>392</v>
      </c>
      <c r="DB191" t="s">
        <v>397</v>
      </c>
      <c r="DC191" t="s">
        <v>398</v>
      </c>
      <c r="DD191" t="s">
        <v>592</v>
      </c>
    </row>
    <row r="192" spans="1:108" ht="16.5" customHeight="1" x14ac:dyDescent="0.25">
      <c r="A192">
        <v>14</v>
      </c>
      <c r="B192">
        <v>815197</v>
      </c>
      <c r="C192">
        <v>2</v>
      </c>
      <c r="D192">
        <v>8</v>
      </c>
      <c r="E192">
        <v>6.8780000000000001</v>
      </c>
      <c r="F192">
        <v>13</v>
      </c>
      <c r="G192" t="s">
        <v>440</v>
      </c>
      <c r="I192" t="s">
        <v>384</v>
      </c>
      <c r="J192">
        <v>24</v>
      </c>
      <c r="L192">
        <v>20002596</v>
      </c>
      <c r="M192">
        <v>201690172</v>
      </c>
      <c r="N192">
        <v>6</v>
      </c>
      <c r="O192">
        <v>17</v>
      </c>
      <c r="P192">
        <v>2020</v>
      </c>
      <c r="Q192" t="s">
        <v>396</v>
      </c>
      <c r="R192">
        <v>15</v>
      </c>
      <c r="S192">
        <v>98</v>
      </c>
      <c r="T192">
        <v>5</v>
      </c>
      <c r="U192">
        <v>0</v>
      </c>
      <c r="V192">
        <v>1</v>
      </c>
      <c r="X192">
        <v>16</v>
      </c>
      <c r="Y192">
        <v>2</v>
      </c>
      <c r="Z192">
        <v>1</v>
      </c>
      <c r="AA192">
        <v>1</v>
      </c>
      <c r="AC192">
        <v>1</v>
      </c>
      <c r="AD192">
        <v>98</v>
      </c>
      <c r="AE192" t="s">
        <v>388</v>
      </c>
      <c r="AG192" t="s">
        <v>389</v>
      </c>
      <c r="AH192">
        <v>4</v>
      </c>
      <c r="AI192">
        <v>2</v>
      </c>
      <c r="AJ192">
        <v>2</v>
      </c>
      <c r="AK192">
        <v>4</v>
      </c>
      <c r="AL192">
        <v>21</v>
      </c>
      <c r="AM192">
        <v>19</v>
      </c>
      <c r="AN192" t="s">
        <v>384</v>
      </c>
      <c r="AO192">
        <v>5</v>
      </c>
      <c r="AP192">
        <v>1</v>
      </c>
      <c r="AT192">
        <v>12</v>
      </c>
      <c r="AU192">
        <v>98</v>
      </c>
      <c r="AV192">
        <v>55</v>
      </c>
      <c r="AW192">
        <v>11</v>
      </c>
      <c r="AX192">
        <v>21</v>
      </c>
      <c r="CU192">
        <v>506915.9167</v>
      </c>
      <c r="CV192">
        <v>5021872.3864000002</v>
      </c>
      <c r="CW192">
        <v>45.350336040000002</v>
      </c>
      <c r="CX192">
        <v>-92.91171962</v>
      </c>
      <c r="CY192" s="472">
        <v>43999.659722222219</v>
      </c>
      <c r="CZ192" t="s">
        <v>391</v>
      </c>
      <c r="DA192" t="s">
        <v>392</v>
      </c>
      <c r="DB192" t="s">
        <v>445</v>
      </c>
      <c r="DC192" t="s">
        <v>394</v>
      </c>
      <c r="DD192" t="s">
        <v>593</v>
      </c>
    </row>
    <row r="193" spans="1:108" ht="16.5" customHeight="1" x14ac:dyDescent="0.25">
      <c r="A193">
        <v>15</v>
      </c>
      <c r="B193">
        <v>648566</v>
      </c>
      <c r="C193">
        <v>2</v>
      </c>
      <c r="D193">
        <v>8</v>
      </c>
      <c r="E193">
        <v>7.6280000000000001</v>
      </c>
      <c r="F193">
        <v>13</v>
      </c>
      <c r="G193" t="s">
        <v>440</v>
      </c>
      <c r="I193" t="s">
        <v>384</v>
      </c>
      <c r="J193">
        <v>24</v>
      </c>
      <c r="L193">
        <v>18408841</v>
      </c>
      <c r="M193">
        <v>182730094</v>
      </c>
      <c r="N193">
        <v>9</v>
      </c>
      <c r="O193">
        <v>30</v>
      </c>
      <c r="P193">
        <v>2018</v>
      </c>
      <c r="Q193" t="s">
        <v>422</v>
      </c>
      <c r="R193">
        <v>21</v>
      </c>
      <c r="S193">
        <v>98</v>
      </c>
      <c r="T193">
        <v>3</v>
      </c>
      <c r="U193">
        <v>0</v>
      </c>
      <c r="V193">
        <v>2</v>
      </c>
      <c r="W193">
        <v>13</v>
      </c>
      <c r="X193">
        <v>10</v>
      </c>
      <c r="Y193">
        <v>2</v>
      </c>
      <c r="Z193">
        <v>6</v>
      </c>
      <c r="AA193">
        <v>1</v>
      </c>
      <c r="AC193">
        <v>1</v>
      </c>
      <c r="AD193">
        <v>98</v>
      </c>
      <c r="AE193" t="s">
        <v>594</v>
      </c>
      <c r="AG193" t="s">
        <v>389</v>
      </c>
      <c r="AH193">
        <v>8</v>
      </c>
      <c r="AI193">
        <v>2</v>
      </c>
      <c r="AJ193">
        <v>2</v>
      </c>
      <c r="AK193">
        <v>3</v>
      </c>
      <c r="AL193">
        <v>21</v>
      </c>
      <c r="AM193">
        <v>72</v>
      </c>
      <c r="AN193" t="s">
        <v>390</v>
      </c>
      <c r="AO193">
        <v>5</v>
      </c>
      <c r="AP193">
        <v>1</v>
      </c>
      <c r="AT193">
        <v>12</v>
      </c>
      <c r="AU193">
        <v>9</v>
      </c>
      <c r="AV193">
        <v>55</v>
      </c>
      <c r="AW193">
        <v>11</v>
      </c>
      <c r="AX193">
        <v>21</v>
      </c>
      <c r="AY193">
        <v>2</v>
      </c>
      <c r="AZ193">
        <v>4</v>
      </c>
      <c r="BA193">
        <v>4</v>
      </c>
      <c r="BB193">
        <v>21</v>
      </c>
      <c r="BC193">
        <v>22</v>
      </c>
      <c r="BD193" t="s">
        <v>384</v>
      </c>
      <c r="BE193">
        <v>10</v>
      </c>
      <c r="BF193">
        <v>67</v>
      </c>
      <c r="BG193">
        <v>70</v>
      </c>
      <c r="BJ193">
        <v>12</v>
      </c>
      <c r="BK193">
        <v>9</v>
      </c>
      <c r="BL193">
        <v>55</v>
      </c>
      <c r="BM193">
        <v>11</v>
      </c>
      <c r="BN193">
        <v>21</v>
      </c>
      <c r="CU193">
        <v>507232.38520000002</v>
      </c>
      <c r="CV193">
        <v>5023026.8287000004</v>
      </c>
      <c r="CW193">
        <v>45.360724390000001</v>
      </c>
      <c r="CX193">
        <v>-92.907662720000005</v>
      </c>
      <c r="CY193" s="472">
        <v>43373.895833333336</v>
      </c>
      <c r="CZ193" t="s">
        <v>391</v>
      </c>
      <c r="DA193" t="s">
        <v>392</v>
      </c>
      <c r="DB193" t="s">
        <v>397</v>
      </c>
      <c r="DC193" t="s">
        <v>398</v>
      </c>
      <c r="DD193" s="18" t="s">
        <v>595</v>
      </c>
    </row>
    <row r="194" spans="1:108" ht="16.5" customHeight="1" x14ac:dyDescent="0.25">
      <c r="A194">
        <v>15</v>
      </c>
      <c r="B194">
        <v>774834</v>
      </c>
      <c r="C194">
        <v>2</v>
      </c>
      <c r="D194">
        <v>8</v>
      </c>
      <c r="E194">
        <v>7.8310000000000004</v>
      </c>
      <c r="F194">
        <v>13</v>
      </c>
      <c r="G194" t="s">
        <v>440</v>
      </c>
      <c r="I194" t="s">
        <v>384</v>
      </c>
      <c r="J194">
        <v>24</v>
      </c>
      <c r="L194">
        <v>19006375</v>
      </c>
      <c r="M194">
        <v>193620186</v>
      </c>
      <c r="N194">
        <v>12</v>
      </c>
      <c r="O194">
        <v>28</v>
      </c>
      <c r="P194">
        <v>2019</v>
      </c>
      <c r="Q194" t="s">
        <v>405</v>
      </c>
      <c r="R194">
        <v>7</v>
      </c>
      <c r="S194">
        <v>98</v>
      </c>
      <c r="T194">
        <v>5</v>
      </c>
      <c r="U194">
        <v>0</v>
      </c>
      <c r="V194">
        <v>2</v>
      </c>
      <c r="W194">
        <v>11</v>
      </c>
      <c r="X194">
        <v>10</v>
      </c>
      <c r="Y194">
        <v>2</v>
      </c>
      <c r="Z194">
        <v>2</v>
      </c>
      <c r="AA194">
        <v>3</v>
      </c>
      <c r="AC194">
        <v>5</v>
      </c>
      <c r="AD194">
        <v>98</v>
      </c>
      <c r="AE194" t="s">
        <v>492</v>
      </c>
      <c r="AG194" t="s">
        <v>389</v>
      </c>
      <c r="AH194">
        <v>6</v>
      </c>
      <c r="AI194">
        <v>2</v>
      </c>
      <c r="AJ194">
        <v>2</v>
      </c>
      <c r="AK194">
        <v>4</v>
      </c>
      <c r="AL194">
        <v>21</v>
      </c>
      <c r="AM194">
        <v>28</v>
      </c>
      <c r="AN194" t="s">
        <v>390</v>
      </c>
      <c r="AO194">
        <v>5</v>
      </c>
      <c r="AP194">
        <v>1</v>
      </c>
      <c r="AT194">
        <v>12</v>
      </c>
      <c r="AU194">
        <v>9</v>
      </c>
      <c r="AV194">
        <v>55</v>
      </c>
      <c r="AW194">
        <v>12</v>
      </c>
      <c r="AX194">
        <v>23</v>
      </c>
      <c r="AY194">
        <v>2</v>
      </c>
      <c r="AZ194">
        <v>2</v>
      </c>
      <c r="BA194">
        <v>4</v>
      </c>
      <c r="BB194">
        <v>21</v>
      </c>
      <c r="BC194">
        <v>25</v>
      </c>
      <c r="BD194" t="s">
        <v>390</v>
      </c>
      <c r="BE194">
        <v>5</v>
      </c>
      <c r="BF194">
        <v>1</v>
      </c>
      <c r="BJ194">
        <v>12</v>
      </c>
      <c r="BK194">
        <v>9</v>
      </c>
      <c r="BL194">
        <v>55</v>
      </c>
      <c r="BM194">
        <v>12</v>
      </c>
      <c r="BN194">
        <v>23</v>
      </c>
      <c r="CU194">
        <v>507369.9706</v>
      </c>
      <c r="CV194">
        <v>5023320.4515000004</v>
      </c>
      <c r="CW194">
        <v>45.363365960000003</v>
      </c>
      <c r="CX194">
        <v>-92.905901610000001</v>
      </c>
      <c r="CY194" s="472">
        <v>43827.316666666666</v>
      </c>
      <c r="CZ194" t="s">
        <v>391</v>
      </c>
      <c r="DA194" t="s">
        <v>392</v>
      </c>
      <c r="DB194" t="s">
        <v>445</v>
      </c>
      <c r="DC194" t="s">
        <v>394</v>
      </c>
      <c r="DD194" t="s">
        <v>596</v>
      </c>
    </row>
    <row r="195" spans="1:108" ht="16.5" customHeight="1" x14ac:dyDescent="0.25">
      <c r="A195">
        <v>15</v>
      </c>
      <c r="B195">
        <v>767540</v>
      </c>
      <c r="C195">
        <v>2</v>
      </c>
      <c r="D195">
        <v>8</v>
      </c>
      <c r="E195">
        <v>8.14</v>
      </c>
      <c r="F195">
        <v>13</v>
      </c>
      <c r="G195" t="s">
        <v>440</v>
      </c>
      <c r="I195" t="s">
        <v>384</v>
      </c>
      <c r="J195">
        <v>24</v>
      </c>
      <c r="L195">
        <v>19410773</v>
      </c>
      <c r="M195">
        <v>193360241</v>
      </c>
      <c r="N195">
        <v>12</v>
      </c>
      <c r="O195">
        <v>2</v>
      </c>
      <c r="P195">
        <v>2019</v>
      </c>
      <c r="Q195" t="s">
        <v>400</v>
      </c>
      <c r="R195">
        <v>16</v>
      </c>
      <c r="S195">
        <v>98</v>
      </c>
      <c r="T195">
        <v>3</v>
      </c>
      <c r="U195">
        <v>0</v>
      </c>
      <c r="V195">
        <v>1</v>
      </c>
      <c r="X195">
        <v>48</v>
      </c>
      <c r="Y195">
        <v>2</v>
      </c>
      <c r="Z195">
        <v>3</v>
      </c>
      <c r="AA195">
        <v>1</v>
      </c>
      <c r="AC195">
        <v>1</v>
      </c>
      <c r="AD195">
        <v>98</v>
      </c>
      <c r="AE195" t="s">
        <v>597</v>
      </c>
      <c r="AG195" t="s">
        <v>389</v>
      </c>
      <c r="AH195">
        <v>3</v>
      </c>
      <c r="AI195">
        <v>2</v>
      </c>
      <c r="AJ195">
        <v>3</v>
      </c>
      <c r="AK195">
        <v>3</v>
      </c>
      <c r="AL195">
        <v>21</v>
      </c>
      <c r="AM195">
        <v>62</v>
      </c>
      <c r="AN195" t="s">
        <v>384</v>
      </c>
      <c r="AO195">
        <v>7</v>
      </c>
      <c r="AP195">
        <v>90</v>
      </c>
      <c r="AT195">
        <v>12</v>
      </c>
      <c r="AU195">
        <v>9</v>
      </c>
      <c r="AV195">
        <v>55</v>
      </c>
      <c r="AW195">
        <v>11</v>
      </c>
      <c r="AX195">
        <v>21</v>
      </c>
      <c r="CU195">
        <v>507674.41249999998</v>
      </c>
      <c r="CV195">
        <v>5023715.0815000003</v>
      </c>
      <c r="CW195">
        <v>45.366914889999997</v>
      </c>
      <c r="CX195">
        <v>-92.902008109999997</v>
      </c>
      <c r="CY195" s="472">
        <v>43801.685416666667</v>
      </c>
      <c r="CZ195" t="s">
        <v>391</v>
      </c>
      <c r="DA195" t="s">
        <v>392</v>
      </c>
      <c r="DB195" t="s">
        <v>397</v>
      </c>
      <c r="DC195" t="s">
        <v>398</v>
      </c>
      <c r="DD195" s="18" t="s">
        <v>598</v>
      </c>
    </row>
    <row r="196" spans="1:108" ht="16.5" customHeight="1" x14ac:dyDescent="0.25">
      <c r="A196">
        <v>15</v>
      </c>
      <c r="B196">
        <v>984497</v>
      </c>
      <c r="C196">
        <v>2</v>
      </c>
      <c r="D196">
        <v>8</v>
      </c>
      <c r="E196">
        <v>8.16</v>
      </c>
      <c r="F196">
        <v>13</v>
      </c>
      <c r="G196" t="s">
        <v>440</v>
      </c>
      <c r="I196" t="s">
        <v>384</v>
      </c>
      <c r="J196">
        <v>24</v>
      </c>
      <c r="L196">
        <v>21408834</v>
      </c>
      <c r="M196">
        <v>213630171</v>
      </c>
      <c r="N196">
        <v>12</v>
      </c>
      <c r="O196">
        <v>29</v>
      </c>
      <c r="P196">
        <v>2021</v>
      </c>
      <c r="Q196" t="s">
        <v>396</v>
      </c>
      <c r="R196">
        <v>10</v>
      </c>
      <c r="T196">
        <v>5</v>
      </c>
      <c r="U196">
        <v>0</v>
      </c>
      <c r="V196">
        <v>1</v>
      </c>
      <c r="X196">
        <v>28</v>
      </c>
      <c r="Y196">
        <v>2</v>
      </c>
      <c r="Z196">
        <v>1</v>
      </c>
      <c r="AA196">
        <v>1</v>
      </c>
      <c r="AC196">
        <v>5</v>
      </c>
      <c r="AD196">
        <v>98</v>
      </c>
      <c r="AE196" t="s">
        <v>388</v>
      </c>
      <c r="AF196" t="s">
        <v>599</v>
      </c>
      <c r="AG196" t="s">
        <v>389</v>
      </c>
      <c r="AH196">
        <v>3</v>
      </c>
      <c r="AI196">
        <v>2</v>
      </c>
      <c r="AJ196">
        <v>3</v>
      </c>
      <c r="AK196">
        <v>3</v>
      </c>
      <c r="AL196">
        <v>21</v>
      </c>
      <c r="AM196">
        <v>65</v>
      </c>
      <c r="AN196" t="s">
        <v>384</v>
      </c>
      <c r="AO196">
        <v>5</v>
      </c>
      <c r="AP196">
        <v>99</v>
      </c>
      <c r="AT196">
        <v>12</v>
      </c>
      <c r="AU196">
        <v>9</v>
      </c>
      <c r="AV196">
        <v>55</v>
      </c>
      <c r="AW196">
        <v>11</v>
      </c>
      <c r="AX196">
        <v>24</v>
      </c>
      <c r="CU196">
        <v>507694.08549999999</v>
      </c>
      <c r="CV196">
        <v>5023740.2669000002</v>
      </c>
      <c r="CW196">
        <v>45.367141369999999</v>
      </c>
      <c r="CX196">
        <v>-92.901756500000005</v>
      </c>
      <c r="CY196" s="472">
        <v>44559.431250000001</v>
      </c>
      <c r="CZ196" t="s">
        <v>391</v>
      </c>
      <c r="DA196" t="s">
        <v>392</v>
      </c>
      <c r="DB196" t="s">
        <v>397</v>
      </c>
      <c r="DC196" t="s">
        <v>398</v>
      </c>
      <c r="DD196" t="s">
        <v>600</v>
      </c>
    </row>
    <row r="197" spans="1:108" ht="16.5" customHeight="1" x14ac:dyDescent="0.25">
      <c r="A197">
        <v>15</v>
      </c>
      <c r="B197">
        <v>984495</v>
      </c>
      <c r="C197">
        <v>2</v>
      </c>
      <c r="D197">
        <v>8</v>
      </c>
      <c r="E197">
        <v>8.1609999999999996</v>
      </c>
      <c r="F197">
        <v>13</v>
      </c>
      <c r="G197" t="s">
        <v>440</v>
      </c>
      <c r="I197" t="s">
        <v>384</v>
      </c>
      <c r="J197">
        <v>24</v>
      </c>
      <c r="L197">
        <v>21408815</v>
      </c>
      <c r="M197">
        <v>213630167</v>
      </c>
      <c r="N197">
        <v>12</v>
      </c>
      <c r="O197">
        <v>29</v>
      </c>
      <c r="P197">
        <v>2021</v>
      </c>
      <c r="Q197" t="s">
        <v>396</v>
      </c>
      <c r="R197">
        <v>7</v>
      </c>
      <c r="T197">
        <v>5</v>
      </c>
      <c r="U197">
        <v>0</v>
      </c>
      <c r="V197">
        <v>1</v>
      </c>
      <c r="X197">
        <v>83</v>
      </c>
      <c r="Y197">
        <v>2</v>
      </c>
      <c r="Z197">
        <v>4</v>
      </c>
      <c r="AA197">
        <v>1</v>
      </c>
      <c r="AC197">
        <v>5</v>
      </c>
      <c r="AD197">
        <v>98</v>
      </c>
      <c r="AE197" t="s">
        <v>388</v>
      </c>
      <c r="AF197" t="s">
        <v>599</v>
      </c>
      <c r="AG197" t="s">
        <v>389</v>
      </c>
      <c r="AH197">
        <v>3</v>
      </c>
      <c r="AI197">
        <v>2</v>
      </c>
      <c r="AJ197">
        <v>4</v>
      </c>
      <c r="AK197">
        <v>4</v>
      </c>
      <c r="AL197">
        <v>21</v>
      </c>
      <c r="AM197">
        <v>25</v>
      </c>
      <c r="AN197" t="s">
        <v>390</v>
      </c>
      <c r="AO197">
        <v>5</v>
      </c>
      <c r="AP197">
        <v>62</v>
      </c>
      <c r="AT197">
        <v>12</v>
      </c>
      <c r="AU197">
        <v>9</v>
      </c>
      <c r="AV197">
        <v>55</v>
      </c>
      <c r="AW197">
        <v>11</v>
      </c>
      <c r="AX197">
        <v>24</v>
      </c>
      <c r="CU197">
        <v>507695.11259999999</v>
      </c>
      <c r="CV197">
        <v>5023741.5817999998</v>
      </c>
      <c r="CW197">
        <v>45.367153199999997</v>
      </c>
      <c r="CX197">
        <v>-92.901743359999998</v>
      </c>
      <c r="CY197" s="472">
        <v>44559.300694444442</v>
      </c>
      <c r="CZ197" t="s">
        <v>391</v>
      </c>
      <c r="DA197" t="s">
        <v>392</v>
      </c>
      <c r="DB197" t="s">
        <v>397</v>
      </c>
      <c r="DC197" t="s">
        <v>398</v>
      </c>
      <c r="DD197" t="s">
        <v>601</v>
      </c>
    </row>
    <row r="198" spans="1:108" ht="16.5" customHeight="1" x14ac:dyDescent="0.25">
      <c r="A198">
        <v>15</v>
      </c>
      <c r="B198">
        <v>984498</v>
      </c>
      <c r="C198">
        <v>2</v>
      </c>
      <c r="D198">
        <v>8</v>
      </c>
      <c r="E198">
        <v>8.1630000000000003</v>
      </c>
      <c r="F198">
        <v>13</v>
      </c>
      <c r="G198" t="s">
        <v>440</v>
      </c>
      <c r="I198" t="s">
        <v>384</v>
      </c>
      <c r="J198">
        <v>24</v>
      </c>
      <c r="L198">
        <v>21408837</v>
      </c>
      <c r="M198">
        <v>213630173</v>
      </c>
      <c r="N198">
        <v>12</v>
      </c>
      <c r="O198">
        <v>29</v>
      </c>
      <c r="P198">
        <v>2021</v>
      </c>
      <c r="Q198" t="s">
        <v>396</v>
      </c>
      <c r="R198">
        <v>10</v>
      </c>
      <c r="T198">
        <v>5</v>
      </c>
      <c r="U198">
        <v>0</v>
      </c>
      <c r="V198">
        <v>1</v>
      </c>
      <c r="X198">
        <v>61</v>
      </c>
      <c r="Y198">
        <v>2</v>
      </c>
      <c r="Z198">
        <v>1</v>
      </c>
      <c r="AA198">
        <v>1</v>
      </c>
      <c r="AC198">
        <v>5</v>
      </c>
      <c r="AD198">
        <v>98</v>
      </c>
      <c r="AE198" t="s">
        <v>388</v>
      </c>
      <c r="AF198" t="s">
        <v>599</v>
      </c>
      <c r="AG198" t="s">
        <v>389</v>
      </c>
      <c r="AH198">
        <v>3</v>
      </c>
      <c r="AI198">
        <v>2</v>
      </c>
      <c r="AJ198">
        <v>3</v>
      </c>
      <c r="AK198">
        <v>3</v>
      </c>
      <c r="AL198">
        <v>21</v>
      </c>
      <c r="AM198">
        <v>53</v>
      </c>
      <c r="AN198" t="s">
        <v>390</v>
      </c>
      <c r="AO198">
        <v>5</v>
      </c>
      <c r="AP198">
        <v>99</v>
      </c>
      <c r="AT198">
        <v>12</v>
      </c>
      <c r="AU198">
        <v>9</v>
      </c>
      <c r="AV198">
        <v>55</v>
      </c>
      <c r="AW198">
        <v>11</v>
      </c>
      <c r="AX198">
        <v>23</v>
      </c>
      <c r="CU198">
        <v>507697.1667</v>
      </c>
      <c r="CV198">
        <v>5023744.2114000004</v>
      </c>
      <c r="CW198">
        <v>45.367176839999999</v>
      </c>
      <c r="CX198">
        <v>-92.901717090000005</v>
      </c>
      <c r="CY198" s="472">
        <v>44559.431944444441</v>
      </c>
      <c r="CZ198" t="s">
        <v>391</v>
      </c>
      <c r="DA198" t="s">
        <v>392</v>
      </c>
      <c r="DB198" t="s">
        <v>397</v>
      </c>
      <c r="DC198" t="s">
        <v>398</v>
      </c>
      <c r="DD198" t="s">
        <v>602</v>
      </c>
    </row>
    <row r="199" spans="1:108" ht="16.5" customHeight="1" x14ac:dyDescent="0.25">
      <c r="A199">
        <v>15</v>
      </c>
      <c r="B199">
        <v>984496</v>
      </c>
      <c r="C199">
        <v>2</v>
      </c>
      <c r="D199">
        <v>8</v>
      </c>
      <c r="E199">
        <v>8.1669999999999998</v>
      </c>
      <c r="F199">
        <v>13</v>
      </c>
      <c r="G199" t="s">
        <v>440</v>
      </c>
      <c r="I199" t="s">
        <v>384</v>
      </c>
      <c r="J199">
        <v>24</v>
      </c>
      <c r="L199">
        <v>21408825</v>
      </c>
      <c r="M199">
        <v>213630169</v>
      </c>
      <c r="N199">
        <v>12</v>
      </c>
      <c r="O199">
        <v>29</v>
      </c>
      <c r="P199">
        <v>2021</v>
      </c>
      <c r="Q199" t="s">
        <v>396</v>
      </c>
      <c r="R199">
        <v>8</v>
      </c>
      <c r="T199">
        <v>5</v>
      </c>
      <c r="U199">
        <v>0</v>
      </c>
      <c r="V199">
        <v>1</v>
      </c>
      <c r="X199">
        <v>61</v>
      </c>
      <c r="Y199">
        <v>2</v>
      </c>
      <c r="Z199">
        <v>1</v>
      </c>
      <c r="AA199">
        <v>1</v>
      </c>
      <c r="AC199">
        <v>5</v>
      </c>
      <c r="AD199">
        <v>98</v>
      </c>
      <c r="AE199" t="s">
        <v>388</v>
      </c>
      <c r="AF199" t="s">
        <v>599</v>
      </c>
      <c r="AG199" t="s">
        <v>389</v>
      </c>
      <c r="AH199">
        <v>3</v>
      </c>
      <c r="AI199">
        <v>2</v>
      </c>
      <c r="AJ199">
        <v>2</v>
      </c>
      <c r="AK199">
        <v>4</v>
      </c>
      <c r="AL199">
        <v>21</v>
      </c>
      <c r="AM199">
        <v>55</v>
      </c>
      <c r="AN199" t="s">
        <v>390</v>
      </c>
      <c r="AO199">
        <v>5</v>
      </c>
      <c r="AP199">
        <v>62</v>
      </c>
      <c r="AT199">
        <v>12</v>
      </c>
      <c r="AU199">
        <v>9</v>
      </c>
      <c r="AV199">
        <v>55</v>
      </c>
      <c r="AW199">
        <v>11</v>
      </c>
      <c r="AX199">
        <v>24</v>
      </c>
      <c r="CU199">
        <v>507700.6005</v>
      </c>
      <c r="CV199">
        <v>5023748.6074999999</v>
      </c>
      <c r="CW199">
        <v>45.367216380000002</v>
      </c>
      <c r="CX199">
        <v>-92.901673169999995</v>
      </c>
      <c r="CY199" s="472">
        <v>44559.353472222225</v>
      </c>
      <c r="CZ199" t="s">
        <v>391</v>
      </c>
      <c r="DA199" t="s">
        <v>392</v>
      </c>
      <c r="DB199" t="s">
        <v>397</v>
      </c>
      <c r="DC199" t="s">
        <v>398</v>
      </c>
      <c r="DD199" t="s">
        <v>603</v>
      </c>
    </row>
    <row r="200" spans="1:108" ht="16.5" customHeight="1" x14ac:dyDescent="0.25">
      <c r="A200">
        <v>15</v>
      </c>
      <c r="B200">
        <v>775584</v>
      </c>
      <c r="C200">
        <v>2</v>
      </c>
      <c r="D200">
        <v>8</v>
      </c>
      <c r="E200">
        <v>8.3130000000000006</v>
      </c>
      <c r="F200">
        <v>13</v>
      </c>
      <c r="G200" t="s">
        <v>440</v>
      </c>
      <c r="I200" t="s">
        <v>384</v>
      </c>
      <c r="J200">
        <v>24</v>
      </c>
      <c r="L200">
        <v>19411794</v>
      </c>
      <c r="M200">
        <v>193640229</v>
      </c>
      <c r="N200">
        <v>12</v>
      </c>
      <c r="O200">
        <v>30</v>
      </c>
      <c r="P200">
        <v>2019</v>
      </c>
      <c r="Q200" t="s">
        <v>400</v>
      </c>
      <c r="R200">
        <v>13</v>
      </c>
      <c r="S200">
        <v>98</v>
      </c>
      <c r="T200">
        <v>5</v>
      </c>
      <c r="U200">
        <v>0</v>
      </c>
      <c r="V200">
        <v>2</v>
      </c>
      <c r="W200">
        <v>5</v>
      </c>
      <c r="X200">
        <v>10</v>
      </c>
      <c r="Y200">
        <v>2</v>
      </c>
      <c r="Z200">
        <v>1</v>
      </c>
      <c r="AA200">
        <v>4</v>
      </c>
      <c r="AC200">
        <v>3</v>
      </c>
      <c r="AD200">
        <v>98</v>
      </c>
      <c r="AE200" t="s">
        <v>492</v>
      </c>
      <c r="AG200" t="s">
        <v>389</v>
      </c>
      <c r="AH200">
        <v>10</v>
      </c>
      <c r="AI200">
        <v>2</v>
      </c>
      <c r="AJ200">
        <v>2</v>
      </c>
      <c r="AK200">
        <v>4</v>
      </c>
      <c r="AL200">
        <v>21</v>
      </c>
      <c r="AM200">
        <v>38</v>
      </c>
      <c r="AN200" t="s">
        <v>384</v>
      </c>
      <c r="AO200">
        <v>5</v>
      </c>
      <c r="AP200">
        <v>68</v>
      </c>
      <c r="AT200">
        <v>12</v>
      </c>
      <c r="AU200">
        <v>9</v>
      </c>
      <c r="AV200">
        <v>55</v>
      </c>
      <c r="AW200">
        <v>11</v>
      </c>
      <c r="AX200">
        <v>21</v>
      </c>
      <c r="AY200">
        <v>2</v>
      </c>
      <c r="AZ200">
        <v>2</v>
      </c>
      <c r="BA200">
        <v>3</v>
      </c>
      <c r="BB200">
        <v>27</v>
      </c>
      <c r="BC200">
        <v>41</v>
      </c>
      <c r="BD200" t="s">
        <v>384</v>
      </c>
      <c r="BE200">
        <v>5</v>
      </c>
      <c r="BF200">
        <v>1</v>
      </c>
      <c r="BJ200">
        <v>12</v>
      </c>
      <c r="BK200">
        <v>9</v>
      </c>
      <c r="BL200">
        <v>55</v>
      </c>
      <c r="BM200">
        <v>11</v>
      </c>
      <c r="BN200">
        <v>21</v>
      </c>
      <c r="CU200">
        <v>507845.46519999998</v>
      </c>
      <c r="CV200">
        <v>5023933.0903000003</v>
      </c>
      <c r="CW200">
        <v>45.368875359999997</v>
      </c>
      <c r="CX200">
        <v>-92.899820360000007</v>
      </c>
      <c r="CY200" s="472">
        <v>43829.556944444441</v>
      </c>
      <c r="CZ200" t="s">
        <v>391</v>
      </c>
      <c r="DA200" t="s">
        <v>392</v>
      </c>
      <c r="DB200" t="s">
        <v>397</v>
      </c>
      <c r="DC200" t="s">
        <v>398</v>
      </c>
      <c r="DD200" s="18" t="s">
        <v>604</v>
      </c>
    </row>
    <row r="201" spans="1:108" ht="16.5" customHeight="1" x14ac:dyDescent="0.25">
      <c r="A201">
        <v>15</v>
      </c>
      <c r="B201">
        <v>533861</v>
      </c>
      <c r="C201">
        <v>2</v>
      </c>
      <c r="D201">
        <v>8</v>
      </c>
      <c r="E201">
        <v>8.3719999999999999</v>
      </c>
      <c r="F201">
        <v>13</v>
      </c>
      <c r="G201" t="s">
        <v>440</v>
      </c>
      <c r="I201" t="s">
        <v>384</v>
      </c>
      <c r="J201">
        <v>24</v>
      </c>
      <c r="L201">
        <v>18400329</v>
      </c>
      <c r="M201">
        <v>180080136</v>
      </c>
      <c r="N201">
        <v>1</v>
      </c>
      <c r="O201">
        <v>8</v>
      </c>
      <c r="P201">
        <v>2018</v>
      </c>
      <c r="Q201" t="s">
        <v>400</v>
      </c>
      <c r="R201">
        <v>15</v>
      </c>
      <c r="S201">
        <v>98</v>
      </c>
      <c r="T201">
        <v>4</v>
      </c>
      <c r="U201">
        <v>0</v>
      </c>
      <c r="V201">
        <v>3</v>
      </c>
      <c r="W201">
        <v>5</v>
      </c>
      <c r="X201">
        <v>10</v>
      </c>
      <c r="Y201">
        <v>2</v>
      </c>
      <c r="Z201">
        <v>1</v>
      </c>
      <c r="AA201">
        <v>1</v>
      </c>
      <c r="AC201">
        <v>1</v>
      </c>
      <c r="AD201">
        <v>98</v>
      </c>
      <c r="AE201" t="s">
        <v>605</v>
      </c>
      <c r="AG201" t="s">
        <v>389</v>
      </c>
      <c r="AH201">
        <v>10</v>
      </c>
      <c r="AI201">
        <v>2</v>
      </c>
      <c r="AJ201">
        <v>2</v>
      </c>
      <c r="AK201">
        <v>3</v>
      </c>
      <c r="AL201">
        <v>34</v>
      </c>
      <c r="AM201">
        <v>37</v>
      </c>
      <c r="AN201" t="s">
        <v>384</v>
      </c>
      <c r="AO201">
        <v>5</v>
      </c>
      <c r="AP201">
        <v>1</v>
      </c>
      <c r="AT201">
        <v>12</v>
      </c>
      <c r="AU201">
        <v>9</v>
      </c>
      <c r="AV201">
        <v>45</v>
      </c>
      <c r="AW201">
        <v>11</v>
      </c>
      <c r="AX201">
        <v>21</v>
      </c>
      <c r="AY201">
        <v>2</v>
      </c>
      <c r="AZ201">
        <v>5</v>
      </c>
      <c r="BA201">
        <v>3</v>
      </c>
      <c r="BB201">
        <v>34</v>
      </c>
      <c r="BC201">
        <v>59</v>
      </c>
      <c r="BD201" t="s">
        <v>384</v>
      </c>
      <c r="BE201">
        <v>5</v>
      </c>
      <c r="BF201">
        <v>1</v>
      </c>
      <c r="BJ201">
        <v>12</v>
      </c>
      <c r="BK201">
        <v>9</v>
      </c>
      <c r="BL201">
        <v>45</v>
      </c>
      <c r="BM201">
        <v>11</v>
      </c>
      <c r="BN201">
        <v>21</v>
      </c>
      <c r="BO201">
        <v>2</v>
      </c>
      <c r="BP201">
        <v>4</v>
      </c>
      <c r="BQ201">
        <v>3</v>
      </c>
      <c r="BR201">
        <v>21</v>
      </c>
      <c r="BS201">
        <v>47</v>
      </c>
      <c r="BT201" t="s">
        <v>390</v>
      </c>
      <c r="BU201">
        <v>5</v>
      </c>
      <c r="BV201">
        <v>74</v>
      </c>
      <c r="BZ201">
        <v>12</v>
      </c>
      <c r="CA201">
        <v>9</v>
      </c>
      <c r="CB201">
        <v>45</v>
      </c>
      <c r="CC201">
        <v>11</v>
      </c>
      <c r="CD201">
        <v>21</v>
      </c>
      <c r="CU201">
        <v>507903.48489999998</v>
      </c>
      <c r="CV201">
        <v>5024008.1919</v>
      </c>
      <c r="CW201">
        <v>45.369550719999999</v>
      </c>
      <c r="CX201">
        <v>-92.899078239999994</v>
      </c>
      <c r="CY201" s="472">
        <v>43108.652777777781</v>
      </c>
      <c r="CZ201" t="s">
        <v>391</v>
      </c>
      <c r="DA201" t="s">
        <v>392</v>
      </c>
      <c r="DB201" t="s">
        <v>397</v>
      </c>
      <c r="DC201" t="s">
        <v>398</v>
      </c>
      <c r="DD201" s="18" t="s">
        <v>606</v>
      </c>
    </row>
    <row r="202" spans="1:108" ht="16.5" customHeight="1" x14ac:dyDescent="0.25">
      <c r="A202">
        <v>13</v>
      </c>
      <c r="B202">
        <v>987362</v>
      </c>
      <c r="C202">
        <v>2</v>
      </c>
      <c r="D202">
        <v>8</v>
      </c>
      <c r="E202">
        <v>1.782</v>
      </c>
      <c r="F202">
        <v>82</v>
      </c>
      <c r="G202" t="s">
        <v>508</v>
      </c>
      <c r="I202" t="s">
        <v>384</v>
      </c>
      <c r="J202">
        <v>24</v>
      </c>
      <c r="L202">
        <v>22400292</v>
      </c>
      <c r="M202">
        <v>220070341</v>
      </c>
      <c r="N202">
        <v>1</v>
      </c>
      <c r="O202">
        <v>7</v>
      </c>
      <c r="P202">
        <v>2022</v>
      </c>
      <c r="Q202" t="s">
        <v>415</v>
      </c>
      <c r="R202">
        <v>8</v>
      </c>
      <c r="T202">
        <v>5</v>
      </c>
      <c r="U202">
        <v>0</v>
      </c>
      <c r="V202">
        <v>1</v>
      </c>
      <c r="X202">
        <v>32</v>
      </c>
      <c r="Y202">
        <v>2</v>
      </c>
      <c r="Z202">
        <v>1</v>
      </c>
      <c r="AA202">
        <v>1</v>
      </c>
      <c r="AC202">
        <v>5</v>
      </c>
      <c r="AD202">
        <v>98</v>
      </c>
      <c r="AE202" t="s">
        <v>388</v>
      </c>
      <c r="AG202" t="s">
        <v>389</v>
      </c>
      <c r="AH202">
        <v>3</v>
      </c>
      <c r="AI202">
        <v>2</v>
      </c>
      <c r="AJ202">
        <v>3</v>
      </c>
      <c r="AK202">
        <v>4</v>
      </c>
      <c r="AL202">
        <v>21</v>
      </c>
      <c r="AM202">
        <v>33</v>
      </c>
      <c r="AN202" t="s">
        <v>384</v>
      </c>
      <c r="AO202">
        <v>5</v>
      </c>
      <c r="AP202">
        <v>90</v>
      </c>
      <c r="AT202">
        <v>12</v>
      </c>
      <c r="AU202">
        <v>9</v>
      </c>
      <c r="AV202">
        <v>55</v>
      </c>
      <c r="AW202">
        <v>11</v>
      </c>
      <c r="AX202">
        <v>21</v>
      </c>
      <c r="CU202">
        <v>502030.69150000002</v>
      </c>
      <c r="CV202">
        <v>5015880.7607000005</v>
      </c>
      <c r="CW202">
        <v>45.296434099999999</v>
      </c>
      <c r="CX202">
        <v>-92.974108630000003</v>
      </c>
      <c r="CY202" s="472">
        <v>44568.373611111114</v>
      </c>
      <c r="CZ202" t="s">
        <v>391</v>
      </c>
      <c r="DA202" t="s">
        <v>392</v>
      </c>
      <c r="DB202" t="s">
        <v>397</v>
      </c>
      <c r="DC202" t="s">
        <v>398</v>
      </c>
      <c r="DD202" t="s">
        <v>607</v>
      </c>
    </row>
    <row r="203" spans="1:108" ht="16.5" customHeight="1" x14ac:dyDescent="0.25">
      <c r="A203">
        <v>13</v>
      </c>
      <c r="B203">
        <v>1032639</v>
      </c>
      <c r="C203">
        <v>2</v>
      </c>
      <c r="D203">
        <v>8</v>
      </c>
      <c r="E203">
        <v>1.823</v>
      </c>
      <c r="F203">
        <v>13</v>
      </c>
      <c r="G203" t="s">
        <v>383</v>
      </c>
      <c r="J203">
        <v>24</v>
      </c>
      <c r="L203">
        <v>22405136</v>
      </c>
      <c r="M203">
        <v>221880070</v>
      </c>
      <c r="N203">
        <v>7</v>
      </c>
      <c r="O203">
        <v>7</v>
      </c>
      <c r="P203">
        <v>2022</v>
      </c>
      <c r="Q203" t="s">
        <v>386</v>
      </c>
      <c r="R203">
        <v>16</v>
      </c>
      <c r="S203" t="s">
        <v>387</v>
      </c>
      <c r="T203">
        <v>5</v>
      </c>
      <c r="U203">
        <v>0</v>
      </c>
      <c r="V203">
        <v>2</v>
      </c>
      <c r="W203">
        <v>12</v>
      </c>
      <c r="X203">
        <v>10</v>
      </c>
      <c r="Y203">
        <v>2</v>
      </c>
      <c r="Z203">
        <v>1</v>
      </c>
      <c r="AA203">
        <v>1</v>
      </c>
      <c r="AC203">
        <v>1</v>
      </c>
      <c r="AD203">
        <v>98</v>
      </c>
      <c r="AE203" t="s">
        <v>388</v>
      </c>
      <c r="AG203" t="s">
        <v>389</v>
      </c>
      <c r="AH203">
        <v>7</v>
      </c>
      <c r="AI203">
        <v>2</v>
      </c>
      <c r="AJ203">
        <v>2</v>
      </c>
      <c r="AK203">
        <v>3</v>
      </c>
      <c r="AL203">
        <v>21</v>
      </c>
      <c r="AM203">
        <v>28</v>
      </c>
      <c r="AN203" t="s">
        <v>384</v>
      </c>
      <c r="AO203">
        <v>5</v>
      </c>
      <c r="AP203">
        <v>4</v>
      </c>
      <c r="AT203">
        <v>14</v>
      </c>
      <c r="AU203">
        <v>9</v>
      </c>
      <c r="AV203">
        <v>55</v>
      </c>
      <c r="AW203">
        <v>11</v>
      </c>
      <c r="AX203">
        <v>21</v>
      </c>
      <c r="AY203">
        <v>2</v>
      </c>
      <c r="AZ203">
        <v>2</v>
      </c>
      <c r="BA203">
        <v>3</v>
      </c>
      <c r="BB203">
        <v>34</v>
      </c>
      <c r="BC203">
        <v>34</v>
      </c>
      <c r="BD203" t="s">
        <v>384</v>
      </c>
      <c r="BE203">
        <v>5</v>
      </c>
      <c r="BF203">
        <v>1</v>
      </c>
      <c r="BJ203">
        <v>14</v>
      </c>
      <c r="BK203">
        <v>9</v>
      </c>
      <c r="BL203">
        <v>55</v>
      </c>
      <c r="BM203">
        <v>11</v>
      </c>
      <c r="BN203">
        <v>21</v>
      </c>
      <c r="CU203">
        <v>502065.87926508998</v>
      </c>
      <c r="CV203">
        <v>5015935.0690034702</v>
      </c>
      <c r="CW203">
        <v>45.296914790000002</v>
      </c>
      <c r="CX203">
        <v>-92.973651910000001</v>
      </c>
      <c r="CY203" s="472">
        <v>44749.67083333333</v>
      </c>
      <c r="CZ203" t="s">
        <v>391</v>
      </c>
      <c r="DA203" t="s">
        <v>392</v>
      </c>
      <c r="DB203" t="s">
        <v>397</v>
      </c>
      <c r="DC203" t="s">
        <v>398</v>
      </c>
      <c r="DD203" s="18" t="s">
        <v>608</v>
      </c>
    </row>
    <row r="204" spans="1:108" ht="16.5" customHeight="1" x14ac:dyDescent="0.25">
      <c r="A204">
        <v>13</v>
      </c>
      <c r="B204">
        <v>987358</v>
      </c>
      <c r="C204">
        <v>2</v>
      </c>
      <c r="D204">
        <v>8</v>
      </c>
      <c r="E204">
        <v>1.851</v>
      </c>
      <c r="F204">
        <v>13</v>
      </c>
      <c r="G204" t="s">
        <v>383</v>
      </c>
      <c r="I204" t="s">
        <v>384</v>
      </c>
      <c r="J204">
        <v>24</v>
      </c>
      <c r="L204">
        <v>22400221</v>
      </c>
      <c r="M204">
        <v>220060392</v>
      </c>
      <c r="N204">
        <v>1</v>
      </c>
      <c r="O204">
        <v>6</v>
      </c>
      <c r="P204">
        <v>2022</v>
      </c>
      <c r="Q204" t="s">
        <v>386</v>
      </c>
      <c r="R204">
        <v>13</v>
      </c>
      <c r="T204">
        <v>5</v>
      </c>
      <c r="U204">
        <v>0</v>
      </c>
      <c r="V204">
        <v>1</v>
      </c>
      <c r="X204">
        <v>32</v>
      </c>
      <c r="Y204">
        <v>2</v>
      </c>
      <c r="Z204">
        <v>1</v>
      </c>
      <c r="AA204">
        <v>1</v>
      </c>
      <c r="AC204">
        <v>5</v>
      </c>
      <c r="AD204">
        <v>98</v>
      </c>
      <c r="AE204" t="s">
        <v>388</v>
      </c>
      <c r="AG204" t="s">
        <v>389</v>
      </c>
      <c r="AH204">
        <v>3</v>
      </c>
      <c r="AI204">
        <v>2</v>
      </c>
      <c r="AJ204">
        <v>3</v>
      </c>
      <c r="AK204">
        <v>4</v>
      </c>
      <c r="AL204">
        <v>21</v>
      </c>
      <c r="AM204">
        <v>57</v>
      </c>
      <c r="AN204" t="s">
        <v>384</v>
      </c>
      <c r="AO204">
        <v>5</v>
      </c>
      <c r="AP204">
        <v>90</v>
      </c>
      <c r="AT204">
        <v>12</v>
      </c>
      <c r="AU204">
        <v>9</v>
      </c>
      <c r="AV204">
        <v>55</v>
      </c>
      <c r="AW204">
        <v>11</v>
      </c>
      <c r="AX204">
        <v>21</v>
      </c>
      <c r="CU204">
        <v>502085.36550000001</v>
      </c>
      <c r="CV204">
        <v>5015977.5356999999</v>
      </c>
      <c r="CW204">
        <v>45.297305059999999</v>
      </c>
      <c r="CX204">
        <v>-92.973410920000006</v>
      </c>
      <c r="CY204" s="472">
        <v>44567.541666666664</v>
      </c>
      <c r="CZ204" t="s">
        <v>391</v>
      </c>
      <c r="DA204" t="s">
        <v>392</v>
      </c>
      <c r="DB204" t="s">
        <v>397</v>
      </c>
      <c r="DC204" t="s">
        <v>398</v>
      </c>
      <c r="DD204" t="s">
        <v>609</v>
      </c>
    </row>
    <row r="205" spans="1:108" ht="16.5" customHeight="1" x14ac:dyDescent="0.25">
      <c r="A205">
        <v>13</v>
      </c>
      <c r="B205">
        <v>1033202</v>
      </c>
      <c r="C205">
        <v>2</v>
      </c>
      <c r="D205">
        <v>8</v>
      </c>
      <c r="E205">
        <v>1.869</v>
      </c>
      <c r="F205">
        <v>13</v>
      </c>
      <c r="G205" t="s">
        <v>383</v>
      </c>
      <c r="J205">
        <v>24</v>
      </c>
      <c r="L205">
        <v>22405135</v>
      </c>
      <c r="M205">
        <v>221880191</v>
      </c>
      <c r="N205">
        <v>7</v>
      </c>
      <c r="O205">
        <v>7</v>
      </c>
      <c r="P205">
        <v>2022</v>
      </c>
      <c r="Q205" t="s">
        <v>386</v>
      </c>
      <c r="R205">
        <v>16</v>
      </c>
      <c r="S205">
        <v>98</v>
      </c>
      <c r="T205">
        <v>5</v>
      </c>
      <c r="U205">
        <v>0</v>
      </c>
      <c r="V205">
        <v>3</v>
      </c>
      <c r="W205">
        <v>12</v>
      </c>
      <c r="X205">
        <v>10</v>
      </c>
      <c r="Y205">
        <v>2</v>
      </c>
      <c r="Z205">
        <v>1</v>
      </c>
      <c r="AA205">
        <v>1</v>
      </c>
      <c r="AC205">
        <v>1</v>
      </c>
      <c r="AD205">
        <v>98</v>
      </c>
      <c r="AE205" t="s">
        <v>388</v>
      </c>
      <c r="AG205" t="s">
        <v>389</v>
      </c>
      <c r="AH205">
        <v>7</v>
      </c>
      <c r="AI205">
        <v>2</v>
      </c>
      <c r="AJ205">
        <v>4</v>
      </c>
      <c r="AK205">
        <v>3</v>
      </c>
      <c r="AL205">
        <v>21</v>
      </c>
      <c r="AM205">
        <v>35</v>
      </c>
      <c r="AN205" t="s">
        <v>384</v>
      </c>
      <c r="AO205">
        <v>5</v>
      </c>
      <c r="AP205">
        <v>4</v>
      </c>
      <c r="AQ205">
        <v>70</v>
      </c>
      <c r="AT205">
        <v>12</v>
      </c>
      <c r="AU205">
        <v>9</v>
      </c>
      <c r="AV205">
        <v>55</v>
      </c>
      <c r="AW205">
        <v>11</v>
      </c>
      <c r="AX205">
        <v>21</v>
      </c>
      <c r="AY205">
        <v>2</v>
      </c>
      <c r="AZ205">
        <v>5</v>
      </c>
      <c r="BA205">
        <v>3</v>
      </c>
      <c r="BB205">
        <v>21</v>
      </c>
      <c r="BC205">
        <v>35</v>
      </c>
      <c r="BD205" t="s">
        <v>390</v>
      </c>
      <c r="BE205">
        <v>5</v>
      </c>
      <c r="BF205">
        <v>1</v>
      </c>
      <c r="BJ205">
        <v>12</v>
      </c>
      <c r="BK205">
        <v>9</v>
      </c>
      <c r="BL205">
        <v>55</v>
      </c>
      <c r="BM205">
        <v>11</v>
      </c>
      <c r="BN205">
        <v>21</v>
      </c>
      <c r="BO205">
        <v>2</v>
      </c>
      <c r="BP205">
        <v>3</v>
      </c>
      <c r="BQ205">
        <v>3</v>
      </c>
      <c r="BR205">
        <v>21</v>
      </c>
      <c r="BS205">
        <v>60</v>
      </c>
      <c r="BT205" t="s">
        <v>384</v>
      </c>
      <c r="BU205">
        <v>5</v>
      </c>
      <c r="BV205">
        <v>1</v>
      </c>
      <c r="BZ205">
        <v>12</v>
      </c>
      <c r="CA205">
        <v>9</v>
      </c>
      <c r="CB205">
        <v>55</v>
      </c>
      <c r="CC205">
        <v>11</v>
      </c>
      <c r="CD205">
        <v>21</v>
      </c>
      <c r="CU205">
        <v>502103.97934129002</v>
      </c>
      <c r="CV205">
        <v>5015998.56913047</v>
      </c>
      <c r="CW205">
        <v>45.29748627</v>
      </c>
      <c r="CX205">
        <v>-92.973165710000004</v>
      </c>
      <c r="CY205" s="472">
        <v>44749.668749999997</v>
      </c>
      <c r="CZ205" t="s">
        <v>391</v>
      </c>
      <c r="DA205" t="s">
        <v>392</v>
      </c>
      <c r="DB205" t="s">
        <v>397</v>
      </c>
      <c r="DC205" t="s">
        <v>398</v>
      </c>
      <c r="DD205" s="18" t="s">
        <v>610</v>
      </c>
    </row>
    <row r="206" spans="1:108" ht="16.5" customHeight="1" x14ac:dyDescent="0.25">
      <c r="A206">
        <v>13</v>
      </c>
      <c r="B206">
        <v>1005267</v>
      </c>
      <c r="C206">
        <v>2</v>
      </c>
      <c r="D206">
        <v>8</v>
      </c>
      <c r="E206">
        <v>1.974</v>
      </c>
      <c r="F206">
        <v>13</v>
      </c>
      <c r="G206" t="s">
        <v>383</v>
      </c>
      <c r="I206" t="s">
        <v>384</v>
      </c>
      <c r="J206">
        <v>24</v>
      </c>
      <c r="L206">
        <v>22401209</v>
      </c>
      <c r="M206">
        <v>220370247</v>
      </c>
      <c r="N206">
        <v>2</v>
      </c>
      <c r="O206">
        <v>6</v>
      </c>
      <c r="P206">
        <v>2022</v>
      </c>
      <c r="Q206" t="s">
        <v>422</v>
      </c>
      <c r="R206">
        <v>12</v>
      </c>
      <c r="T206">
        <v>5</v>
      </c>
      <c r="U206">
        <v>0</v>
      </c>
      <c r="V206">
        <v>1</v>
      </c>
      <c r="X206">
        <v>32</v>
      </c>
      <c r="Y206">
        <v>2</v>
      </c>
      <c r="Z206">
        <v>1</v>
      </c>
      <c r="AA206">
        <v>4</v>
      </c>
      <c r="AB206">
        <v>2</v>
      </c>
      <c r="AC206">
        <v>3</v>
      </c>
      <c r="AD206">
        <v>98</v>
      </c>
      <c r="AE206" t="s">
        <v>388</v>
      </c>
      <c r="AF206" t="s">
        <v>499</v>
      </c>
      <c r="AG206" t="s">
        <v>389</v>
      </c>
      <c r="AH206">
        <v>3</v>
      </c>
      <c r="AI206">
        <v>2</v>
      </c>
      <c r="AJ206">
        <v>3</v>
      </c>
      <c r="AK206">
        <v>3</v>
      </c>
      <c r="AL206">
        <v>21</v>
      </c>
      <c r="AM206">
        <v>59</v>
      </c>
      <c r="AN206" t="s">
        <v>384</v>
      </c>
      <c r="AO206">
        <v>99</v>
      </c>
      <c r="AP206">
        <v>99</v>
      </c>
      <c r="AT206">
        <v>12</v>
      </c>
      <c r="AU206">
        <v>9</v>
      </c>
      <c r="AV206">
        <v>55</v>
      </c>
      <c r="AW206">
        <v>11</v>
      </c>
      <c r="AX206">
        <v>21</v>
      </c>
      <c r="CU206">
        <v>502188.58990000002</v>
      </c>
      <c r="CV206">
        <v>5016145.3666000003</v>
      </c>
      <c r="CW206">
        <v>45.298815470000001</v>
      </c>
      <c r="CX206">
        <v>-92.972093650000005</v>
      </c>
      <c r="CY206" s="472">
        <v>44598.50277777778</v>
      </c>
      <c r="CZ206" t="s">
        <v>391</v>
      </c>
      <c r="DA206" t="s">
        <v>392</v>
      </c>
      <c r="DB206" t="s">
        <v>397</v>
      </c>
      <c r="DC206" t="s">
        <v>398</v>
      </c>
      <c r="DD206" t="s">
        <v>611</v>
      </c>
    </row>
    <row r="207" spans="1:108" ht="16.5" customHeight="1" x14ac:dyDescent="0.25">
      <c r="A207">
        <v>13</v>
      </c>
      <c r="B207">
        <v>1035377</v>
      </c>
      <c r="C207">
        <v>2</v>
      </c>
      <c r="D207">
        <v>8</v>
      </c>
      <c r="E207">
        <v>2.1850000000000001</v>
      </c>
      <c r="F207">
        <v>13</v>
      </c>
      <c r="G207" t="s">
        <v>383</v>
      </c>
      <c r="J207">
        <v>24</v>
      </c>
      <c r="L207">
        <v>22405352</v>
      </c>
      <c r="M207">
        <v>221950210</v>
      </c>
      <c r="N207">
        <v>7</v>
      </c>
      <c r="O207">
        <v>14</v>
      </c>
      <c r="P207">
        <v>2022</v>
      </c>
      <c r="Q207" t="s">
        <v>386</v>
      </c>
      <c r="R207">
        <v>15</v>
      </c>
      <c r="S207" t="s">
        <v>420</v>
      </c>
      <c r="T207">
        <v>5</v>
      </c>
      <c r="U207">
        <v>0</v>
      </c>
      <c r="V207">
        <v>1</v>
      </c>
      <c r="X207">
        <v>35</v>
      </c>
      <c r="Y207">
        <v>2</v>
      </c>
      <c r="Z207">
        <v>1</v>
      </c>
      <c r="AA207">
        <v>1</v>
      </c>
      <c r="AC207">
        <v>1</v>
      </c>
      <c r="AD207">
        <v>98</v>
      </c>
      <c r="AE207" t="s">
        <v>388</v>
      </c>
      <c r="AG207" t="s">
        <v>389</v>
      </c>
      <c r="AH207">
        <v>3</v>
      </c>
      <c r="AI207">
        <v>2</v>
      </c>
      <c r="AJ207">
        <v>2</v>
      </c>
      <c r="AK207">
        <v>3</v>
      </c>
      <c r="AL207">
        <v>23</v>
      </c>
      <c r="AM207">
        <v>52</v>
      </c>
      <c r="AN207" t="s">
        <v>384</v>
      </c>
      <c r="AO207">
        <v>5</v>
      </c>
      <c r="AP207">
        <v>72</v>
      </c>
      <c r="AT207">
        <v>12</v>
      </c>
      <c r="AU207">
        <v>9</v>
      </c>
      <c r="AV207">
        <v>55</v>
      </c>
      <c r="AW207">
        <v>11</v>
      </c>
      <c r="AX207">
        <v>21</v>
      </c>
      <c r="CU207">
        <v>502374.91321649001</v>
      </c>
      <c r="CV207">
        <v>5016430.3699940704</v>
      </c>
      <c r="CW207">
        <v>45.30137225</v>
      </c>
      <c r="CX207">
        <v>-92.969708139999995</v>
      </c>
      <c r="CY207" s="472">
        <v>44756.62777777778</v>
      </c>
      <c r="CZ207" t="s">
        <v>391</v>
      </c>
      <c r="DA207" t="s">
        <v>392</v>
      </c>
      <c r="DB207" t="s">
        <v>397</v>
      </c>
      <c r="DC207" t="s">
        <v>398</v>
      </c>
      <c r="DD207" t="s">
        <v>612</v>
      </c>
    </row>
    <row r="208" spans="1:108" ht="16.5" customHeight="1" x14ac:dyDescent="0.25">
      <c r="A208">
        <v>13</v>
      </c>
      <c r="B208">
        <v>1049666</v>
      </c>
      <c r="C208">
        <v>2</v>
      </c>
      <c r="D208">
        <v>8</v>
      </c>
      <c r="E208">
        <v>2.4319999999999999</v>
      </c>
      <c r="F208">
        <v>13</v>
      </c>
      <c r="G208" t="s">
        <v>383</v>
      </c>
      <c r="J208">
        <v>24</v>
      </c>
      <c r="L208">
        <v>22406768</v>
      </c>
      <c r="M208">
        <v>222490247</v>
      </c>
      <c r="N208">
        <v>9</v>
      </c>
      <c r="O208">
        <v>6</v>
      </c>
      <c r="P208">
        <v>2022</v>
      </c>
      <c r="Q208" t="s">
        <v>402</v>
      </c>
      <c r="R208">
        <v>16</v>
      </c>
      <c r="S208" t="s">
        <v>387</v>
      </c>
      <c r="T208">
        <v>5</v>
      </c>
      <c r="U208">
        <v>0</v>
      </c>
      <c r="V208">
        <v>2</v>
      </c>
      <c r="W208">
        <v>5</v>
      </c>
      <c r="X208">
        <v>10</v>
      </c>
      <c r="Y208">
        <v>2</v>
      </c>
      <c r="Z208">
        <v>1</v>
      </c>
      <c r="AA208">
        <v>1</v>
      </c>
      <c r="AC208">
        <v>1</v>
      </c>
      <c r="AD208">
        <v>98</v>
      </c>
      <c r="AE208" t="s">
        <v>388</v>
      </c>
      <c r="AG208" t="s">
        <v>389</v>
      </c>
      <c r="AH208">
        <v>10</v>
      </c>
      <c r="AI208">
        <v>2</v>
      </c>
      <c r="AJ208">
        <v>2</v>
      </c>
      <c r="AK208">
        <v>3</v>
      </c>
      <c r="AL208">
        <v>24</v>
      </c>
      <c r="AM208">
        <v>19</v>
      </c>
      <c r="AN208" t="s">
        <v>390</v>
      </c>
      <c r="AO208">
        <v>5</v>
      </c>
      <c r="AP208">
        <v>1</v>
      </c>
      <c r="AT208">
        <v>12</v>
      </c>
      <c r="AU208">
        <v>9</v>
      </c>
      <c r="AV208">
        <v>55</v>
      </c>
      <c r="AW208">
        <v>11</v>
      </c>
      <c r="AX208">
        <v>21</v>
      </c>
      <c r="AY208">
        <v>2</v>
      </c>
      <c r="AZ208">
        <v>4</v>
      </c>
      <c r="BA208">
        <v>3</v>
      </c>
      <c r="BB208">
        <v>29</v>
      </c>
      <c r="BC208">
        <v>36</v>
      </c>
      <c r="BD208" t="s">
        <v>384</v>
      </c>
      <c r="BE208">
        <v>5</v>
      </c>
      <c r="BF208">
        <v>7</v>
      </c>
      <c r="BJ208">
        <v>12</v>
      </c>
      <c r="BK208">
        <v>9</v>
      </c>
      <c r="BL208">
        <v>55</v>
      </c>
      <c r="BM208">
        <v>11</v>
      </c>
      <c r="BN208">
        <v>21</v>
      </c>
      <c r="CU208">
        <v>502694.53052239999</v>
      </c>
      <c r="CV208">
        <v>5016663.2037930703</v>
      </c>
      <c r="CW208">
        <v>45.303466929999999</v>
      </c>
      <c r="CX208">
        <v>-92.965630169999997</v>
      </c>
      <c r="CY208" s="472">
        <v>44810.666666666664</v>
      </c>
      <c r="CZ208" t="s">
        <v>391</v>
      </c>
      <c r="DA208" t="s">
        <v>392</v>
      </c>
      <c r="DB208" t="s">
        <v>397</v>
      </c>
      <c r="DC208" t="s">
        <v>398</v>
      </c>
      <c r="DD208" t="s">
        <v>613</v>
      </c>
    </row>
    <row r="209" spans="1:108" ht="16.5" customHeight="1" x14ac:dyDescent="0.25">
      <c r="A209">
        <v>13</v>
      </c>
      <c r="B209">
        <v>1016400</v>
      </c>
      <c r="C209">
        <v>2</v>
      </c>
      <c r="D209">
        <v>8</v>
      </c>
      <c r="E209">
        <v>2.923</v>
      </c>
      <c r="F209">
        <v>13</v>
      </c>
      <c r="G209" t="s">
        <v>383</v>
      </c>
      <c r="I209" t="s">
        <v>384</v>
      </c>
      <c r="J209">
        <v>24</v>
      </c>
      <c r="L209">
        <v>22402782</v>
      </c>
      <c r="M209">
        <v>220960166</v>
      </c>
      <c r="N209">
        <v>4</v>
      </c>
      <c r="O209">
        <v>6</v>
      </c>
      <c r="P209">
        <v>2022</v>
      </c>
      <c r="Q209" t="s">
        <v>396</v>
      </c>
      <c r="R209">
        <v>18</v>
      </c>
      <c r="S209" t="s">
        <v>420</v>
      </c>
      <c r="T209">
        <v>4</v>
      </c>
      <c r="U209">
        <v>0</v>
      </c>
      <c r="V209">
        <v>2</v>
      </c>
      <c r="W209">
        <v>5</v>
      </c>
      <c r="X209">
        <v>10</v>
      </c>
      <c r="Y209">
        <v>4</v>
      </c>
      <c r="Z209">
        <v>1</v>
      </c>
      <c r="AA209">
        <v>2</v>
      </c>
      <c r="AB209">
        <v>3</v>
      </c>
      <c r="AC209">
        <v>2</v>
      </c>
      <c r="AD209">
        <v>98</v>
      </c>
      <c r="AE209" t="s">
        <v>388</v>
      </c>
      <c r="AG209" t="s">
        <v>389</v>
      </c>
      <c r="AH209">
        <v>9</v>
      </c>
      <c r="AI209">
        <v>2</v>
      </c>
      <c r="AJ209">
        <v>4</v>
      </c>
      <c r="AK209">
        <v>3</v>
      </c>
      <c r="AL209">
        <v>24</v>
      </c>
      <c r="AM209">
        <v>38</v>
      </c>
      <c r="AN209" t="s">
        <v>390</v>
      </c>
      <c r="AO209">
        <v>5</v>
      </c>
      <c r="AP209">
        <v>2</v>
      </c>
      <c r="AT209">
        <v>12</v>
      </c>
      <c r="AU209">
        <v>9</v>
      </c>
      <c r="AV209">
        <v>55</v>
      </c>
      <c r="AW209">
        <v>11</v>
      </c>
      <c r="AX209">
        <v>21</v>
      </c>
      <c r="AY209">
        <v>2</v>
      </c>
      <c r="AZ209">
        <v>2</v>
      </c>
      <c r="BA209">
        <v>4</v>
      </c>
      <c r="BB209">
        <v>21</v>
      </c>
      <c r="BC209">
        <v>46</v>
      </c>
      <c r="BD209" t="s">
        <v>390</v>
      </c>
      <c r="BE209">
        <v>5</v>
      </c>
      <c r="BF209">
        <v>1</v>
      </c>
      <c r="BJ209">
        <v>12</v>
      </c>
      <c r="BK209">
        <v>9</v>
      </c>
      <c r="BL209">
        <v>55</v>
      </c>
      <c r="BM209">
        <v>11</v>
      </c>
      <c r="BN209">
        <v>21</v>
      </c>
      <c r="CU209">
        <v>503425.33169999998</v>
      </c>
      <c r="CV209">
        <v>5016964.9353</v>
      </c>
      <c r="CW209">
        <v>45.306187829999999</v>
      </c>
      <c r="CX209">
        <v>-92.956314129999996</v>
      </c>
      <c r="CY209" s="472">
        <v>44657.767361111109</v>
      </c>
      <c r="CZ209" t="s">
        <v>391</v>
      </c>
      <c r="DA209" t="s">
        <v>392</v>
      </c>
      <c r="DB209" t="s">
        <v>397</v>
      </c>
      <c r="DC209" t="s">
        <v>398</v>
      </c>
      <c r="DD209" s="18" t="s">
        <v>614</v>
      </c>
    </row>
    <row r="210" spans="1:108" ht="16.5" customHeight="1" x14ac:dyDescent="0.25">
      <c r="A210">
        <v>13</v>
      </c>
      <c r="B210">
        <v>1050560</v>
      </c>
      <c r="C210">
        <v>2</v>
      </c>
      <c r="D210">
        <v>8</v>
      </c>
      <c r="E210">
        <v>2.9929999999999999</v>
      </c>
      <c r="F210">
        <v>13</v>
      </c>
      <c r="G210" t="s">
        <v>383</v>
      </c>
      <c r="J210">
        <v>24</v>
      </c>
      <c r="L210">
        <v>22407629</v>
      </c>
      <c r="M210">
        <v>222820068</v>
      </c>
      <c r="N210">
        <v>10</v>
      </c>
      <c r="O210">
        <v>9</v>
      </c>
      <c r="P210">
        <v>2022</v>
      </c>
      <c r="Q210" t="s">
        <v>422</v>
      </c>
      <c r="R210">
        <v>14</v>
      </c>
      <c r="S210" t="s">
        <v>387</v>
      </c>
      <c r="T210">
        <v>3</v>
      </c>
      <c r="U210">
        <v>0</v>
      </c>
      <c r="V210">
        <v>3</v>
      </c>
      <c r="W210">
        <v>13</v>
      </c>
      <c r="X210">
        <v>10</v>
      </c>
      <c r="Y210">
        <v>2</v>
      </c>
      <c r="Z210">
        <v>1</v>
      </c>
      <c r="AA210">
        <v>1</v>
      </c>
      <c r="AC210">
        <v>1</v>
      </c>
      <c r="AD210">
        <v>98</v>
      </c>
      <c r="AE210" t="s">
        <v>388</v>
      </c>
      <c r="AG210" t="s">
        <v>389</v>
      </c>
      <c r="AH210">
        <v>8</v>
      </c>
      <c r="AI210">
        <v>2</v>
      </c>
      <c r="AJ210">
        <v>4</v>
      </c>
      <c r="AK210">
        <v>3</v>
      </c>
      <c r="AL210">
        <v>29</v>
      </c>
      <c r="AM210">
        <v>17</v>
      </c>
      <c r="AN210" t="s">
        <v>384</v>
      </c>
      <c r="AO210">
        <v>5</v>
      </c>
      <c r="AP210">
        <v>72</v>
      </c>
      <c r="AQ210">
        <v>70</v>
      </c>
      <c r="AT210">
        <v>12</v>
      </c>
      <c r="AU210">
        <v>9</v>
      </c>
      <c r="AV210">
        <v>55</v>
      </c>
      <c r="AW210">
        <v>11</v>
      </c>
      <c r="AX210">
        <v>21</v>
      </c>
      <c r="AY210">
        <v>2</v>
      </c>
      <c r="AZ210">
        <v>2</v>
      </c>
      <c r="BA210">
        <v>4</v>
      </c>
      <c r="BB210">
        <v>21</v>
      </c>
      <c r="BC210">
        <v>60</v>
      </c>
      <c r="BD210" t="s">
        <v>390</v>
      </c>
      <c r="BE210">
        <v>5</v>
      </c>
      <c r="BF210">
        <v>1</v>
      </c>
      <c r="BJ210">
        <v>12</v>
      </c>
      <c r="BK210">
        <v>9</v>
      </c>
      <c r="BL210">
        <v>55</v>
      </c>
      <c r="BM210">
        <v>11</v>
      </c>
      <c r="BN210">
        <v>21</v>
      </c>
      <c r="BO210">
        <v>2</v>
      </c>
      <c r="BP210">
        <v>4</v>
      </c>
      <c r="BQ210">
        <v>4</v>
      </c>
      <c r="BR210">
        <v>21</v>
      </c>
      <c r="BS210">
        <v>61</v>
      </c>
      <c r="BT210" t="s">
        <v>384</v>
      </c>
      <c r="BU210">
        <v>5</v>
      </c>
      <c r="BV210">
        <v>1</v>
      </c>
      <c r="BZ210">
        <v>12</v>
      </c>
      <c r="CA210">
        <v>9</v>
      </c>
      <c r="CB210">
        <v>55</v>
      </c>
      <c r="CC210">
        <v>11</v>
      </c>
      <c r="CD210">
        <v>21</v>
      </c>
      <c r="CU210">
        <v>503526.3821861</v>
      </c>
      <c r="CV210">
        <v>5017014.5711624799</v>
      </c>
      <c r="CW210">
        <v>45.306626059999999</v>
      </c>
      <c r="CX210">
        <v>-92.955017069999997</v>
      </c>
      <c r="CY210" s="472">
        <v>44843.586805555555</v>
      </c>
      <c r="CZ210" t="s">
        <v>391</v>
      </c>
      <c r="DA210" t="s">
        <v>392</v>
      </c>
      <c r="DB210" t="s">
        <v>397</v>
      </c>
      <c r="DC210" t="s">
        <v>398</v>
      </c>
      <c r="DD210" t="s">
        <v>615</v>
      </c>
    </row>
    <row r="211" spans="1:108" ht="16.5" customHeight="1" x14ac:dyDescent="0.25">
      <c r="A211">
        <v>13</v>
      </c>
      <c r="B211">
        <v>1071630</v>
      </c>
      <c r="C211">
        <v>2</v>
      </c>
      <c r="D211">
        <v>8</v>
      </c>
      <c r="E211">
        <v>3.3959999999999999</v>
      </c>
      <c r="F211">
        <v>13</v>
      </c>
      <c r="G211" t="s">
        <v>383</v>
      </c>
      <c r="J211">
        <v>24</v>
      </c>
      <c r="L211">
        <v>22410384</v>
      </c>
      <c r="M211">
        <v>223650070</v>
      </c>
      <c r="N211">
        <v>12</v>
      </c>
      <c r="O211">
        <v>31</v>
      </c>
      <c r="P211">
        <v>2022</v>
      </c>
      <c r="Q211" t="s">
        <v>405</v>
      </c>
      <c r="R211">
        <v>14</v>
      </c>
      <c r="S211">
        <v>98</v>
      </c>
      <c r="T211">
        <v>4</v>
      </c>
      <c r="U211">
        <v>0</v>
      </c>
      <c r="V211">
        <v>2</v>
      </c>
      <c r="W211">
        <v>10</v>
      </c>
      <c r="X211">
        <v>10</v>
      </c>
      <c r="Y211">
        <v>2</v>
      </c>
      <c r="Z211">
        <v>1</v>
      </c>
      <c r="AA211">
        <v>2</v>
      </c>
      <c r="AC211">
        <v>1</v>
      </c>
      <c r="AD211">
        <v>98</v>
      </c>
      <c r="AE211" t="s">
        <v>412</v>
      </c>
      <c r="AF211" t="s">
        <v>616</v>
      </c>
      <c r="AG211" t="s">
        <v>389</v>
      </c>
      <c r="AH211">
        <v>5</v>
      </c>
      <c r="AI211">
        <v>2</v>
      </c>
      <c r="AJ211">
        <v>4</v>
      </c>
      <c r="AK211">
        <v>4</v>
      </c>
      <c r="AL211">
        <v>21</v>
      </c>
      <c r="AM211">
        <v>57</v>
      </c>
      <c r="AN211" t="s">
        <v>384</v>
      </c>
      <c r="AO211">
        <v>5</v>
      </c>
      <c r="AP211">
        <v>1</v>
      </c>
      <c r="AT211">
        <v>12</v>
      </c>
      <c r="AU211">
        <v>9</v>
      </c>
      <c r="AV211">
        <v>55</v>
      </c>
      <c r="AW211">
        <v>11</v>
      </c>
      <c r="AX211">
        <v>21</v>
      </c>
      <c r="AY211">
        <v>2</v>
      </c>
      <c r="AZ211">
        <v>4</v>
      </c>
      <c r="BA211">
        <v>4</v>
      </c>
      <c r="BB211">
        <v>34</v>
      </c>
      <c r="BC211">
        <v>40</v>
      </c>
      <c r="BD211" t="s">
        <v>384</v>
      </c>
      <c r="BE211">
        <v>5</v>
      </c>
      <c r="BF211">
        <v>69</v>
      </c>
      <c r="BJ211">
        <v>12</v>
      </c>
      <c r="BK211">
        <v>9</v>
      </c>
      <c r="BL211">
        <v>55</v>
      </c>
      <c r="BM211">
        <v>11</v>
      </c>
      <c r="BN211">
        <v>21</v>
      </c>
      <c r="CU211">
        <v>504055.54991110001</v>
      </c>
      <c r="CV211">
        <v>5017391.3385826796</v>
      </c>
      <c r="CW211">
        <v>45.310014649999999</v>
      </c>
      <c r="CX211">
        <v>-92.948263870000005</v>
      </c>
      <c r="CY211" s="472">
        <v>44926.602083333331</v>
      </c>
      <c r="CZ211" t="s">
        <v>391</v>
      </c>
      <c r="DA211" t="s">
        <v>392</v>
      </c>
      <c r="DB211" t="s">
        <v>397</v>
      </c>
      <c r="DC211" t="s">
        <v>398</v>
      </c>
      <c r="DD211" s="18" t="s">
        <v>617</v>
      </c>
    </row>
    <row r="212" spans="1:108" ht="16.5" customHeight="1" x14ac:dyDescent="0.25">
      <c r="A212">
        <v>13</v>
      </c>
      <c r="B212">
        <v>1055221</v>
      </c>
      <c r="C212">
        <v>2</v>
      </c>
      <c r="D212">
        <v>8</v>
      </c>
      <c r="E212">
        <v>3.6669999999999998</v>
      </c>
      <c r="F212">
        <v>13</v>
      </c>
      <c r="G212" t="s">
        <v>383</v>
      </c>
      <c r="J212">
        <v>24</v>
      </c>
      <c r="L212">
        <v>22408147</v>
      </c>
      <c r="M212">
        <v>223050128</v>
      </c>
      <c r="N212">
        <v>11</v>
      </c>
      <c r="O212">
        <v>1</v>
      </c>
      <c r="P212">
        <v>2022</v>
      </c>
      <c r="Q212" t="s">
        <v>402</v>
      </c>
      <c r="R212">
        <v>0</v>
      </c>
      <c r="S212" t="s">
        <v>387</v>
      </c>
      <c r="T212">
        <v>5</v>
      </c>
      <c r="U212">
        <v>0</v>
      </c>
      <c r="V212">
        <v>2</v>
      </c>
      <c r="W212">
        <v>12</v>
      </c>
      <c r="X212">
        <v>10</v>
      </c>
      <c r="Y212">
        <v>2</v>
      </c>
      <c r="Z212">
        <v>7</v>
      </c>
      <c r="AA212">
        <v>1</v>
      </c>
      <c r="AC212">
        <v>1</v>
      </c>
      <c r="AD212">
        <v>98</v>
      </c>
      <c r="AE212" t="s">
        <v>388</v>
      </c>
      <c r="AG212" t="s">
        <v>389</v>
      </c>
      <c r="AH212">
        <v>7</v>
      </c>
      <c r="AI212">
        <v>2</v>
      </c>
      <c r="AJ212">
        <v>2</v>
      </c>
      <c r="AK212">
        <v>3</v>
      </c>
      <c r="AL212">
        <v>90</v>
      </c>
      <c r="AM212">
        <v>64</v>
      </c>
      <c r="AN212" t="s">
        <v>384</v>
      </c>
      <c r="AO212">
        <v>5</v>
      </c>
      <c r="AP212">
        <v>11</v>
      </c>
      <c r="AT212">
        <v>12</v>
      </c>
      <c r="AU212">
        <v>9</v>
      </c>
      <c r="AV212">
        <v>55</v>
      </c>
      <c r="AW212">
        <v>11</v>
      </c>
      <c r="AX212">
        <v>21</v>
      </c>
      <c r="AY212">
        <v>2</v>
      </c>
      <c r="AZ212">
        <v>4</v>
      </c>
      <c r="BA212">
        <v>3</v>
      </c>
      <c r="BB212">
        <v>34</v>
      </c>
      <c r="BC212">
        <v>24</v>
      </c>
      <c r="BD212" t="s">
        <v>384</v>
      </c>
      <c r="BE212">
        <v>5</v>
      </c>
      <c r="BF212">
        <v>1</v>
      </c>
      <c r="BJ212">
        <v>12</v>
      </c>
      <c r="BK212">
        <v>9</v>
      </c>
      <c r="BL212">
        <v>55</v>
      </c>
      <c r="BM212">
        <v>11</v>
      </c>
      <c r="BN212">
        <v>21</v>
      </c>
      <c r="CU212">
        <v>504417.500635</v>
      </c>
      <c r="CV212">
        <v>5017632.6390652796</v>
      </c>
      <c r="CW212">
        <v>45.312184510000002</v>
      </c>
      <c r="CX212">
        <v>-92.943644359999993</v>
      </c>
      <c r="CY212" s="472">
        <v>44866.000694444447</v>
      </c>
      <c r="CZ212" t="s">
        <v>391</v>
      </c>
      <c r="DA212" t="s">
        <v>392</v>
      </c>
      <c r="DB212" t="s">
        <v>397</v>
      </c>
      <c r="DC212" t="s">
        <v>398</v>
      </c>
      <c r="DD212" t="s">
        <v>618</v>
      </c>
    </row>
    <row r="213" spans="1:108" ht="16.5" customHeight="1" x14ac:dyDescent="0.25">
      <c r="A213">
        <v>13</v>
      </c>
      <c r="B213">
        <v>1023208</v>
      </c>
      <c r="C213">
        <v>2</v>
      </c>
      <c r="D213">
        <v>8</v>
      </c>
      <c r="E213">
        <v>3.9630000000000001</v>
      </c>
      <c r="F213">
        <v>13</v>
      </c>
      <c r="G213" t="s">
        <v>383</v>
      </c>
      <c r="I213" t="s">
        <v>384</v>
      </c>
      <c r="J213">
        <v>24</v>
      </c>
      <c r="L213">
        <v>22403745</v>
      </c>
      <c r="M213">
        <v>221370073</v>
      </c>
      <c r="N213">
        <v>5</v>
      </c>
      <c r="O213">
        <v>17</v>
      </c>
      <c r="P213">
        <v>2022</v>
      </c>
      <c r="Q213" t="s">
        <v>402</v>
      </c>
      <c r="R213">
        <v>15</v>
      </c>
      <c r="S213" t="s">
        <v>387</v>
      </c>
      <c r="T213">
        <v>5</v>
      </c>
      <c r="U213">
        <v>0</v>
      </c>
      <c r="V213">
        <v>2</v>
      </c>
      <c r="W213">
        <v>12</v>
      </c>
      <c r="X213">
        <v>10</v>
      </c>
      <c r="Y213">
        <v>2</v>
      </c>
      <c r="Z213">
        <v>1</v>
      </c>
      <c r="AA213">
        <v>1</v>
      </c>
      <c r="AC213">
        <v>1</v>
      </c>
      <c r="AD213">
        <v>98</v>
      </c>
      <c r="AE213" t="s">
        <v>388</v>
      </c>
      <c r="AF213" t="s">
        <v>619</v>
      </c>
      <c r="AG213" t="s">
        <v>389</v>
      </c>
      <c r="AH213">
        <v>7</v>
      </c>
      <c r="AI213">
        <v>2</v>
      </c>
      <c r="AJ213">
        <v>31</v>
      </c>
      <c r="AK213">
        <v>3</v>
      </c>
      <c r="AL213">
        <v>21</v>
      </c>
      <c r="AM213">
        <v>21</v>
      </c>
      <c r="AN213" t="s">
        <v>384</v>
      </c>
      <c r="AO213">
        <v>5</v>
      </c>
      <c r="AP213">
        <v>75</v>
      </c>
      <c r="AQ213">
        <v>90</v>
      </c>
      <c r="AT213">
        <v>12</v>
      </c>
      <c r="AU213">
        <v>9</v>
      </c>
      <c r="AV213">
        <v>55</v>
      </c>
      <c r="AW213">
        <v>11</v>
      </c>
      <c r="AX213">
        <v>21</v>
      </c>
      <c r="AY213">
        <v>2</v>
      </c>
      <c r="AZ213">
        <v>4</v>
      </c>
      <c r="BA213">
        <v>3</v>
      </c>
      <c r="BB213">
        <v>26</v>
      </c>
      <c r="BC213">
        <v>29</v>
      </c>
      <c r="BD213" t="s">
        <v>390</v>
      </c>
      <c r="BE213">
        <v>5</v>
      </c>
      <c r="BF213">
        <v>1</v>
      </c>
      <c r="BJ213">
        <v>12</v>
      </c>
      <c r="BK213">
        <v>9</v>
      </c>
      <c r="BL213">
        <v>55</v>
      </c>
      <c r="BM213">
        <v>11</v>
      </c>
      <c r="BN213">
        <v>21</v>
      </c>
      <c r="CU213">
        <v>504807.75880000001</v>
      </c>
      <c r="CV213">
        <v>5017905.8984000003</v>
      </c>
      <c r="CW213">
        <v>45.31464974</v>
      </c>
      <c r="CX213">
        <v>-92.93867075</v>
      </c>
      <c r="CY213" s="472">
        <v>44698.634722222225</v>
      </c>
      <c r="CZ213" t="s">
        <v>391</v>
      </c>
      <c r="DA213" t="s">
        <v>392</v>
      </c>
      <c r="DB213" t="s">
        <v>397</v>
      </c>
      <c r="DC213" t="s">
        <v>398</v>
      </c>
      <c r="DD213" s="18" t="s">
        <v>620</v>
      </c>
    </row>
    <row r="214" spans="1:108" ht="16.5" customHeight="1" x14ac:dyDescent="0.25">
      <c r="A214">
        <v>13</v>
      </c>
      <c r="B214">
        <v>1036236</v>
      </c>
      <c r="C214">
        <v>2</v>
      </c>
      <c r="D214">
        <v>8</v>
      </c>
      <c r="E214">
        <v>4.0259999999999998</v>
      </c>
      <c r="F214">
        <v>13</v>
      </c>
      <c r="G214" t="s">
        <v>383</v>
      </c>
      <c r="J214">
        <v>24</v>
      </c>
      <c r="L214">
        <v>22405678</v>
      </c>
      <c r="M214">
        <v>222070106</v>
      </c>
      <c r="N214">
        <v>7</v>
      </c>
      <c r="O214">
        <v>26</v>
      </c>
      <c r="P214">
        <v>2022</v>
      </c>
      <c r="Q214" t="s">
        <v>402</v>
      </c>
      <c r="R214">
        <v>15</v>
      </c>
      <c r="S214" t="s">
        <v>387</v>
      </c>
      <c r="T214">
        <v>5</v>
      </c>
      <c r="U214">
        <v>0</v>
      </c>
      <c r="V214">
        <v>3</v>
      </c>
      <c r="W214">
        <v>12</v>
      </c>
      <c r="X214">
        <v>10</v>
      </c>
      <c r="Y214">
        <v>2</v>
      </c>
      <c r="Z214">
        <v>1</v>
      </c>
      <c r="AA214">
        <v>2</v>
      </c>
      <c r="AC214">
        <v>1</v>
      </c>
      <c r="AD214">
        <v>98</v>
      </c>
      <c r="AE214" t="s">
        <v>388</v>
      </c>
      <c r="AG214" t="s">
        <v>389</v>
      </c>
      <c r="AH214">
        <v>7</v>
      </c>
      <c r="AI214">
        <v>2</v>
      </c>
      <c r="AJ214">
        <v>4</v>
      </c>
      <c r="AK214">
        <v>3</v>
      </c>
      <c r="AL214">
        <v>26</v>
      </c>
      <c r="AM214">
        <v>47</v>
      </c>
      <c r="AN214" t="s">
        <v>390</v>
      </c>
      <c r="AO214">
        <v>5</v>
      </c>
      <c r="AP214">
        <v>1</v>
      </c>
      <c r="AT214">
        <v>12</v>
      </c>
      <c r="AU214">
        <v>9</v>
      </c>
      <c r="AV214">
        <v>55</v>
      </c>
      <c r="AW214">
        <v>11</v>
      </c>
      <c r="AX214">
        <v>21</v>
      </c>
      <c r="AY214">
        <v>2</v>
      </c>
      <c r="AZ214">
        <v>2</v>
      </c>
      <c r="BA214">
        <v>3</v>
      </c>
      <c r="BB214">
        <v>26</v>
      </c>
      <c r="BC214">
        <v>26</v>
      </c>
      <c r="BD214" t="s">
        <v>384</v>
      </c>
      <c r="BE214">
        <v>5</v>
      </c>
      <c r="BF214">
        <v>1</v>
      </c>
      <c r="BJ214">
        <v>12</v>
      </c>
      <c r="BK214">
        <v>9</v>
      </c>
      <c r="BL214">
        <v>55</v>
      </c>
      <c r="BM214">
        <v>11</v>
      </c>
      <c r="BN214">
        <v>21</v>
      </c>
      <c r="BO214">
        <v>2</v>
      </c>
      <c r="BP214">
        <v>2</v>
      </c>
      <c r="BQ214">
        <v>3</v>
      </c>
      <c r="BR214">
        <v>21</v>
      </c>
      <c r="BS214">
        <v>26</v>
      </c>
      <c r="BT214" t="s">
        <v>390</v>
      </c>
      <c r="BU214">
        <v>5</v>
      </c>
      <c r="BV214">
        <v>4</v>
      </c>
      <c r="BZ214">
        <v>12</v>
      </c>
      <c r="CA214">
        <v>9</v>
      </c>
      <c r="CB214">
        <v>55</v>
      </c>
      <c r="CC214">
        <v>11</v>
      </c>
      <c r="CD214">
        <v>21</v>
      </c>
      <c r="CU214">
        <v>504891.63491660001</v>
      </c>
      <c r="CV214">
        <v>5017964.9563965797</v>
      </c>
      <c r="CW214">
        <v>45.315172699999998</v>
      </c>
      <c r="CX214">
        <v>-92.937592379999998</v>
      </c>
      <c r="CY214" s="472">
        <v>44768.659722222219</v>
      </c>
      <c r="CZ214" t="s">
        <v>391</v>
      </c>
      <c r="DA214" t="s">
        <v>392</v>
      </c>
      <c r="DB214" t="s">
        <v>397</v>
      </c>
      <c r="DC214" t="s">
        <v>398</v>
      </c>
      <c r="DD214" t="s">
        <v>621</v>
      </c>
    </row>
    <row r="215" spans="1:108" ht="16.5" customHeight="1" x14ac:dyDescent="0.25">
      <c r="A215">
        <v>13</v>
      </c>
      <c r="B215">
        <v>1034553</v>
      </c>
      <c r="C215">
        <v>2</v>
      </c>
      <c r="D215">
        <v>8</v>
      </c>
      <c r="E215">
        <v>4.3860000000000001</v>
      </c>
      <c r="F215">
        <v>13</v>
      </c>
      <c r="G215" t="s">
        <v>440</v>
      </c>
      <c r="J215">
        <v>24</v>
      </c>
      <c r="L215">
        <v>22405455</v>
      </c>
      <c r="M215">
        <v>221990014</v>
      </c>
      <c r="N215">
        <v>7</v>
      </c>
      <c r="O215">
        <v>18</v>
      </c>
      <c r="P215">
        <v>2022</v>
      </c>
      <c r="Q215" t="s">
        <v>400</v>
      </c>
      <c r="R215">
        <v>8</v>
      </c>
      <c r="S215">
        <v>98</v>
      </c>
      <c r="T215">
        <v>5</v>
      </c>
      <c r="U215">
        <v>0</v>
      </c>
      <c r="V215">
        <v>2</v>
      </c>
      <c r="W215">
        <v>12</v>
      </c>
      <c r="X215">
        <v>10</v>
      </c>
      <c r="Y215">
        <v>2</v>
      </c>
      <c r="Z215">
        <v>1</v>
      </c>
      <c r="AA215">
        <v>1</v>
      </c>
      <c r="AC215">
        <v>1</v>
      </c>
      <c r="AD215">
        <v>98</v>
      </c>
      <c r="AE215" t="s">
        <v>412</v>
      </c>
      <c r="AF215">
        <v>23</v>
      </c>
      <c r="AG215" t="s">
        <v>389</v>
      </c>
      <c r="AH215">
        <v>7</v>
      </c>
      <c r="AI215">
        <v>2</v>
      </c>
      <c r="AJ215">
        <v>31</v>
      </c>
      <c r="AK215">
        <v>3</v>
      </c>
      <c r="AL215">
        <v>34</v>
      </c>
      <c r="AM215">
        <v>70</v>
      </c>
      <c r="AN215" t="s">
        <v>384</v>
      </c>
      <c r="AO215">
        <v>5</v>
      </c>
      <c r="AP215">
        <v>1</v>
      </c>
      <c r="AT215">
        <v>12</v>
      </c>
      <c r="AU215">
        <v>9</v>
      </c>
      <c r="AV215">
        <v>55</v>
      </c>
      <c r="AW215">
        <v>11</v>
      </c>
      <c r="AX215">
        <v>21</v>
      </c>
      <c r="AY215">
        <v>2</v>
      </c>
      <c r="AZ215">
        <v>4</v>
      </c>
      <c r="BA215">
        <v>3</v>
      </c>
      <c r="BB215">
        <v>21</v>
      </c>
      <c r="BC215">
        <v>37</v>
      </c>
      <c r="BD215" t="s">
        <v>390</v>
      </c>
      <c r="BE215">
        <v>5</v>
      </c>
      <c r="BF215">
        <v>4</v>
      </c>
      <c r="BJ215">
        <v>12</v>
      </c>
      <c r="BK215">
        <v>9</v>
      </c>
      <c r="BL215">
        <v>55</v>
      </c>
      <c r="BM215">
        <v>11</v>
      </c>
      <c r="BN215">
        <v>21</v>
      </c>
      <c r="CU215">
        <v>505346.71916010999</v>
      </c>
      <c r="CV215">
        <v>5018318.4404368801</v>
      </c>
      <c r="CW215">
        <v>45.318351239999998</v>
      </c>
      <c r="CX215">
        <v>-92.931782580000004</v>
      </c>
      <c r="CY215" s="472">
        <v>44760.347916666666</v>
      </c>
      <c r="CZ215" t="s">
        <v>391</v>
      </c>
      <c r="DA215" t="s">
        <v>392</v>
      </c>
      <c r="DB215" t="s">
        <v>397</v>
      </c>
      <c r="DC215" t="s">
        <v>398</v>
      </c>
      <c r="DD215" s="18" t="s">
        <v>622</v>
      </c>
    </row>
    <row r="216" spans="1:108" ht="16.5" customHeight="1" x14ac:dyDescent="0.25">
      <c r="A216">
        <v>13</v>
      </c>
      <c r="B216">
        <v>1068030</v>
      </c>
      <c r="C216">
        <v>2</v>
      </c>
      <c r="D216">
        <v>8</v>
      </c>
      <c r="E216">
        <v>4.4210000000000003</v>
      </c>
      <c r="F216">
        <v>13</v>
      </c>
      <c r="G216" t="s">
        <v>440</v>
      </c>
      <c r="J216">
        <v>24</v>
      </c>
      <c r="L216">
        <v>22005637</v>
      </c>
      <c r="M216">
        <v>223550095</v>
      </c>
      <c r="N216">
        <v>12</v>
      </c>
      <c r="O216">
        <v>21</v>
      </c>
      <c r="P216">
        <v>2022</v>
      </c>
      <c r="Q216" t="s">
        <v>396</v>
      </c>
      <c r="R216">
        <v>11</v>
      </c>
      <c r="T216">
        <v>5</v>
      </c>
      <c r="U216">
        <v>0</v>
      </c>
      <c r="V216">
        <v>2</v>
      </c>
      <c r="W216">
        <v>12</v>
      </c>
      <c r="X216">
        <v>10</v>
      </c>
      <c r="Y216">
        <v>3</v>
      </c>
      <c r="Z216">
        <v>1</v>
      </c>
      <c r="AA216">
        <v>4</v>
      </c>
      <c r="AC216">
        <v>3</v>
      </c>
      <c r="AD216">
        <v>98</v>
      </c>
      <c r="AE216" t="s">
        <v>388</v>
      </c>
      <c r="AF216" t="s">
        <v>623</v>
      </c>
      <c r="AG216" t="s">
        <v>389</v>
      </c>
      <c r="AH216">
        <v>7</v>
      </c>
      <c r="AI216">
        <v>2</v>
      </c>
      <c r="AJ216">
        <v>2</v>
      </c>
      <c r="AK216">
        <v>3</v>
      </c>
      <c r="AL216">
        <v>34</v>
      </c>
      <c r="AM216">
        <v>39</v>
      </c>
      <c r="AN216" t="s">
        <v>390</v>
      </c>
      <c r="AO216">
        <v>5</v>
      </c>
      <c r="AP216">
        <v>1</v>
      </c>
      <c r="AT216">
        <v>12</v>
      </c>
      <c r="AU216">
        <v>20</v>
      </c>
      <c r="AV216">
        <v>55</v>
      </c>
      <c r="AW216">
        <v>11</v>
      </c>
      <c r="AX216">
        <v>21</v>
      </c>
      <c r="AY216">
        <v>2</v>
      </c>
      <c r="AZ216">
        <v>2</v>
      </c>
      <c r="BA216">
        <v>3</v>
      </c>
      <c r="BB216">
        <v>21</v>
      </c>
      <c r="BC216">
        <v>19</v>
      </c>
      <c r="BD216" t="s">
        <v>384</v>
      </c>
      <c r="BE216">
        <v>5</v>
      </c>
      <c r="BF216">
        <v>1</v>
      </c>
      <c r="BJ216">
        <v>12</v>
      </c>
      <c r="BK216">
        <v>20</v>
      </c>
      <c r="BL216">
        <v>55</v>
      </c>
      <c r="BM216">
        <v>11</v>
      </c>
      <c r="BN216">
        <v>21</v>
      </c>
      <c r="CU216">
        <v>505381.11039069999</v>
      </c>
      <c r="CV216">
        <v>5018362.6243259702</v>
      </c>
      <c r="CW216">
        <v>45.31874869</v>
      </c>
      <c r="CX216">
        <v>-92.931343310000003</v>
      </c>
      <c r="CY216" s="472">
        <v>44916.458333333336</v>
      </c>
      <c r="CZ216" t="s">
        <v>391</v>
      </c>
      <c r="DA216" t="s">
        <v>392</v>
      </c>
      <c r="DB216" t="s">
        <v>445</v>
      </c>
      <c r="DC216" t="s">
        <v>394</v>
      </c>
      <c r="DD216" s="18" t="s">
        <v>624</v>
      </c>
    </row>
    <row r="217" spans="1:108" ht="16.5" customHeight="1" x14ac:dyDescent="0.25">
      <c r="A217">
        <v>13</v>
      </c>
      <c r="B217">
        <v>1042992</v>
      </c>
      <c r="C217">
        <v>2</v>
      </c>
      <c r="D217">
        <v>8</v>
      </c>
      <c r="E217">
        <v>4.4580000000000002</v>
      </c>
      <c r="F217">
        <v>13</v>
      </c>
      <c r="G217" t="s">
        <v>440</v>
      </c>
      <c r="J217">
        <v>24</v>
      </c>
      <c r="L217">
        <v>22406516</v>
      </c>
      <c r="M217">
        <v>222390224</v>
      </c>
      <c r="N217">
        <v>8</v>
      </c>
      <c r="O217">
        <v>27</v>
      </c>
      <c r="P217">
        <v>2022</v>
      </c>
      <c r="Q217" t="s">
        <v>405</v>
      </c>
      <c r="R217">
        <v>19</v>
      </c>
      <c r="S217" t="s">
        <v>387</v>
      </c>
      <c r="T217">
        <v>5</v>
      </c>
      <c r="U217">
        <v>0</v>
      </c>
      <c r="V217">
        <v>2</v>
      </c>
      <c r="W217">
        <v>5</v>
      </c>
      <c r="X217">
        <v>10</v>
      </c>
      <c r="Y217">
        <v>3</v>
      </c>
      <c r="Z217">
        <v>3</v>
      </c>
      <c r="AA217">
        <v>1</v>
      </c>
      <c r="AC217">
        <v>1</v>
      </c>
      <c r="AD217">
        <v>98</v>
      </c>
      <c r="AE217" t="s">
        <v>388</v>
      </c>
      <c r="AG217" t="s">
        <v>389</v>
      </c>
      <c r="AH217">
        <v>90</v>
      </c>
      <c r="AI217">
        <v>2</v>
      </c>
      <c r="AJ217">
        <v>4</v>
      </c>
      <c r="AK217">
        <v>3</v>
      </c>
      <c r="AL217">
        <v>24</v>
      </c>
      <c r="AM217">
        <v>58</v>
      </c>
      <c r="AN217" t="s">
        <v>390</v>
      </c>
      <c r="AO217">
        <v>5</v>
      </c>
      <c r="AP217">
        <v>2</v>
      </c>
      <c r="AT217">
        <v>12</v>
      </c>
      <c r="AU217">
        <v>20</v>
      </c>
      <c r="AV217">
        <v>55</v>
      </c>
      <c r="AW217">
        <v>11</v>
      </c>
      <c r="AX217">
        <v>21</v>
      </c>
      <c r="AY217">
        <v>2</v>
      </c>
      <c r="AZ217">
        <v>2</v>
      </c>
      <c r="BA217">
        <v>1</v>
      </c>
      <c r="BB217">
        <v>24</v>
      </c>
      <c r="BC217">
        <v>78</v>
      </c>
      <c r="BD217" t="s">
        <v>384</v>
      </c>
      <c r="BE217">
        <v>5</v>
      </c>
      <c r="BF217">
        <v>1</v>
      </c>
      <c r="BJ217">
        <v>12</v>
      </c>
      <c r="BK217">
        <v>20</v>
      </c>
      <c r="BL217">
        <v>55</v>
      </c>
      <c r="BM217">
        <v>11</v>
      </c>
      <c r="BN217">
        <v>21</v>
      </c>
      <c r="CU217">
        <v>505405.98594530998</v>
      </c>
      <c r="CV217">
        <v>5018415.8072982803</v>
      </c>
      <c r="CW217">
        <v>45.319227220000002</v>
      </c>
      <c r="CX217">
        <v>-92.931025349999999</v>
      </c>
      <c r="CY217" s="472">
        <v>44800.8125</v>
      </c>
      <c r="CZ217" t="s">
        <v>391</v>
      </c>
      <c r="DA217" t="s">
        <v>392</v>
      </c>
      <c r="DB217" t="s">
        <v>397</v>
      </c>
      <c r="DC217" t="s">
        <v>398</v>
      </c>
      <c r="DD217" t="s">
        <v>625</v>
      </c>
    </row>
    <row r="218" spans="1:108" ht="16.5" customHeight="1" x14ac:dyDescent="0.25">
      <c r="A218">
        <v>13</v>
      </c>
      <c r="B218">
        <v>1040634</v>
      </c>
      <c r="C218">
        <v>10</v>
      </c>
      <c r="D218">
        <v>374</v>
      </c>
      <c r="E218">
        <v>1.2999999999999999E-2</v>
      </c>
      <c r="F218">
        <v>82</v>
      </c>
      <c r="G218" t="s">
        <v>508</v>
      </c>
      <c r="J218">
        <v>24</v>
      </c>
      <c r="L218">
        <v>22008350</v>
      </c>
      <c r="M218">
        <v>222310057</v>
      </c>
      <c r="N218">
        <v>8</v>
      </c>
      <c r="O218">
        <v>19</v>
      </c>
      <c r="P218">
        <v>2022</v>
      </c>
      <c r="Q218" t="s">
        <v>415</v>
      </c>
      <c r="R218">
        <v>2</v>
      </c>
      <c r="T218">
        <v>5</v>
      </c>
      <c r="U218">
        <v>0</v>
      </c>
      <c r="V218">
        <v>2</v>
      </c>
      <c r="W218">
        <v>12</v>
      </c>
      <c r="X218">
        <v>10</v>
      </c>
      <c r="Y218">
        <v>4</v>
      </c>
      <c r="Z218">
        <v>1</v>
      </c>
      <c r="AA218">
        <v>2</v>
      </c>
      <c r="AC218">
        <v>2</v>
      </c>
      <c r="AD218">
        <v>98</v>
      </c>
      <c r="AE218" t="s">
        <v>626</v>
      </c>
      <c r="AG218" t="s">
        <v>627</v>
      </c>
      <c r="AH218">
        <v>7</v>
      </c>
      <c r="AI218">
        <v>2</v>
      </c>
      <c r="AJ218">
        <v>2</v>
      </c>
      <c r="AK218">
        <v>3</v>
      </c>
      <c r="AL218">
        <v>34</v>
      </c>
      <c r="AM218">
        <v>70</v>
      </c>
      <c r="AN218" t="s">
        <v>390</v>
      </c>
      <c r="AO218">
        <v>5</v>
      </c>
      <c r="AP218">
        <v>1</v>
      </c>
      <c r="AT218">
        <v>12</v>
      </c>
      <c r="AU218">
        <v>23</v>
      </c>
      <c r="AV218">
        <v>30</v>
      </c>
      <c r="AW218">
        <v>11</v>
      </c>
      <c r="AX218">
        <v>21</v>
      </c>
      <c r="AY218">
        <v>2</v>
      </c>
      <c r="AZ218">
        <v>3</v>
      </c>
      <c r="BA218">
        <v>3</v>
      </c>
      <c r="BB218">
        <v>21</v>
      </c>
      <c r="BC218">
        <v>23</v>
      </c>
      <c r="BD218" t="s">
        <v>384</v>
      </c>
      <c r="BE218">
        <v>5</v>
      </c>
      <c r="BF218">
        <v>74</v>
      </c>
      <c r="BJ218">
        <v>12</v>
      </c>
      <c r="BK218">
        <v>23</v>
      </c>
      <c r="BL218">
        <v>30</v>
      </c>
      <c r="BM218">
        <v>11</v>
      </c>
      <c r="BN218">
        <v>21</v>
      </c>
      <c r="CU218">
        <v>501787.13318956998</v>
      </c>
      <c r="CV218">
        <v>5015456.0895782402</v>
      </c>
      <c r="CW218">
        <v>45.292604040000001</v>
      </c>
      <c r="CX218">
        <v>-92.977208750000003</v>
      </c>
      <c r="CY218" s="472">
        <v>44792.111111111109</v>
      </c>
      <c r="CZ218" t="s">
        <v>391</v>
      </c>
      <c r="DA218" t="s">
        <v>392</v>
      </c>
      <c r="DB218" t="s">
        <v>511</v>
      </c>
      <c r="DC218" t="s">
        <v>394</v>
      </c>
      <c r="DD218" s="18" t="s">
        <v>628</v>
      </c>
    </row>
    <row r="219" spans="1:108" ht="16.5" customHeight="1" x14ac:dyDescent="0.25">
      <c r="A219">
        <v>14</v>
      </c>
      <c r="B219">
        <v>1044347</v>
      </c>
      <c r="C219">
        <v>2</v>
      </c>
      <c r="D219">
        <v>8</v>
      </c>
      <c r="E219">
        <v>4.5369999999999999</v>
      </c>
      <c r="F219">
        <v>13</v>
      </c>
      <c r="G219" t="s">
        <v>440</v>
      </c>
      <c r="J219">
        <v>24</v>
      </c>
      <c r="L219">
        <v>22406689</v>
      </c>
      <c r="M219">
        <v>222460185</v>
      </c>
      <c r="N219">
        <v>9</v>
      </c>
      <c r="O219">
        <v>3</v>
      </c>
      <c r="P219">
        <v>2022</v>
      </c>
      <c r="Q219" t="s">
        <v>405</v>
      </c>
      <c r="R219">
        <v>16</v>
      </c>
      <c r="S219" t="s">
        <v>420</v>
      </c>
      <c r="T219">
        <v>5</v>
      </c>
      <c r="U219">
        <v>0</v>
      </c>
      <c r="V219">
        <v>3</v>
      </c>
      <c r="W219">
        <v>12</v>
      </c>
      <c r="X219">
        <v>10</v>
      </c>
      <c r="Y219">
        <v>2</v>
      </c>
      <c r="Z219">
        <v>1</v>
      </c>
      <c r="AA219">
        <v>2</v>
      </c>
      <c r="AC219">
        <v>1</v>
      </c>
      <c r="AD219">
        <v>98</v>
      </c>
      <c r="AE219" t="s">
        <v>388</v>
      </c>
      <c r="AG219" t="s">
        <v>389</v>
      </c>
      <c r="AH219">
        <v>7</v>
      </c>
      <c r="AI219">
        <v>1</v>
      </c>
      <c r="AY219">
        <v>2</v>
      </c>
      <c r="AZ219">
        <v>4</v>
      </c>
      <c r="BA219">
        <v>4</v>
      </c>
      <c r="BB219">
        <v>34</v>
      </c>
      <c r="BC219">
        <v>20</v>
      </c>
      <c r="BD219" t="s">
        <v>390</v>
      </c>
      <c r="BE219">
        <v>5</v>
      </c>
      <c r="BF219">
        <v>1</v>
      </c>
      <c r="BJ219">
        <v>12</v>
      </c>
      <c r="BK219">
        <v>9</v>
      </c>
      <c r="BL219">
        <v>55</v>
      </c>
      <c r="BM219">
        <v>11</v>
      </c>
      <c r="BN219">
        <v>21</v>
      </c>
      <c r="BO219">
        <v>2</v>
      </c>
      <c r="BP219">
        <v>4</v>
      </c>
      <c r="BQ219">
        <v>4</v>
      </c>
      <c r="BR219">
        <v>34</v>
      </c>
      <c r="BS219">
        <v>27</v>
      </c>
      <c r="BT219" t="s">
        <v>390</v>
      </c>
      <c r="BU219">
        <v>5</v>
      </c>
      <c r="BV219">
        <v>1</v>
      </c>
      <c r="BZ219">
        <v>12</v>
      </c>
      <c r="CA219">
        <v>9</v>
      </c>
      <c r="CB219">
        <v>55</v>
      </c>
      <c r="CC219">
        <v>11</v>
      </c>
      <c r="CD219">
        <v>21</v>
      </c>
      <c r="CU219">
        <v>505463.13605961</v>
      </c>
      <c r="CV219">
        <v>5018530.1075268798</v>
      </c>
      <c r="CW219">
        <v>45.320255639999999</v>
      </c>
      <c r="CX219">
        <v>-92.930294910000001</v>
      </c>
      <c r="CY219" s="472">
        <v>44807.677777777775</v>
      </c>
      <c r="CZ219" t="s">
        <v>391</v>
      </c>
      <c r="DA219" t="s">
        <v>392</v>
      </c>
      <c r="DB219" t="s">
        <v>397</v>
      </c>
      <c r="DC219" t="s">
        <v>398</v>
      </c>
      <c r="DD219" s="18" t="s">
        <v>629</v>
      </c>
    </row>
    <row r="220" spans="1:108" ht="16.5" customHeight="1" x14ac:dyDescent="0.25">
      <c r="A220">
        <v>14</v>
      </c>
      <c r="B220">
        <v>1031799</v>
      </c>
      <c r="C220">
        <v>2</v>
      </c>
      <c r="D220">
        <v>8</v>
      </c>
      <c r="E220">
        <v>5.5750000000000002</v>
      </c>
      <c r="F220">
        <v>13</v>
      </c>
      <c r="G220" t="s">
        <v>440</v>
      </c>
      <c r="J220">
        <v>24</v>
      </c>
      <c r="L220">
        <v>22404985</v>
      </c>
      <c r="M220">
        <v>221820170</v>
      </c>
      <c r="N220">
        <v>7</v>
      </c>
      <c r="O220">
        <v>1</v>
      </c>
      <c r="P220">
        <v>2022</v>
      </c>
      <c r="Q220" t="s">
        <v>415</v>
      </c>
      <c r="R220">
        <v>13</v>
      </c>
      <c r="S220">
        <v>98</v>
      </c>
      <c r="T220">
        <v>4</v>
      </c>
      <c r="U220">
        <v>0</v>
      </c>
      <c r="V220">
        <v>3</v>
      </c>
      <c r="W220">
        <v>11</v>
      </c>
      <c r="X220">
        <v>10</v>
      </c>
      <c r="Y220">
        <v>2</v>
      </c>
      <c r="Z220">
        <v>1</v>
      </c>
      <c r="AA220">
        <v>1</v>
      </c>
      <c r="AC220">
        <v>1</v>
      </c>
      <c r="AD220">
        <v>98</v>
      </c>
      <c r="AE220" t="s">
        <v>388</v>
      </c>
      <c r="AG220" t="s">
        <v>389</v>
      </c>
      <c r="AH220">
        <v>6</v>
      </c>
      <c r="AI220">
        <v>2</v>
      </c>
      <c r="AJ220">
        <v>4</v>
      </c>
      <c r="AK220">
        <v>3</v>
      </c>
      <c r="AL220">
        <v>21</v>
      </c>
      <c r="AM220">
        <v>42</v>
      </c>
      <c r="AN220" t="s">
        <v>390</v>
      </c>
      <c r="AO220">
        <v>9</v>
      </c>
      <c r="AP220">
        <v>68</v>
      </c>
      <c r="AT220">
        <v>12</v>
      </c>
      <c r="AU220">
        <v>9</v>
      </c>
      <c r="AV220">
        <v>55</v>
      </c>
      <c r="AW220">
        <v>11</v>
      </c>
      <c r="AX220">
        <v>21</v>
      </c>
      <c r="AY220">
        <v>2</v>
      </c>
      <c r="AZ220">
        <v>3</v>
      </c>
      <c r="BA220">
        <v>4</v>
      </c>
      <c r="BB220">
        <v>21</v>
      </c>
      <c r="BC220">
        <v>67</v>
      </c>
      <c r="BD220" t="s">
        <v>384</v>
      </c>
      <c r="BE220">
        <v>5</v>
      </c>
      <c r="BF220">
        <v>1</v>
      </c>
      <c r="BJ220">
        <v>12</v>
      </c>
      <c r="BK220">
        <v>9</v>
      </c>
      <c r="BL220">
        <v>55</v>
      </c>
      <c r="BM220">
        <v>11</v>
      </c>
      <c r="BN220">
        <v>21</v>
      </c>
      <c r="BO220">
        <v>2</v>
      </c>
      <c r="BP220">
        <v>2</v>
      </c>
      <c r="BQ220">
        <v>4</v>
      </c>
      <c r="BR220">
        <v>21</v>
      </c>
      <c r="BS220">
        <v>16</v>
      </c>
      <c r="BT220" t="s">
        <v>384</v>
      </c>
      <c r="BU220">
        <v>5</v>
      </c>
      <c r="BV220">
        <v>1</v>
      </c>
      <c r="BZ220">
        <v>12</v>
      </c>
      <c r="CA220">
        <v>9</v>
      </c>
      <c r="CB220">
        <v>55</v>
      </c>
      <c r="CC220">
        <v>11</v>
      </c>
      <c r="CD220">
        <v>21</v>
      </c>
      <c r="CU220">
        <v>506100.25400050997</v>
      </c>
      <c r="CV220">
        <v>5020037.1772076897</v>
      </c>
      <c r="CW220">
        <v>45.333816130000002</v>
      </c>
      <c r="CX220">
        <v>-92.922147240000001</v>
      </c>
      <c r="CY220" s="472">
        <v>44743.541666666664</v>
      </c>
      <c r="CZ220" t="s">
        <v>391</v>
      </c>
      <c r="DA220" t="s">
        <v>392</v>
      </c>
      <c r="DB220" t="s">
        <v>397</v>
      </c>
      <c r="DC220" t="s">
        <v>398</v>
      </c>
      <c r="DD220" s="18" t="s">
        <v>630</v>
      </c>
    </row>
    <row r="221" spans="1:108" ht="16.5" customHeight="1" x14ac:dyDescent="0.25">
      <c r="A221">
        <v>14</v>
      </c>
      <c r="B221">
        <v>1014971</v>
      </c>
      <c r="C221">
        <v>2</v>
      </c>
      <c r="D221">
        <v>8</v>
      </c>
      <c r="E221">
        <v>5.67</v>
      </c>
      <c r="F221">
        <v>13</v>
      </c>
      <c r="G221" t="s">
        <v>440</v>
      </c>
      <c r="I221" t="s">
        <v>384</v>
      </c>
      <c r="J221">
        <v>24</v>
      </c>
      <c r="L221">
        <v>22402578</v>
      </c>
      <c r="M221">
        <v>220890118</v>
      </c>
      <c r="N221">
        <v>3</v>
      </c>
      <c r="O221">
        <v>30</v>
      </c>
      <c r="P221">
        <v>2022</v>
      </c>
      <c r="Q221" t="s">
        <v>396</v>
      </c>
      <c r="R221">
        <v>6</v>
      </c>
      <c r="T221">
        <v>3</v>
      </c>
      <c r="U221">
        <v>0</v>
      </c>
      <c r="V221">
        <v>3</v>
      </c>
      <c r="W221">
        <v>13</v>
      </c>
      <c r="X221">
        <v>10</v>
      </c>
      <c r="Y221">
        <v>2</v>
      </c>
      <c r="Z221">
        <v>6</v>
      </c>
      <c r="AA221">
        <v>5</v>
      </c>
      <c r="AC221">
        <v>3</v>
      </c>
      <c r="AD221">
        <v>98</v>
      </c>
      <c r="AE221" t="s">
        <v>412</v>
      </c>
      <c r="AF221" t="s">
        <v>631</v>
      </c>
      <c r="AG221" t="s">
        <v>389</v>
      </c>
      <c r="AH221">
        <v>7</v>
      </c>
      <c r="AI221">
        <v>2</v>
      </c>
      <c r="AJ221">
        <v>4</v>
      </c>
      <c r="AK221">
        <v>4</v>
      </c>
      <c r="AL221">
        <v>21</v>
      </c>
      <c r="AM221">
        <v>38</v>
      </c>
      <c r="AN221" t="s">
        <v>384</v>
      </c>
      <c r="AO221">
        <v>5</v>
      </c>
      <c r="AP221">
        <v>1</v>
      </c>
      <c r="AT221">
        <v>12</v>
      </c>
      <c r="AU221">
        <v>9</v>
      </c>
      <c r="AV221">
        <v>55</v>
      </c>
      <c r="AW221">
        <v>11</v>
      </c>
      <c r="AX221">
        <v>24</v>
      </c>
      <c r="AY221">
        <v>2</v>
      </c>
      <c r="AZ221">
        <v>4</v>
      </c>
      <c r="BA221">
        <v>4</v>
      </c>
      <c r="BB221">
        <v>21</v>
      </c>
      <c r="BC221">
        <v>50</v>
      </c>
      <c r="BD221" t="s">
        <v>384</v>
      </c>
      <c r="BE221">
        <v>5</v>
      </c>
      <c r="BF221">
        <v>1</v>
      </c>
      <c r="BJ221">
        <v>12</v>
      </c>
      <c r="BK221">
        <v>9</v>
      </c>
      <c r="BL221">
        <v>55</v>
      </c>
      <c r="BM221">
        <v>11</v>
      </c>
      <c r="BN221">
        <v>24</v>
      </c>
      <c r="BO221">
        <v>2</v>
      </c>
      <c r="BP221">
        <v>2</v>
      </c>
      <c r="BQ221">
        <v>4</v>
      </c>
      <c r="BR221">
        <v>34</v>
      </c>
      <c r="BS221">
        <v>43</v>
      </c>
      <c r="BT221" t="s">
        <v>384</v>
      </c>
      <c r="BU221">
        <v>5</v>
      </c>
      <c r="BV221">
        <v>68</v>
      </c>
      <c r="BZ221">
        <v>12</v>
      </c>
      <c r="CA221">
        <v>9</v>
      </c>
      <c r="CB221">
        <v>55</v>
      </c>
      <c r="CC221">
        <v>11</v>
      </c>
      <c r="CD221">
        <v>24</v>
      </c>
      <c r="CU221">
        <v>506204.07160000002</v>
      </c>
      <c r="CV221">
        <v>5020149.6897</v>
      </c>
      <c r="CW221">
        <v>45.334836060000001</v>
      </c>
      <c r="CX221">
        <v>-92.920828589999999</v>
      </c>
      <c r="CY221" s="472">
        <v>44650.270138888889</v>
      </c>
      <c r="CZ221" t="s">
        <v>391</v>
      </c>
      <c r="DA221" t="s">
        <v>392</v>
      </c>
      <c r="DB221" t="s">
        <v>397</v>
      </c>
      <c r="DC221" t="s">
        <v>398</v>
      </c>
      <c r="DD221" s="18" t="s">
        <v>632</v>
      </c>
    </row>
    <row r="222" spans="1:108" ht="16.5" customHeight="1" x14ac:dyDescent="0.25">
      <c r="A222">
        <v>14</v>
      </c>
      <c r="B222">
        <v>998568</v>
      </c>
      <c r="C222">
        <v>2</v>
      </c>
      <c r="D222">
        <v>8</v>
      </c>
      <c r="E222">
        <v>5.7830000000000004</v>
      </c>
      <c r="F222">
        <v>13</v>
      </c>
      <c r="G222" t="s">
        <v>440</v>
      </c>
      <c r="I222" t="s">
        <v>384</v>
      </c>
      <c r="J222">
        <v>24</v>
      </c>
      <c r="L222">
        <v>22400385</v>
      </c>
      <c r="M222">
        <v>220110181</v>
      </c>
      <c r="N222">
        <v>1</v>
      </c>
      <c r="O222">
        <v>11</v>
      </c>
      <c r="P222">
        <v>2022</v>
      </c>
      <c r="Q222" t="s">
        <v>402</v>
      </c>
      <c r="R222">
        <v>14</v>
      </c>
      <c r="S222">
        <v>98</v>
      </c>
      <c r="T222">
        <v>4</v>
      </c>
      <c r="U222">
        <v>0</v>
      </c>
      <c r="V222">
        <v>4</v>
      </c>
      <c r="W222">
        <v>12</v>
      </c>
      <c r="X222">
        <v>10</v>
      </c>
      <c r="Y222">
        <v>4</v>
      </c>
      <c r="Z222">
        <v>1</v>
      </c>
      <c r="AA222">
        <v>1</v>
      </c>
      <c r="AC222">
        <v>1</v>
      </c>
      <c r="AD222">
        <v>98</v>
      </c>
      <c r="AE222" t="s">
        <v>412</v>
      </c>
      <c r="AF222" t="s">
        <v>633</v>
      </c>
      <c r="AG222" t="s">
        <v>389</v>
      </c>
      <c r="AH222">
        <v>7</v>
      </c>
      <c r="AI222">
        <v>2</v>
      </c>
      <c r="AJ222">
        <v>4</v>
      </c>
      <c r="AK222">
        <v>4</v>
      </c>
      <c r="AL222">
        <v>34</v>
      </c>
      <c r="AM222">
        <v>39</v>
      </c>
      <c r="AN222" t="s">
        <v>390</v>
      </c>
      <c r="AO222">
        <v>5</v>
      </c>
      <c r="AP222">
        <v>1</v>
      </c>
      <c r="AT222">
        <v>12</v>
      </c>
      <c r="AU222">
        <v>9</v>
      </c>
      <c r="AV222">
        <v>55</v>
      </c>
      <c r="AW222">
        <v>11</v>
      </c>
      <c r="AX222">
        <v>21</v>
      </c>
      <c r="AY222">
        <v>2</v>
      </c>
      <c r="AZ222">
        <v>2</v>
      </c>
      <c r="BA222">
        <v>4</v>
      </c>
      <c r="BB222">
        <v>26</v>
      </c>
      <c r="BC222">
        <v>20</v>
      </c>
      <c r="BD222" t="s">
        <v>384</v>
      </c>
      <c r="BE222">
        <v>5</v>
      </c>
      <c r="BF222">
        <v>1</v>
      </c>
      <c r="BJ222">
        <v>12</v>
      </c>
      <c r="BK222">
        <v>9</v>
      </c>
      <c r="BL222">
        <v>55</v>
      </c>
      <c r="BM222">
        <v>11</v>
      </c>
      <c r="BN222">
        <v>21</v>
      </c>
      <c r="BO222">
        <v>2</v>
      </c>
      <c r="BP222">
        <v>4</v>
      </c>
      <c r="BQ222">
        <v>3</v>
      </c>
      <c r="BR222">
        <v>21</v>
      </c>
      <c r="BS222">
        <v>71</v>
      </c>
      <c r="BT222" t="s">
        <v>384</v>
      </c>
      <c r="BU222">
        <v>5</v>
      </c>
      <c r="BV222">
        <v>1</v>
      </c>
      <c r="BZ222">
        <v>12</v>
      </c>
      <c r="CA222">
        <v>9</v>
      </c>
      <c r="CB222">
        <v>55</v>
      </c>
      <c r="CC222">
        <v>11</v>
      </c>
      <c r="CD222">
        <v>21</v>
      </c>
      <c r="CE222">
        <v>2</v>
      </c>
      <c r="CF222">
        <v>3</v>
      </c>
      <c r="CG222">
        <v>4</v>
      </c>
      <c r="CH222">
        <v>21</v>
      </c>
      <c r="CI222">
        <v>47</v>
      </c>
      <c r="CJ222" t="s">
        <v>384</v>
      </c>
      <c r="CK222">
        <v>5</v>
      </c>
      <c r="CL222">
        <v>74</v>
      </c>
      <c r="CP222">
        <v>12</v>
      </c>
      <c r="CQ222">
        <v>9</v>
      </c>
      <c r="CR222">
        <v>55</v>
      </c>
      <c r="CS222">
        <v>11</v>
      </c>
      <c r="CT222">
        <v>21</v>
      </c>
      <c r="CU222">
        <v>506317.79220000003</v>
      </c>
      <c r="CV222">
        <v>5020291.9469999997</v>
      </c>
      <c r="CW222">
        <v>45.336115560000003</v>
      </c>
      <c r="CX222">
        <v>-92.919375419999994</v>
      </c>
      <c r="CY222" s="472">
        <v>44572.61041666667</v>
      </c>
      <c r="CZ222" t="s">
        <v>391</v>
      </c>
      <c r="DA222" t="s">
        <v>392</v>
      </c>
      <c r="DB222" t="s">
        <v>397</v>
      </c>
      <c r="DC222" t="s">
        <v>398</v>
      </c>
      <c r="DD222" s="18" t="s">
        <v>634</v>
      </c>
    </row>
    <row r="223" spans="1:108" ht="16.5" customHeight="1" x14ac:dyDescent="0.25">
      <c r="A223">
        <v>14</v>
      </c>
      <c r="B223">
        <v>1052802</v>
      </c>
      <c r="C223">
        <v>2</v>
      </c>
      <c r="D223">
        <v>8</v>
      </c>
      <c r="E223">
        <v>5.9880000000000004</v>
      </c>
      <c r="F223">
        <v>13</v>
      </c>
      <c r="G223" t="s">
        <v>440</v>
      </c>
      <c r="J223">
        <v>24</v>
      </c>
      <c r="L223">
        <v>22407864</v>
      </c>
      <c r="M223">
        <v>222930032</v>
      </c>
      <c r="N223">
        <v>10</v>
      </c>
      <c r="O223">
        <v>20</v>
      </c>
      <c r="P223">
        <v>2022</v>
      </c>
      <c r="Q223" t="s">
        <v>386</v>
      </c>
      <c r="R223">
        <v>9</v>
      </c>
      <c r="S223" t="s">
        <v>420</v>
      </c>
      <c r="T223">
        <v>5</v>
      </c>
      <c r="U223">
        <v>0</v>
      </c>
      <c r="V223">
        <v>3</v>
      </c>
      <c r="W223">
        <v>12</v>
      </c>
      <c r="X223">
        <v>10</v>
      </c>
      <c r="Y223">
        <v>4</v>
      </c>
      <c r="Z223">
        <v>1</v>
      </c>
      <c r="AA223">
        <v>1</v>
      </c>
      <c r="AC223">
        <v>1</v>
      </c>
      <c r="AD223">
        <v>98</v>
      </c>
      <c r="AE223" t="s">
        <v>388</v>
      </c>
      <c r="AG223" t="s">
        <v>389</v>
      </c>
      <c r="AH223">
        <v>7</v>
      </c>
      <c r="AI223">
        <v>2</v>
      </c>
      <c r="AJ223">
        <v>5</v>
      </c>
      <c r="AK223">
        <v>4</v>
      </c>
      <c r="AL223">
        <v>21</v>
      </c>
      <c r="AM223">
        <v>64</v>
      </c>
      <c r="AN223" t="s">
        <v>384</v>
      </c>
      <c r="AO223">
        <v>5</v>
      </c>
      <c r="AP223">
        <v>4</v>
      </c>
      <c r="AT223">
        <v>12</v>
      </c>
      <c r="AU223">
        <v>9</v>
      </c>
      <c r="AV223">
        <v>55</v>
      </c>
      <c r="AW223">
        <v>11</v>
      </c>
      <c r="AX223">
        <v>21</v>
      </c>
      <c r="AY223">
        <v>2</v>
      </c>
      <c r="AZ223">
        <v>2</v>
      </c>
      <c r="BA223">
        <v>3</v>
      </c>
      <c r="BB223">
        <v>21</v>
      </c>
      <c r="BC223">
        <v>55</v>
      </c>
      <c r="BD223" t="s">
        <v>390</v>
      </c>
      <c r="BE223">
        <v>5</v>
      </c>
      <c r="BF223">
        <v>1</v>
      </c>
      <c r="BJ223">
        <v>12</v>
      </c>
      <c r="BK223">
        <v>9</v>
      </c>
      <c r="BL223">
        <v>55</v>
      </c>
      <c r="BM223">
        <v>11</v>
      </c>
      <c r="BN223">
        <v>21</v>
      </c>
      <c r="BO223">
        <v>2</v>
      </c>
      <c r="BP223">
        <v>4</v>
      </c>
      <c r="BQ223">
        <v>4</v>
      </c>
      <c r="BR223">
        <v>34</v>
      </c>
      <c r="BS223">
        <v>75</v>
      </c>
      <c r="BT223" t="s">
        <v>390</v>
      </c>
      <c r="BU223">
        <v>5</v>
      </c>
      <c r="BV223">
        <v>1</v>
      </c>
      <c r="BZ223">
        <v>12</v>
      </c>
      <c r="CA223">
        <v>9</v>
      </c>
      <c r="CB223">
        <v>55</v>
      </c>
      <c r="CC223">
        <v>11</v>
      </c>
      <c r="CD223">
        <v>21</v>
      </c>
      <c r="CU223">
        <v>506506.65481331002</v>
      </c>
      <c r="CV223">
        <v>5020562.1115908902</v>
      </c>
      <c r="CW223">
        <v>45.338537619999997</v>
      </c>
      <c r="CX223">
        <v>-92.916953770000006</v>
      </c>
      <c r="CY223" s="472">
        <v>44854.408333333333</v>
      </c>
      <c r="CZ223" t="s">
        <v>391</v>
      </c>
      <c r="DA223" t="s">
        <v>392</v>
      </c>
      <c r="DB223" t="s">
        <v>397</v>
      </c>
      <c r="DC223" t="s">
        <v>398</v>
      </c>
      <c r="DD223" t="s">
        <v>635</v>
      </c>
    </row>
    <row r="224" spans="1:108" ht="16.5" customHeight="1" x14ac:dyDescent="0.25">
      <c r="A224">
        <v>14</v>
      </c>
      <c r="B224">
        <v>1035145</v>
      </c>
      <c r="C224">
        <v>2</v>
      </c>
      <c r="D224">
        <v>8</v>
      </c>
      <c r="E224">
        <v>6.2789999999999999</v>
      </c>
      <c r="F224">
        <v>13</v>
      </c>
      <c r="G224" t="s">
        <v>440</v>
      </c>
      <c r="J224">
        <v>24</v>
      </c>
      <c r="L224">
        <v>22405475</v>
      </c>
      <c r="M224">
        <v>221990196</v>
      </c>
      <c r="N224">
        <v>7</v>
      </c>
      <c r="O224">
        <v>18</v>
      </c>
      <c r="P224">
        <v>2022</v>
      </c>
      <c r="Q224" t="s">
        <v>400</v>
      </c>
      <c r="R224">
        <v>17</v>
      </c>
      <c r="S224" t="s">
        <v>387</v>
      </c>
      <c r="T224">
        <v>2</v>
      </c>
      <c r="U224">
        <v>0</v>
      </c>
      <c r="V224">
        <v>2</v>
      </c>
      <c r="W224">
        <v>13</v>
      </c>
      <c r="X224">
        <v>10</v>
      </c>
      <c r="Y224">
        <v>2</v>
      </c>
      <c r="Z224">
        <v>1</v>
      </c>
      <c r="AA224">
        <v>1</v>
      </c>
      <c r="AC224">
        <v>1</v>
      </c>
      <c r="AD224">
        <v>98</v>
      </c>
      <c r="AE224" t="s">
        <v>388</v>
      </c>
      <c r="AG224" t="s">
        <v>389</v>
      </c>
      <c r="AH224">
        <v>8</v>
      </c>
      <c r="AI224">
        <v>2</v>
      </c>
      <c r="AJ224">
        <v>31</v>
      </c>
      <c r="AK224">
        <v>3</v>
      </c>
      <c r="AL224">
        <v>21</v>
      </c>
      <c r="AM224">
        <v>37</v>
      </c>
      <c r="AN224" t="s">
        <v>384</v>
      </c>
      <c r="AO224">
        <v>5</v>
      </c>
      <c r="AP224">
        <v>68</v>
      </c>
      <c r="AT224">
        <v>12</v>
      </c>
      <c r="AU224">
        <v>9</v>
      </c>
      <c r="AV224">
        <v>55</v>
      </c>
      <c r="AW224">
        <v>12</v>
      </c>
      <c r="AX224">
        <v>21</v>
      </c>
      <c r="AY224">
        <v>2</v>
      </c>
      <c r="AZ224">
        <v>2</v>
      </c>
      <c r="BA224">
        <v>4</v>
      </c>
      <c r="BB224">
        <v>21</v>
      </c>
      <c r="BC224">
        <v>18</v>
      </c>
      <c r="BD224" t="s">
        <v>390</v>
      </c>
      <c r="BE224">
        <v>5</v>
      </c>
      <c r="BF224">
        <v>1</v>
      </c>
      <c r="BJ224">
        <v>12</v>
      </c>
      <c r="BK224">
        <v>9</v>
      </c>
      <c r="BL224">
        <v>55</v>
      </c>
      <c r="BM224">
        <v>13</v>
      </c>
      <c r="BN224">
        <v>21</v>
      </c>
      <c r="CU224">
        <v>506796.63872660999</v>
      </c>
      <c r="CV224">
        <v>5020928.2956565898</v>
      </c>
      <c r="CW224">
        <v>45.341831030000002</v>
      </c>
      <c r="CX224">
        <v>-92.913247589999997</v>
      </c>
      <c r="CY224" s="472">
        <v>44760.708333333336</v>
      </c>
      <c r="CZ224" t="s">
        <v>391</v>
      </c>
      <c r="DA224" t="s">
        <v>392</v>
      </c>
      <c r="DB224" t="s">
        <v>397</v>
      </c>
      <c r="DC224" t="s">
        <v>398</v>
      </c>
      <c r="DD224" t="s">
        <v>636</v>
      </c>
    </row>
    <row r="225" spans="1:108" ht="16.5" customHeight="1" x14ac:dyDescent="0.25">
      <c r="A225">
        <v>14</v>
      </c>
      <c r="B225">
        <v>1067912</v>
      </c>
      <c r="C225">
        <v>2</v>
      </c>
      <c r="D225">
        <v>8</v>
      </c>
      <c r="E225">
        <v>7.1550000000000002</v>
      </c>
      <c r="F225">
        <v>13</v>
      </c>
      <c r="G225" t="s">
        <v>440</v>
      </c>
      <c r="J225">
        <v>24</v>
      </c>
      <c r="L225">
        <v>22005555</v>
      </c>
      <c r="M225">
        <v>223500606</v>
      </c>
      <c r="N225">
        <v>12</v>
      </c>
      <c r="O225">
        <v>16</v>
      </c>
      <c r="P225">
        <v>2022</v>
      </c>
      <c r="Q225" t="s">
        <v>415</v>
      </c>
      <c r="R225">
        <v>10</v>
      </c>
      <c r="T225">
        <v>5</v>
      </c>
      <c r="U225">
        <v>0</v>
      </c>
      <c r="V225">
        <v>1</v>
      </c>
      <c r="X225">
        <v>32</v>
      </c>
      <c r="Y225">
        <v>2</v>
      </c>
      <c r="Z225">
        <v>1</v>
      </c>
      <c r="AA225">
        <v>1</v>
      </c>
      <c r="AC225">
        <v>5</v>
      </c>
      <c r="AD225">
        <v>98</v>
      </c>
      <c r="AE225" t="s">
        <v>388</v>
      </c>
      <c r="AG225" t="s">
        <v>389</v>
      </c>
      <c r="AH225">
        <v>3</v>
      </c>
      <c r="AI225">
        <v>2</v>
      </c>
      <c r="AJ225">
        <v>5</v>
      </c>
      <c r="AK225">
        <v>3</v>
      </c>
      <c r="AL225">
        <v>21</v>
      </c>
      <c r="AM225">
        <v>33</v>
      </c>
      <c r="AN225" t="s">
        <v>384</v>
      </c>
      <c r="AO225">
        <v>5</v>
      </c>
      <c r="AP225">
        <v>1</v>
      </c>
      <c r="AT225">
        <v>12</v>
      </c>
      <c r="AU225">
        <v>9</v>
      </c>
      <c r="AV225">
        <v>55</v>
      </c>
      <c r="AW225">
        <v>11</v>
      </c>
      <c r="AX225">
        <v>21</v>
      </c>
      <c r="CU225">
        <v>506978.31023239001</v>
      </c>
      <c r="CV225">
        <v>5022309.9979448998</v>
      </c>
      <c r="CW225">
        <v>45.354266449999997</v>
      </c>
      <c r="CX225">
        <v>-92.910909230000001</v>
      </c>
      <c r="CY225" s="472">
        <v>44911.454861111109</v>
      </c>
      <c r="CZ225" t="s">
        <v>391</v>
      </c>
      <c r="DA225" t="s">
        <v>392</v>
      </c>
      <c r="DB225" t="s">
        <v>445</v>
      </c>
      <c r="DC225" t="s">
        <v>394</v>
      </c>
      <c r="DD225" t="s">
        <v>637</v>
      </c>
    </row>
    <row r="226" spans="1:108" ht="16.5" customHeight="1" x14ac:dyDescent="0.25">
      <c r="A226">
        <v>14</v>
      </c>
      <c r="B226">
        <v>1054731</v>
      </c>
      <c r="C226">
        <v>2</v>
      </c>
      <c r="D226">
        <v>8</v>
      </c>
      <c r="E226">
        <v>7.2350000000000003</v>
      </c>
      <c r="F226">
        <v>13</v>
      </c>
      <c r="G226" t="s">
        <v>440</v>
      </c>
      <c r="J226">
        <v>24</v>
      </c>
      <c r="L226">
        <v>22407849</v>
      </c>
      <c r="M226">
        <v>222920241</v>
      </c>
      <c r="N226">
        <v>10</v>
      </c>
      <c r="O226">
        <v>19</v>
      </c>
      <c r="P226">
        <v>2022</v>
      </c>
      <c r="Q226" t="s">
        <v>396</v>
      </c>
      <c r="R226">
        <v>18</v>
      </c>
      <c r="S226">
        <v>98</v>
      </c>
      <c r="T226">
        <v>5</v>
      </c>
      <c r="U226">
        <v>0</v>
      </c>
      <c r="V226">
        <v>2</v>
      </c>
      <c r="W226">
        <v>12</v>
      </c>
      <c r="X226">
        <v>10</v>
      </c>
      <c r="Y226">
        <v>3</v>
      </c>
      <c r="Z226">
        <v>3</v>
      </c>
      <c r="AA226">
        <v>1</v>
      </c>
      <c r="AC226">
        <v>1</v>
      </c>
      <c r="AD226">
        <v>98</v>
      </c>
      <c r="AE226" t="s">
        <v>388</v>
      </c>
      <c r="AG226" t="s">
        <v>389</v>
      </c>
      <c r="AH226">
        <v>7</v>
      </c>
      <c r="AI226">
        <v>2</v>
      </c>
      <c r="AJ226">
        <v>4</v>
      </c>
      <c r="AK226">
        <v>3</v>
      </c>
      <c r="AL226">
        <v>26</v>
      </c>
      <c r="AM226">
        <v>34</v>
      </c>
      <c r="AN226" t="s">
        <v>390</v>
      </c>
      <c r="AO226">
        <v>5</v>
      </c>
      <c r="AP226">
        <v>4</v>
      </c>
      <c r="AT226">
        <v>12</v>
      </c>
      <c r="AU226">
        <v>20</v>
      </c>
      <c r="AV226">
        <v>55</v>
      </c>
      <c r="AW226">
        <v>11</v>
      </c>
      <c r="AX226">
        <v>21</v>
      </c>
      <c r="AY226">
        <v>2</v>
      </c>
      <c r="AZ226">
        <v>4</v>
      </c>
      <c r="BA226">
        <v>3</v>
      </c>
      <c r="BB226">
        <v>34</v>
      </c>
      <c r="BC226">
        <v>25</v>
      </c>
      <c r="BD226" t="s">
        <v>390</v>
      </c>
      <c r="BE226">
        <v>5</v>
      </c>
      <c r="BF226">
        <v>1</v>
      </c>
      <c r="BJ226">
        <v>12</v>
      </c>
      <c r="BK226">
        <v>20</v>
      </c>
      <c r="BL226">
        <v>55</v>
      </c>
      <c r="BM226">
        <v>11</v>
      </c>
      <c r="BN226">
        <v>21</v>
      </c>
      <c r="CU226">
        <v>507001.95580390998</v>
      </c>
      <c r="CV226">
        <v>5022437.4820082998</v>
      </c>
      <c r="CW226">
        <v>45.355413740000003</v>
      </c>
      <c r="CX226">
        <v>-92.91060555</v>
      </c>
      <c r="CY226" s="472">
        <v>44853.754166666666</v>
      </c>
      <c r="CZ226" t="s">
        <v>391</v>
      </c>
      <c r="DA226" t="s">
        <v>392</v>
      </c>
      <c r="DB226" t="s">
        <v>397</v>
      </c>
      <c r="DC226" t="s">
        <v>398</v>
      </c>
      <c r="DD226" s="18" t="s">
        <v>638</v>
      </c>
    </row>
    <row r="227" spans="1:108" ht="16.5" customHeight="1" x14ac:dyDescent="0.25">
      <c r="A227">
        <v>14</v>
      </c>
      <c r="B227">
        <v>1057144</v>
      </c>
      <c r="C227">
        <v>2</v>
      </c>
      <c r="D227">
        <v>8</v>
      </c>
      <c r="E227">
        <v>7.3029999999999999</v>
      </c>
      <c r="F227">
        <v>13</v>
      </c>
      <c r="G227" t="s">
        <v>440</v>
      </c>
      <c r="J227">
        <v>24</v>
      </c>
      <c r="L227">
        <v>22004925</v>
      </c>
      <c r="M227">
        <v>223150067</v>
      </c>
      <c r="N227">
        <v>11</v>
      </c>
      <c r="O227">
        <v>11</v>
      </c>
      <c r="P227">
        <v>2022</v>
      </c>
      <c r="Q227" t="s">
        <v>415</v>
      </c>
      <c r="R227">
        <v>12</v>
      </c>
      <c r="T227">
        <v>5</v>
      </c>
      <c r="U227">
        <v>0</v>
      </c>
      <c r="V227">
        <v>2</v>
      </c>
      <c r="W227">
        <v>12</v>
      </c>
      <c r="X227">
        <v>10</v>
      </c>
      <c r="Y227">
        <v>3</v>
      </c>
      <c r="Z227">
        <v>1</v>
      </c>
      <c r="AA227">
        <v>2</v>
      </c>
      <c r="AC227">
        <v>1</v>
      </c>
      <c r="AD227">
        <v>98</v>
      </c>
      <c r="AE227" t="s">
        <v>388</v>
      </c>
      <c r="AF227" t="s">
        <v>487</v>
      </c>
      <c r="AG227" t="s">
        <v>389</v>
      </c>
      <c r="AH227">
        <v>7</v>
      </c>
      <c r="AI227">
        <v>2</v>
      </c>
      <c r="AJ227">
        <v>2</v>
      </c>
      <c r="AK227">
        <v>3</v>
      </c>
      <c r="AL227">
        <v>26</v>
      </c>
      <c r="AM227">
        <v>61</v>
      </c>
      <c r="AN227" t="s">
        <v>384</v>
      </c>
      <c r="AO227">
        <v>5</v>
      </c>
      <c r="AP227">
        <v>99</v>
      </c>
      <c r="AT227">
        <v>12</v>
      </c>
      <c r="AU227">
        <v>20</v>
      </c>
      <c r="AV227">
        <v>55</v>
      </c>
      <c r="AW227">
        <v>11</v>
      </c>
      <c r="AX227">
        <v>21</v>
      </c>
      <c r="AY227">
        <v>2</v>
      </c>
      <c r="AZ227">
        <v>2</v>
      </c>
      <c r="BA227">
        <v>3</v>
      </c>
      <c r="BB227">
        <v>26</v>
      </c>
      <c r="BC227">
        <v>26</v>
      </c>
      <c r="BD227" t="s">
        <v>384</v>
      </c>
      <c r="BE227">
        <v>5</v>
      </c>
      <c r="BF227">
        <v>1</v>
      </c>
      <c r="BJ227">
        <v>12</v>
      </c>
      <c r="BK227">
        <v>20</v>
      </c>
      <c r="BL227">
        <v>55</v>
      </c>
      <c r="BM227">
        <v>11</v>
      </c>
      <c r="BN227">
        <v>21</v>
      </c>
      <c r="CU227">
        <v>507036.76648548001</v>
      </c>
      <c r="CV227">
        <v>5022540.4260900496</v>
      </c>
      <c r="CW227">
        <v>45.356340029999998</v>
      </c>
      <c r="CX227">
        <v>-92.910159649999997</v>
      </c>
      <c r="CY227" s="472">
        <v>44876.525694444441</v>
      </c>
      <c r="CZ227" t="s">
        <v>391</v>
      </c>
      <c r="DA227" t="s">
        <v>392</v>
      </c>
      <c r="DB227" t="s">
        <v>445</v>
      </c>
      <c r="DC227" t="s">
        <v>394</v>
      </c>
      <c r="DD227" t="s">
        <v>639</v>
      </c>
    </row>
    <row r="228" spans="1:108" ht="16.5" customHeight="1" x14ac:dyDescent="0.25">
      <c r="A228">
        <v>14</v>
      </c>
      <c r="B228">
        <v>1043097</v>
      </c>
      <c r="C228">
        <v>2</v>
      </c>
      <c r="D228">
        <v>8</v>
      </c>
      <c r="E228">
        <v>7.3369999999999997</v>
      </c>
      <c r="F228">
        <v>13</v>
      </c>
      <c r="G228" t="s">
        <v>440</v>
      </c>
      <c r="J228">
        <v>24</v>
      </c>
      <c r="L228">
        <v>22406627</v>
      </c>
      <c r="M228">
        <v>222440026</v>
      </c>
      <c r="N228">
        <v>9</v>
      </c>
      <c r="O228">
        <v>1</v>
      </c>
      <c r="P228">
        <v>2022</v>
      </c>
      <c r="Q228" t="s">
        <v>386</v>
      </c>
      <c r="R228">
        <v>6</v>
      </c>
      <c r="S228" t="s">
        <v>420</v>
      </c>
      <c r="T228">
        <v>5</v>
      </c>
      <c r="U228">
        <v>0</v>
      </c>
      <c r="V228">
        <v>2</v>
      </c>
      <c r="W228">
        <v>12</v>
      </c>
      <c r="X228">
        <v>10</v>
      </c>
      <c r="Y228">
        <v>3</v>
      </c>
      <c r="Z228">
        <v>2</v>
      </c>
      <c r="AA228">
        <v>1</v>
      </c>
      <c r="AC228">
        <v>1</v>
      </c>
      <c r="AD228">
        <v>98</v>
      </c>
      <c r="AE228" t="s">
        <v>388</v>
      </c>
      <c r="AG228" t="s">
        <v>389</v>
      </c>
      <c r="AH228">
        <v>7</v>
      </c>
      <c r="AI228">
        <v>2</v>
      </c>
      <c r="AJ228">
        <v>2</v>
      </c>
      <c r="AK228">
        <v>4</v>
      </c>
      <c r="AL228">
        <v>21</v>
      </c>
      <c r="AM228">
        <v>19</v>
      </c>
      <c r="AN228" t="s">
        <v>390</v>
      </c>
      <c r="AO228">
        <v>5</v>
      </c>
      <c r="AP228">
        <v>74</v>
      </c>
      <c r="AT228">
        <v>12</v>
      </c>
      <c r="AU228">
        <v>20</v>
      </c>
      <c r="AV228">
        <v>55</v>
      </c>
      <c r="AW228">
        <v>11</v>
      </c>
      <c r="AX228">
        <v>21</v>
      </c>
      <c r="AY228">
        <v>2</v>
      </c>
      <c r="AZ228">
        <v>2</v>
      </c>
      <c r="BA228">
        <v>4</v>
      </c>
      <c r="BB228">
        <v>34</v>
      </c>
      <c r="BC228">
        <v>57</v>
      </c>
      <c r="BD228" t="s">
        <v>384</v>
      </c>
      <c r="BE228">
        <v>5</v>
      </c>
      <c r="BF228">
        <v>1</v>
      </c>
      <c r="BJ228">
        <v>12</v>
      </c>
      <c r="BK228">
        <v>20</v>
      </c>
      <c r="BL228">
        <v>55</v>
      </c>
      <c r="BM228">
        <v>11</v>
      </c>
      <c r="BN228">
        <v>21</v>
      </c>
      <c r="CU228">
        <v>507061.22258911002</v>
      </c>
      <c r="CV228">
        <v>5022589.8823130997</v>
      </c>
      <c r="CW228">
        <v>45.356784959999999</v>
      </c>
      <c r="CX228">
        <v>-92.909846709999997</v>
      </c>
      <c r="CY228" s="472">
        <v>44805.261805555558</v>
      </c>
      <c r="CZ228" t="s">
        <v>391</v>
      </c>
      <c r="DA228" t="s">
        <v>392</v>
      </c>
      <c r="DB228" t="s">
        <v>397</v>
      </c>
      <c r="DC228" t="s">
        <v>398</v>
      </c>
      <c r="DD228" t="s">
        <v>640</v>
      </c>
    </row>
    <row r="229" spans="1:108" ht="16.5" customHeight="1" x14ac:dyDescent="0.25">
      <c r="A229">
        <v>15</v>
      </c>
      <c r="B229">
        <v>1008511</v>
      </c>
      <c r="C229">
        <v>2</v>
      </c>
      <c r="D229">
        <v>8</v>
      </c>
      <c r="E229">
        <v>7.375</v>
      </c>
      <c r="F229">
        <v>13</v>
      </c>
      <c r="G229" t="s">
        <v>440</v>
      </c>
      <c r="I229" t="s">
        <v>384</v>
      </c>
      <c r="J229">
        <v>24</v>
      </c>
      <c r="L229">
        <v>22000832</v>
      </c>
      <c r="M229">
        <v>220540195</v>
      </c>
      <c r="N229">
        <v>2</v>
      </c>
      <c r="O229">
        <v>23</v>
      </c>
      <c r="P229">
        <v>2022</v>
      </c>
      <c r="Q229" t="s">
        <v>396</v>
      </c>
      <c r="R229">
        <v>7</v>
      </c>
      <c r="S229" t="s">
        <v>420</v>
      </c>
      <c r="T229">
        <v>5</v>
      </c>
      <c r="U229">
        <v>0</v>
      </c>
      <c r="V229">
        <v>1</v>
      </c>
      <c r="X229">
        <v>32</v>
      </c>
      <c r="Y229">
        <v>2</v>
      </c>
      <c r="Z229">
        <v>1</v>
      </c>
      <c r="AA229">
        <v>1</v>
      </c>
      <c r="AC229">
        <v>5</v>
      </c>
      <c r="AD229">
        <v>98</v>
      </c>
      <c r="AE229" t="s">
        <v>388</v>
      </c>
      <c r="AG229" t="s">
        <v>389</v>
      </c>
      <c r="AH229">
        <v>3</v>
      </c>
      <c r="AI229">
        <v>2</v>
      </c>
      <c r="AJ229">
        <v>2</v>
      </c>
      <c r="AK229">
        <v>4</v>
      </c>
      <c r="AL229">
        <v>26</v>
      </c>
      <c r="AM229">
        <v>61</v>
      </c>
      <c r="AN229" t="s">
        <v>384</v>
      </c>
      <c r="AO229">
        <v>5</v>
      </c>
      <c r="AP229">
        <v>1</v>
      </c>
      <c r="AT229">
        <v>12</v>
      </c>
      <c r="AU229">
        <v>98</v>
      </c>
      <c r="AV229">
        <v>55</v>
      </c>
      <c r="AW229">
        <v>11</v>
      </c>
      <c r="AX229">
        <v>21</v>
      </c>
      <c r="CU229">
        <v>507081.20890000003</v>
      </c>
      <c r="CV229">
        <v>5022647.8724999996</v>
      </c>
      <c r="CW229">
        <v>45.357314819999999</v>
      </c>
      <c r="CX229">
        <v>-92.909598399999993</v>
      </c>
      <c r="CY229" s="472">
        <v>44615.314583333333</v>
      </c>
      <c r="CZ229" t="s">
        <v>391</v>
      </c>
      <c r="DA229" t="s">
        <v>392</v>
      </c>
      <c r="DB229" t="s">
        <v>445</v>
      </c>
      <c r="DC229" t="s">
        <v>394</v>
      </c>
      <c r="DD229" s="18" t="s">
        <v>641</v>
      </c>
    </row>
    <row r="230" spans="1:108" ht="16.5" customHeight="1" x14ac:dyDescent="0.25">
      <c r="A230">
        <v>15</v>
      </c>
      <c r="B230">
        <v>1040677</v>
      </c>
      <c r="C230">
        <v>2</v>
      </c>
      <c r="D230">
        <v>8</v>
      </c>
      <c r="E230">
        <v>7.3929999999999998</v>
      </c>
      <c r="F230">
        <v>13</v>
      </c>
      <c r="G230" t="s">
        <v>440</v>
      </c>
      <c r="J230">
        <v>24</v>
      </c>
      <c r="L230">
        <v>22406265</v>
      </c>
      <c r="M230">
        <v>222290211</v>
      </c>
      <c r="N230">
        <v>8</v>
      </c>
      <c r="O230">
        <v>17</v>
      </c>
      <c r="P230">
        <v>2022</v>
      </c>
      <c r="Q230" t="s">
        <v>396</v>
      </c>
      <c r="R230">
        <v>15</v>
      </c>
      <c r="S230" t="s">
        <v>387</v>
      </c>
      <c r="T230">
        <v>5</v>
      </c>
      <c r="U230">
        <v>0</v>
      </c>
      <c r="V230">
        <v>2</v>
      </c>
      <c r="W230">
        <v>12</v>
      </c>
      <c r="X230">
        <v>10</v>
      </c>
      <c r="Y230">
        <v>2</v>
      </c>
      <c r="Z230">
        <v>1</v>
      </c>
      <c r="AA230">
        <v>2</v>
      </c>
      <c r="AB230">
        <v>3</v>
      </c>
      <c r="AC230">
        <v>2</v>
      </c>
      <c r="AD230">
        <v>98</v>
      </c>
      <c r="AE230" t="s">
        <v>388</v>
      </c>
      <c r="AG230" t="s">
        <v>389</v>
      </c>
      <c r="AH230">
        <v>7</v>
      </c>
      <c r="AI230">
        <v>2</v>
      </c>
      <c r="AJ230">
        <v>2</v>
      </c>
      <c r="AK230">
        <v>3</v>
      </c>
      <c r="AL230">
        <v>21</v>
      </c>
      <c r="AM230">
        <v>52</v>
      </c>
      <c r="AN230" t="s">
        <v>384</v>
      </c>
      <c r="AO230">
        <v>5</v>
      </c>
      <c r="AP230">
        <v>74</v>
      </c>
      <c r="AT230">
        <v>12</v>
      </c>
      <c r="AU230">
        <v>9</v>
      </c>
      <c r="AV230">
        <v>55</v>
      </c>
      <c r="AW230">
        <v>11</v>
      </c>
      <c r="AX230">
        <v>21</v>
      </c>
      <c r="AY230">
        <v>2</v>
      </c>
      <c r="AZ230">
        <v>4</v>
      </c>
      <c r="BA230">
        <v>3</v>
      </c>
      <c r="BB230">
        <v>26</v>
      </c>
      <c r="BC230">
        <v>17</v>
      </c>
      <c r="BD230" t="s">
        <v>390</v>
      </c>
      <c r="BE230">
        <v>5</v>
      </c>
      <c r="BF230">
        <v>1</v>
      </c>
      <c r="BJ230">
        <v>12</v>
      </c>
      <c r="BK230">
        <v>9</v>
      </c>
      <c r="BL230">
        <v>55</v>
      </c>
      <c r="BM230">
        <v>11</v>
      </c>
      <c r="BN230">
        <v>21</v>
      </c>
      <c r="CU230">
        <v>507090.85598171002</v>
      </c>
      <c r="CV230">
        <v>5022674.5491490997</v>
      </c>
      <c r="CW230">
        <v>45.357546769999999</v>
      </c>
      <c r="CX230">
        <v>-92.909467149999998</v>
      </c>
      <c r="CY230" s="472">
        <v>44790.654166666667</v>
      </c>
      <c r="CZ230" t="s">
        <v>391</v>
      </c>
      <c r="DA230" t="s">
        <v>392</v>
      </c>
      <c r="DB230" t="s">
        <v>397</v>
      </c>
      <c r="DC230" t="s">
        <v>398</v>
      </c>
      <c r="DD230" s="18" t="s">
        <v>642</v>
      </c>
    </row>
    <row r="231" spans="1:108" ht="16.5" customHeight="1" x14ac:dyDescent="0.25">
      <c r="A231">
        <v>15</v>
      </c>
      <c r="B231">
        <v>1058808</v>
      </c>
      <c r="C231">
        <v>2</v>
      </c>
      <c r="D231">
        <v>8</v>
      </c>
      <c r="E231">
        <v>7.4359999999999999</v>
      </c>
      <c r="F231">
        <v>13</v>
      </c>
      <c r="G231" t="s">
        <v>440</v>
      </c>
      <c r="J231">
        <v>24</v>
      </c>
      <c r="L231">
        <v>22408613</v>
      </c>
      <c r="M231">
        <v>223181010</v>
      </c>
      <c r="N231">
        <v>11</v>
      </c>
      <c r="O231">
        <v>14</v>
      </c>
      <c r="P231">
        <v>2022</v>
      </c>
      <c r="Q231" t="s">
        <v>400</v>
      </c>
      <c r="R231">
        <v>18</v>
      </c>
      <c r="S231" t="s">
        <v>420</v>
      </c>
      <c r="T231">
        <v>4</v>
      </c>
      <c r="U231">
        <v>0</v>
      </c>
      <c r="V231">
        <v>2</v>
      </c>
      <c r="W231">
        <v>5</v>
      </c>
      <c r="X231">
        <v>10</v>
      </c>
      <c r="Y231">
        <v>3</v>
      </c>
      <c r="Z231">
        <v>4</v>
      </c>
      <c r="AA231">
        <v>4</v>
      </c>
      <c r="AC231">
        <v>3</v>
      </c>
      <c r="AD231">
        <v>98</v>
      </c>
      <c r="AE231" t="s">
        <v>388</v>
      </c>
      <c r="AG231" t="s">
        <v>389</v>
      </c>
      <c r="AH231">
        <v>9</v>
      </c>
      <c r="AI231">
        <v>2</v>
      </c>
      <c r="AJ231">
        <v>3</v>
      </c>
      <c r="AK231">
        <v>3</v>
      </c>
      <c r="AL231">
        <v>24</v>
      </c>
      <c r="AM231">
        <v>48</v>
      </c>
      <c r="AN231" t="s">
        <v>384</v>
      </c>
      <c r="AO231">
        <v>5</v>
      </c>
      <c r="AP231">
        <v>1</v>
      </c>
      <c r="AT231">
        <v>12</v>
      </c>
      <c r="AU231">
        <v>20</v>
      </c>
      <c r="AV231">
        <v>55</v>
      </c>
      <c r="AW231">
        <v>11</v>
      </c>
      <c r="AX231">
        <v>21</v>
      </c>
      <c r="AY231">
        <v>2</v>
      </c>
      <c r="AZ231">
        <v>2</v>
      </c>
      <c r="BA231">
        <v>4</v>
      </c>
      <c r="BB231">
        <v>21</v>
      </c>
      <c r="BC231">
        <v>18</v>
      </c>
      <c r="BD231" t="s">
        <v>390</v>
      </c>
      <c r="BE231">
        <v>5</v>
      </c>
      <c r="BF231">
        <v>63</v>
      </c>
      <c r="BJ231">
        <v>12</v>
      </c>
      <c r="BK231">
        <v>20</v>
      </c>
      <c r="BL231">
        <v>55</v>
      </c>
      <c r="BM231">
        <v>11</v>
      </c>
      <c r="BN231">
        <v>21</v>
      </c>
      <c r="CU231">
        <v>507099.32266531</v>
      </c>
      <c r="CV231">
        <v>5022746.5159596996</v>
      </c>
      <c r="CW231">
        <v>45.358194480000002</v>
      </c>
      <c r="CX231">
        <v>-92.909358019999999</v>
      </c>
      <c r="CY231" s="472">
        <v>44879.760416666664</v>
      </c>
      <c r="CZ231" t="s">
        <v>391</v>
      </c>
      <c r="DA231" t="s">
        <v>392</v>
      </c>
      <c r="DB231" t="s">
        <v>397</v>
      </c>
      <c r="DC231" t="s">
        <v>398</v>
      </c>
      <c r="DD231" t="s">
        <v>643</v>
      </c>
    </row>
    <row r="232" spans="1:108" ht="16.5" customHeight="1" x14ac:dyDescent="0.25">
      <c r="A232">
        <v>15</v>
      </c>
      <c r="B232">
        <v>1049663</v>
      </c>
      <c r="C232">
        <v>2</v>
      </c>
      <c r="D232">
        <v>8</v>
      </c>
      <c r="E232">
        <v>8.2420000000000009</v>
      </c>
      <c r="F232">
        <v>13</v>
      </c>
      <c r="G232" t="s">
        <v>440</v>
      </c>
      <c r="J232">
        <v>24</v>
      </c>
      <c r="L232">
        <v>22406608</v>
      </c>
      <c r="M232">
        <v>222430256</v>
      </c>
      <c r="N232">
        <v>8</v>
      </c>
      <c r="O232">
        <v>31</v>
      </c>
      <c r="P232">
        <v>2022</v>
      </c>
      <c r="Q232" t="s">
        <v>396</v>
      </c>
      <c r="R232">
        <v>17</v>
      </c>
      <c r="S232" t="s">
        <v>387</v>
      </c>
      <c r="T232">
        <v>5</v>
      </c>
      <c r="U232">
        <v>0</v>
      </c>
      <c r="V232">
        <v>2</v>
      </c>
      <c r="W232">
        <v>12</v>
      </c>
      <c r="X232">
        <v>10</v>
      </c>
      <c r="Y232">
        <v>2</v>
      </c>
      <c r="Z232">
        <v>1</v>
      </c>
      <c r="AA232">
        <v>1</v>
      </c>
      <c r="AC232">
        <v>1</v>
      </c>
      <c r="AD232">
        <v>98</v>
      </c>
      <c r="AE232" t="s">
        <v>388</v>
      </c>
      <c r="AG232" t="s">
        <v>389</v>
      </c>
      <c r="AH232">
        <v>7</v>
      </c>
      <c r="AI232">
        <v>2</v>
      </c>
      <c r="AJ232">
        <v>3</v>
      </c>
      <c r="AK232">
        <v>3</v>
      </c>
      <c r="AL232">
        <v>34</v>
      </c>
      <c r="AM232">
        <v>26</v>
      </c>
      <c r="AN232" t="s">
        <v>384</v>
      </c>
      <c r="AO232">
        <v>5</v>
      </c>
      <c r="AP232">
        <v>1</v>
      </c>
      <c r="AT232">
        <v>15</v>
      </c>
      <c r="AU232">
        <v>9</v>
      </c>
      <c r="AV232">
        <v>40</v>
      </c>
      <c r="AW232">
        <v>11</v>
      </c>
      <c r="AX232">
        <v>21</v>
      </c>
      <c r="AY232">
        <v>2</v>
      </c>
      <c r="AZ232">
        <v>2</v>
      </c>
      <c r="BA232">
        <v>3</v>
      </c>
      <c r="BB232">
        <v>21</v>
      </c>
      <c r="BC232">
        <v>19</v>
      </c>
      <c r="BD232" t="s">
        <v>384</v>
      </c>
      <c r="BE232">
        <v>5</v>
      </c>
      <c r="BF232">
        <v>1</v>
      </c>
      <c r="BJ232">
        <v>15</v>
      </c>
      <c r="BK232">
        <v>9</v>
      </c>
      <c r="BL232">
        <v>40</v>
      </c>
      <c r="BM232">
        <v>11</v>
      </c>
      <c r="BN232">
        <v>21</v>
      </c>
      <c r="CU232">
        <v>507776.65735331998</v>
      </c>
      <c r="CV232">
        <v>5023842.9514859002</v>
      </c>
      <c r="CW232">
        <v>45.368056680000002</v>
      </c>
      <c r="CX232">
        <v>-92.900692759999998</v>
      </c>
      <c r="CY232" s="472">
        <v>44804.708333333336</v>
      </c>
      <c r="CZ232" t="s">
        <v>391</v>
      </c>
      <c r="DA232" t="s">
        <v>392</v>
      </c>
      <c r="DB232" t="s">
        <v>397</v>
      </c>
      <c r="DC232" t="s">
        <v>398</v>
      </c>
      <c r="DD232" t="s">
        <v>644</v>
      </c>
    </row>
    <row r="233" spans="1:108" ht="16.5" customHeight="1" x14ac:dyDescent="0.25">
      <c r="A233">
        <v>15</v>
      </c>
      <c r="B233">
        <v>1037729</v>
      </c>
      <c r="C233">
        <v>2</v>
      </c>
      <c r="D233">
        <v>8</v>
      </c>
      <c r="E233">
        <v>8.33</v>
      </c>
      <c r="F233">
        <v>13</v>
      </c>
      <c r="G233" t="s">
        <v>440</v>
      </c>
      <c r="J233">
        <v>24</v>
      </c>
      <c r="L233">
        <v>22405925</v>
      </c>
      <c r="M233">
        <v>222150087</v>
      </c>
      <c r="N233">
        <v>8</v>
      </c>
      <c r="O233">
        <v>3</v>
      </c>
      <c r="P233">
        <v>2022</v>
      </c>
      <c r="Q233" t="s">
        <v>396</v>
      </c>
      <c r="R233">
        <v>16</v>
      </c>
      <c r="S233">
        <v>98</v>
      </c>
      <c r="T233">
        <v>4</v>
      </c>
      <c r="U233">
        <v>0</v>
      </c>
      <c r="V233">
        <v>2</v>
      </c>
      <c r="W233">
        <v>12</v>
      </c>
      <c r="X233">
        <v>10</v>
      </c>
      <c r="Y233">
        <v>2</v>
      </c>
      <c r="Z233">
        <v>1</v>
      </c>
      <c r="AA233">
        <v>1</v>
      </c>
      <c r="AC233">
        <v>1</v>
      </c>
      <c r="AD233">
        <v>98</v>
      </c>
      <c r="AE233" t="s">
        <v>388</v>
      </c>
      <c r="AG233" t="s">
        <v>389</v>
      </c>
      <c r="AH233">
        <v>7</v>
      </c>
      <c r="AI233">
        <v>2</v>
      </c>
      <c r="AJ233">
        <v>4</v>
      </c>
      <c r="AK233">
        <v>3</v>
      </c>
      <c r="AL233">
        <v>21</v>
      </c>
      <c r="AM233">
        <v>42</v>
      </c>
      <c r="AN233" t="s">
        <v>384</v>
      </c>
      <c r="AO233">
        <v>5</v>
      </c>
      <c r="AP233">
        <v>74</v>
      </c>
      <c r="AT233">
        <v>12</v>
      </c>
      <c r="AU233">
        <v>9</v>
      </c>
      <c r="AV233">
        <v>45</v>
      </c>
      <c r="AW233">
        <v>11</v>
      </c>
      <c r="AX233">
        <v>21</v>
      </c>
      <c r="AY233">
        <v>2</v>
      </c>
      <c r="AZ233">
        <v>3</v>
      </c>
      <c r="BA233">
        <v>3</v>
      </c>
      <c r="BB233">
        <v>26</v>
      </c>
      <c r="BC233">
        <v>24</v>
      </c>
      <c r="BD233" t="s">
        <v>384</v>
      </c>
      <c r="BE233">
        <v>5</v>
      </c>
      <c r="BF233">
        <v>1</v>
      </c>
      <c r="BJ233">
        <v>12</v>
      </c>
      <c r="BK233">
        <v>9</v>
      </c>
      <c r="BL233">
        <v>45</v>
      </c>
      <c r="BM233">
        <v>11</v>
      </c>
      <c r="BN233">
        <v>21</v>
      </c>
      <c r="CU233">
        <v>507861.32418931997</v>
      </c>
      <c r="CV233">
        <v>5023957.2517144997</v>
      </c>
      <c r="CW233">
        <v>45.36908459</v>
      </c>
      <c r="CX233">
        <v>-92.899609760000004</v>
      </c>
      <c r="CY233" s="472">
        <v>44776.678472222222</v>
      </c>
      <c r="CZ233" t="s">
        <v>391</v>
      </c>
      <c r="DA233" t="s">
        <v>392</v>
      </c>
      <c r="DB233" t="s">
        <v>397</v>
      </c>
      <c r="DC233" t="s">
        <v>398</v>
      </c>
      <c r="DD233" s="18" t="s">
        <v>645</v>
      </c>
    </row>
    <row r="234" spans="1:108" ht="16.5" customHeight="1" x14ac:dyDescent="0.25">
      <c r="A234">
        <v>15</v>
      </c>
      <c r="B234">
        <v>1034880</v>
      </c>
      <c r="C234">
        <v>2</v>
      </c>
      <c r="D234">
        <v>8</v>
      </c>
      <c r="E234">
        <v>8.3780000000000001</v>
      </c>
      <c r="F234">
        <v>13</v>
      </c>
      <c r="G234" t="s">
        <v>440</v>
      </c>
      <c r="J234">
        <v>24</v>
      </c>
      <c r="L234">
        <v>22405508</v>
      </c>
      <c r="M234">
        <v>222000081</v>
      </c>
      <c r="N234">
        <v>7</v>
      </c>
      <c r="O234">
        <v>19</v>
      </c>
      <c r="P234">
        <v>2022</v>
      </c>
      <c r="Q234" t="s">
        <v>402</v>
      </c>
      <c r="R234">
        <v>17</v>
      </c>
      <c r="S234" t="s">
        <v>387</v>
      </c>
      <c r="T234">
        <v>4</v>
      </c>
      <c r="U234">
        <v>0</v>
      </c>
      <c r="V234">
        <v>2</v>
      </c>
      <c r="W234">
        <v>12</v>
      </c>
      <c r="X234">
        <v>10</v>
      </c>
      <c r="Y234">
        <v>3</v>
      </c>
      <c r="Z234">
        <v>1</v>
      </c>
      <c r="AA234">
        <v>1</v>
      </c>
      <c r="AC234">
        <v>1</v>
      </c>
      <c r="AD234">
        <v>98</v>
      </c>
      <c r="AE234" t="s">
        <v>388</v>
      </c>
      <c r="AG234" t="s">
        <v>389</v>
      </c>
      <c r="AH234">
        <v>7</v>
      </c>
      <c r="AI234">
        <v>2</v>
      </c>
      <c r="AJ234">
        <v>2</v>
      </c>
      <c r="AK234">
        <v>3</v>
      </c>
      <c r="AL234">
        <v>34</v>
      </c>
      <c r="AM234">
        <v>16</v>
      </c>
      <c r="AN234" t="s">
        <v>384</v>
      </c>
      <c r="AO234">
        <v>5</v>
      </c>
      <c r="AP234">
        <v>1</v>
      </c>
      <c r="AT234">
        <v>15</v>
      </c>
      <c r="AU234">
        <v>9</v>
      </c>
      <c r="AV234">
        <v>45</v>
      </c>
      <c r="AW234">
        <v>11</v>
      </c>
      <c r="AX234">
        <v>21</v>
      </c>
      <c r="AY234">
        <v>2</v>
      </c>
      <c r="AZ234">
        <v>2</v>
      </c>
      <c r="BA234">
        <v>3</v>
      </c>
      <c r="BB234">
        <v>21</v>
      </c>
      <c r="BC234">
        <v>61</v>
      </c>
      <c r="BD234" t="s">
        <v>384</v>
      </c>
      <c r="BE234">
        <v>5</v>
      </c>
      <c r="BF234">
        <v>4</v>
      </c>
      <c r="BJ234">
        <v>15</v>
      </c>
      <c r="BK234">
        <v>9</v>
      </c>
      <c r="BL234">
        <v>45</v>
      </c>
      <c r="BM234">
        <v>11</v>
      </c>
      <c r="BN234">
        <v>21</v>
      </c>
      <c r="CU234">
        <v>507912.12429091998</v>
      </c>
      <c r="CV234">
        <v>5024014.4018288003</v>
      </c>
      <c r="CW234">
        <v>45.369598449999998</v>
      </c>
      <c r="CX234">
        <v>-92.898960119999998</v>
      </c>
      <c r="CY234" s="472">
        <v>44761.728472222225</v>
      </c>
      <c r="CZ234" t="s">
        <v>391</v>
      </c>
      <c r="DA234" t="s">
        <v>392</v>
      </c>
      <c r="DB234" t="s">
        <v>397</v>
      </c>
      <c r="DC234" t="s">
        <v>398</v>
      </c>
      <c r="DD234" t="s">
        <v>646</v>
      </c>
    </row>
  </sheetData>
  <autoFilter ref="B1:B234" xr:uid="{AB9BC9B8-6A1F-4F74-A85A-2866BF9B54EF}"/>
  <conditionalFormatting sqref="B1 B35:B98 B235:B1048576">
    <cfRule type="duplicateValues" dxfId="2" priority="3"/>
  </conditionalFormatting>
  <conditionalFormatting sqref="B1:B1048576">
    <cfRule type="duplicateValues" dxfId="1" priority="1"/>
  </conditionalFormatting>
  <conditionalFormatting sqref="B99:B106">
    <cfRule type="duplicateValues" dxfId="0" priority="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T90"/>
  <sheetViews>
    <sheetView tabSelected="1" view="pageBreakPreview" zoomScale="85" zoomScaleNormal="100" zoomScaleSheetLayoutView="85" workbookViewId="0">
      <selection activeCell="M13" sqref="M13"/>
    </sheetView>
  </sheetViews>
  <sheetFormatPr defaultColWidth="8.85546875" defaultRowHeight="15" x14ac:dyDescent="0.25"/>
  <cols>
    <col min="1" max="1" width="3.42578125" customWidth="1"/>
    <col min="2" max="12" width="15.42578125" customWidth="1"/>
    <col min="13" max="13" width="20.7109375" customWidth="1"/>
    <col min="14" max="14" width="25.140625" customWidth="1"/>
    <col min="15" max="15" width="25" customWidth="1"/>
    <col min="16" max="22" width="20.7109375" customWidth="1"/>
    <col min="23" max="24" width="15.7109375" customWidth="1"/>
  </cols>
  <sheetData>
    <row r="1" spans="2:15" ht="23.25" x14ac:dyDescent="0.35">
      <c r="B1" s="24" t="s">
        <v>704</v>
      </c>
      <c r="C1" s="24"/>
      <c r="D1" s="24"/>
    </row>
    <row r="3" spans="2:15" ht="16.5" thickBot="1" x14ac:dyDescent="0.3">
      <c r="B3" s="30" t="s">
        <v>7</v>
      </c>
      <c r="C3" s="30"/>
      <c r="D3" s="30"/>
      <c r="H3" s="89"/>
      <c r="I3" s="89"/>
    </row>
    <row r="4" spans="2:15" s="36" customFormat="1" ht="24.75" customHeight="1" thickBot="1" x14ac:dyDescent="0.3">
      <c r="B4" s="37"/>
      <c r="C4" s="543" t="s">
        <v>34</v>
      </c>
      <c r="D4" s="544"/>
      <c r="E4" s="56" t="s">
        <v>35</v>
      </c>
      <c r="F4" s="547" t="s">
        <v>36</v>
      </c>
      <c r="G4" s="548"/>
      <c r="H4" s="657" t="s">
        <v>263</v>
      </c>
      <c r="I4" s="661" t="s">
        <v>60</v>
      </c>
      <c r="J4" s="662"/>
    </row>
    <row r="5" spans="2:15" ht="35.1" customHeight="1" x14ac:dyDescent="0.25">
      <c r="B5" s="534" t="s">
        <v>0</v>
      </c>
      <c r="C5" s="532" t="s">
        <v>53</v>
      </c>
      <c r="D5" s="530" t="s">
        <v>54</v>
      </c>
      <c r="E5" s="536" t="s">
        <v>29</v>
      </c>
      <c r="F5" s="532" t="s">
        <v>147</v>
      </c>
      <c r="G5" s="530" t="s">
        <v>148</v>
      </c>
      <c r="H5" s="528" t="s">
        <v>264</v>
      </c>
      <c r="I5" s="532" t="s">
        <v>61</v>
      </c>
      <c r="J5" s="530" t="s">
        <v>88</v>
      </c>
      <c r="K5" s="528" t="s">
        <v>81</v>
      </c>
      <c r="L5" s="541" t="s">
        <v>1</v>
      </c>
    </row>
    <row r="6" spans="2:15" ht="35.1" customHeight="1" thickBot="1" x14ac:dyDescent="0.3">
      <c r="B6" s="535"/>
      <c r="C6" s="538"/>
      <c r="D6" s="531"/>
      <c r="E6" s="537"/>
      <c r="F6" s="533"/>
      <c r="G6" s="540"/>
      <c r="H6" s="529"/>
      <c r="I6" s="533"/>
      <c r="J6" s="540"/>
      <c r="K6" s="539"/>
      <c r="L6" s="542"/>
      <c r="N6" s="45"/>
      <c r="O6" s="46"/>
    </row>
    <row r="7" spans="2:15" ht="15" customHeight="1" x14ac:dyDescent="0.25">
      <c r="B7" s="1">
        <f>'Capital Costs'!K5</f>
        <v>2023</v>
      </c>
      <c r="C7" s="174">
        <f>IFERROR(VLOOKUP($B7,'Travel Time Cost Savings'!$B$7:$G$71,'Travel Time Cost Savings'!$F$1,FALSE),0)</f>
        <v>0</v>
      </c>
      <c r="D7" s="175">
        <f>IFERROR(VLOOKUP($B7,'Operating Cost Savings'!$B$7:$G$58,'Operating Cost Savings'!$F$1,FALSE),0)</f>
        <v>0</v>
      </c>
      <c r="E7" s="215">
        <f>IFERROR(VLOOKUP($B7,'Safety Benefits'!$B$6:$H$130,'Safety Benefits'!G$1,FALSE),0)</f>
        <v>0</v>
      </c>
      <c r="F7" s="174">
        <f>IFERROR(_xlfn.XLOOKUP($B7,'Air Quality'!$B$5:$B$24,'Air Quality'!$M$5:$M$24),0)</f>
        <v>0</v>
      </c>
      <c r="G7" s="175">
        <f>IFERROR(_xlfn.XLOOKUP($B7,'Air Quality'!$B$5:$B$24,'Air Quality'!$E$5:$E$24),0)</f>
        <v>0</v>
      </c>
      <c r="H7" s="450">
        <f>IFERROR(_xlfn.XLOOKUP($B7,'Quality of Life Benefits '!$B$7:$B$26,'Quality of Life Benefits '!$L$7:$L$26),0)</f>
        <v>0</v>
      </c>
      <c r="I7" s="174">
        <f>IFERROR(_xlfn.XLOOKUP($B7,'Operation and Maintenance'!$B$5:$B$28,'Operation and Maintenance'!$E$5:$E$28),0)</f>
        <v>0</v>
      </c>
      <c r="J7" s="663" t="str">
        <f>IFERROR(_xlfn.XLOOKUP($B7,'Capital Costs'!$B$8:$B$31,'Capital Costs'!$E$8:$E$31),0)</f>
        <v>N/A</v>
      </c>
      <c r="K7" s="658">
        <f>SUM(C7:F7,H7,I7:J7)</f>
        <v>0</v>
      </c>
      <c r="L7" s="357">
        <f>K7*(1+0.07)^-(B7-Assumptions!$C$6)+G7</f>
        <v>0</v>
      </c>
    </row>
    <row r="8" spans="2:15" ht="15" customHeight="1" x14ac:dyDescent="0.25">
      <c r="B8" s="2">
        <f t="shared" ref="B8:B30" si="0">B7+1</f>
        <v>2024</v>
      </c>
      <c r="C8" s="119">
        <f>IFERROR(VLOOKUP($B8,'Travel Time Cost Savings'!$B$7:$G$71,'Travel Time Cost Savings'!$F$1,FALSE),0)</f>
        <v>0</v>
      </c>
      <c r="D8" s="120">
        <f>IFERROR(VLOOKUP($B8,'Operating Cost Savings'!$B$7:$G$58,'Operating Cost Savings'!$F$1,FALSE),0)</f>
        <v>0</v>
      </c>
      <c r="E8" s="221">
        <f>IFERROR(VLOOKUP($B8,'Safety Benefits'!$B$6:$H$130,'Safety Benefits'!G$1,FALSE),0)</f>
        <v>0</v>
      </c>
      <c r="F8" s="119">
        <f>IFERROR(_xlfn.XLOOKUP($B8,'Air Quality'!$B$5:$B$24,'Air Quality'!$M$5:$M$24),0)</f>
        <v>0</v>
      </c>
      <c r="G8" s="120">
        <f>IFERROR(_xlfn.XLOOKUP($B8,'Air Quality'!$B$5:$B$24,'Air Quality'!$E$5:$E$24),0)</f>
        <v>0</v>
      </c>
      <c r="H8" s="451">
        <f>IFERROR(_xlfn.XLOOKUP($B8,'Quality of Life Benefits '!$B$7:$B$26,'Quality of Life Benefits '!$L$7:$L$26),0)</f>
        <v>0</v>
      </c>
      <c r="I8" s="119">
        <f>IFERROR(_xlfn.XLOOKUP($B8,'Operation and Maintenance'!$B$5:$B$28,'Operation and Maintenance'!$E$5:$E$28),0)</f>
        <v>0</v>
      </c>
      <c r="J8" s="664" t="str">
        <f>IFERROR(_xlfn.XLOOKUP($B8,'Capital Costs'!$B$8:$B$31,'Capital Costs'!$E$8:$E$31),0)</f>
        <v>N/A</v>
      </c>
      <c r="K8" s="659">
        <f t="shared" ref="K8:K30" si="1">SUM(C8:F8,H8,I8:J8)</f>
        <v>0</v>
      </c>
      <c r="L8" s="358">
        <f>K8*(1+0.07)^-(B8-Assumptions!$C$6)+G8</f>
        <v>0</v>
      </c>
    </row>
    <row r="9" spans="2:15" ht="15" customHeight="1" x14ac:dyDescent="0.25">
      <c r="B9" s="2">
        <f t="shared" si="0"/>
        <v>2025</v>
      </c>
      <c r="C9" s="119">
        <f>IFERROR(VLOOKUP($B9,'Travel Time Cost Savings'!$B$7:$G$71,'Travel Time Cost Savings'!$F$1,FALSE),0)</f>
        <v>0</v>
      </c>
      <c r="D9" s="120">
        <f>IFERROR(VLOOKUP($B9,'Operating Cost Savings'!$B$7:$G$58,'Operating Cost Savings'!$F$1,FALSE),0)</f>
        <v>0</v>
      </c>
      <c r="E9" s="221">
        <f>IFERROR(VLOOKUP($B9,'Safety Benefits'!$B$6:$H$130,'Safety Benefits'!G$1,FALSE),0)</f>
        <v>0</v>
      </c>
      <c r="F9" s="119">
        <f>IFERROR(_xlfn.XLOOKUP($B9,'Air Quality'!$B$5:$B$24,'Air Quality'!$M$5:$M$24),0)</f>
        <v>0</v>
      </c>
      <c r="G9" s="120">
        <f>IFERROR(_xlfn.XLOOKUP($B9,'Air Quality'!$B$5:$B$24,'Air Quality'!$E$5:$E$24),0)</f>
        <v>0</v>
      </c>
      <c r="H9" s="451">
        <f>IFERROR(_xlfn.XLOOKUP($B9,'Quality of Life Benefits '!$B$7:$B$26,'Quality of Life Benefits '!$L$7:$L$26),0)</f>
        <v>0</v>
      </c>
      <c r="I9" s="119">
        <f>IFERROR(_xlfn.XLOOKUP($B9,'Operation and Maintenance'!$B$5:$B$28,'Operation and Maintenance'!$E$5:$E$28),0)</f>
        <v>0</v>
      </c>
      <c r="J9" s="664" t="str">
        <f>IFERROR(_xlfn.XLOOKUP($B9,'Capital Costs'!$B$8:$B$31,'Capital Costs'!$E$8:$E$31),0)</f>
        <v>N/A</v>
      </c>
      <c r="K9" s="659">
        <f t="shared" si="1"/>
        <v>0</v>
      </c>
      <c r="L9" s="358">
        <f>K9*(1+0.07)^-(B9-Assumptions!$C$6)+G9</f>
        <v>0</v>
      </c>
    </row>
    <row r="10" spans="2:15" ht="15" customHeight="1" x14ac:dyDescent="0.25">
      <c r="B10" s="2">
        <f t="shared" si="0"/>
        <v>2026</v>
      </c>
      <c r="C10" s="119">
        <f>IFERROR(VLOOKUP($B10,'Travel Time Cost Savings'!$B$7:$G$71,'Travel Time Cost Savings'!$F$1,FALSE),0)</f>
        <v>0</v>
      </c>
      <c r="D10" s="120">
        <f>IFERROR(VLOOKUP($B10,'Operating Cost Savings'!$B$7:$G$58,'Operating Cost Savings'!$F$1,FALSE),0)</f>
        <v>0</v>
      </c>
      <c r="E10" s="221">
        <f>IFERROR(VLOOKUP($B10,'Safety Benefits'!$B$6:$H$130,'Safety Benefits'!G$1,FALSE),0)</f>
        <v>0</v>
      </c>
      <c r="F10" s="119">
        <f>IFERROR(_xlfn.XLOOKUP($B10,'Air Quality'!$B$5:$B$24,'Air Quality'!$M$5:$M$24),0)</f>
        <v>0</v>
      </c>
      <c r="G10" s="120">
        <f>IFERROR(_xlfn.XLOOKUP($B10,'Air Quality'!$B$5:$B$24,'Air Quality'!$E$5:$E$24),0)</f>
        <v>0</v>
      </c>
      <c r="H10" s="451">
        <f>IFERROR(_xlfn.XLOOKUP($B10,'Quality of Life Benefits '!$B$7:$B$26,'Quality of Life Benefits '!$L$7:$L$26),0)</f>
        <v>0</v>
      </c>
      <c r="I10" s="119">
        <f>IFERROR(_xlfn.XLOOKUP($B10,'Operation and Maintenance'!$B$5:$B$28,'Operation and Maintenance'!$E$5:$E$28),0)</f>
        <v>12000000</v>
      </c>
      <c r="J10" s="664" t="str">
        <f>IFERROR(_xlfn.XLOOKUP($B10,'Capital Costs'!$B$8:$B$31,'Capital Costs'!$E$8:$E$31),0)</f>
        <v>N/A</v>
      </c>
      <c r="K10" s="659">
        <f t="shared" si="1"/>
        <v>12000000</v>
      </c>
      <c r="L10" s="358">
        <f>K10*(1+0.07)^-(B10-Assumptions!$C$6)+G10</f>
        <v>8555834.153804021</v>
      </c>
    </row>
    <row r="11" spans="2:15" ht="15" customHeight="1" x14ac:dyDescent="0.25">
      <c r="B11" s="2">
        <f t="shared" si="0"/>
        <v>2027</v>
      </c>
      <c r="C11" s="119">
        <f>IFERROR(VLOOKUP($B11,'Travel Time Cost Savings'!$B$7:$G$71,'Travel Time Cost Savings'!$F$1,FALSE),0)</f>
        <v>2713486.9023418212</v>
      </c>
      <c r="D11" s="120">
        <f>IFERROR(VLOOKUP($B11,'Operating Cost Savings'!$B$7:$G$58,'Operating Cost Savings'!$F$1,FALSE),0)</f>
        <v>-1604104.8289812303</v>
      </c>
      <c r="E11" s="221">
        <f>IFERROR(VLOOKUP($B11,'Safety Benefits'!$B$6:$H$130,'Safety Benefits'!G$1,FALSE),0)</f>
        <v>14447427.389017724</v>
      </c>
      <c r="F11" s="119">
        <f>IFERROR(_xlfn.XLOOKUP($B11,'Air Quality'!$B$5:$B$24,'Air Quality'!$M$5:$M$24),0)</f>
        <v>-71019.884048706794</v>
      </c>
      <c r="G11" s="120">
        <f>IFERROR(_xlfn.XLOOKUP($B11,'Air Quality'!$B$5:$B$24,'Air Quality'!$E$5:$E$24),0)</f>
        <v>-107818.89326766574</v>
      </c>
      <c r="H11" s="451">
        <f>IFERROR(_xlfn.XLOOKUP($B11,'Quality of Life Benefits '!$B$7:$B$26,'Quality of Life Benefits '!$L$7:$L$26),0)</f>
        <v>133243.11693998391</v>
      </c>
      <c r="I11" s="119">
        <f>IFERROR(_xlfn.XLOOKUP($B11,'Operation and Maintenance'!$B$5:$B$28,'Operation and Maintenance'!$E$5:$E$28),0)</f>
        <v>-191807.99999999997</v>
      </c>
      <c r="J11" s="664" t="str">
        <f>IFERROR(_xlfn.XLOOKUP($B11,'Capital Costs'!$B$8:$B$31,'Capital Costs'!$E$8:$E$31),0)</f>
        <v>N/A</v>
      </c>
      <c r="K11" s="659">
        <f t="shared" si="1"/>
        <v>15427224.695269592</v>
      </c>
      <c r="L11" s="358">
        <f>K11*(1+0.07)^-(B11-Assumptions!$C$6)+G11</f>
        <v>10171992.317495296</v>
      </c>
    </row>
    <row r="12" spans="2:15" ht="15" customHeight="1" x14ac:dyDescent="0.25">
      <c r="B12" s="2">
        <f t="shared" si="0"/>
        <v>2028</v>
      </c>
      <c r="C12" s="119">
        <f>IFERROR(VLOOKUP($B12,'Travel Time Cost Savings'!$B$7:$G$71,'Travel Time Cost Savings'!$F$1,FALSE),0)</f>
        <v>2710899.4162960718</v>
      </c>
      <c r="D12" s="120">
        <f>IFERROR(VLOOKUP($B12,'Operating Cost Savings'!$B$7:$G$58,'Operating Cost Savings'!$F$1,FALSE),0)</f>
        <v>-1550800.137388479</v>
      </c>
      <c r="E12" s="221">
        <f>IFERROR(VLOOKUP($B12,'Safety Benefits'!$B$6:$H$130,'Safety Benefits'!G$1,FALSE),0)</f>
        <v>14471947.509406671</v>
      </c>
      <c r="F12" s="119">
        <f>IFERROR(_xlfn.XLOOKUP($B12,'Air Quality'!$B$5:$B$24,'Air Quality'!$M$5:$M$24),0)</f>
        <v>-69781.772034758062</v>
      </c>
      <c r="G12" s="120">
        <f>IFERROR(_xlfn.XLOOKUP($B12,'Air Quality'!$B$5:$B$24,'Air Quality'!$E$5:$E$24),0)</f>
        <v>-102859.06778367054</v>
      </c>
      <c r="H12" s="451">
        <f>IFERROR(_xlfn.XLOOKUP($B12,'Quality of Life Benefits '!$B$7:$B$26,'Quality of Life Benefits '!$L$7:$L$26),0)</f>
        <v>137240.41044818339</v>
      </c>
      <c r="I12" s="119">
        <f>IFERROR(_xlfn.XLOOKUP($B12,'Operation and Maintenance'!$B$5:$B$28,'Operation and Maintenance'!$E$5:$E$28),0)</f>
        <v>-191807.99999999997</v>
      </c>
      <c r="J12" s="664" t="str">
        <f>IFERROR(_xlfn.XLOOKUP($B12,'Capital Costs'!$B$8:$B$31,'Capital Costs'!$E$8:$E$31),0)</f>
        <v>N/A</v>
      </c>
      <c r="K12" s="659">
        <f t="shared" si="1"/>
        <v>15507697.42672769</v>
      </c>
      <c r="L12" s="358">
        <f>K12*(1+0.07)^-(B12-Assumptions!$C$6)+G12</f>
        <v>9554555.5019353349</v>
      </c>
    </row>
    <row r="13" spans="2:15" ht="15" customHeight="1" x14ac:dyDescent="0.25">
      <c r="B13" s="2">
        <f t="shared" si="0"/>
        <v>2029</v>
      </c>
      <c r="C13" s="119">
        <f>IFERROR(VLOOKUP($B13,'Travel Time Cost Savings'!$B$7:$G$71,'Travel Time Cost Savings'!$F$1,FALSE),0)</f>
        <v>2708311.9302503224</v>
      </c>
      <c r="D13" s="120">
        <f>IFERROR(VLOOKUP($B13,'Operating Cost Savings'!$B$7:$G$58,'Operating Cost Savings'!$F$1,FALSE),0)</f>
        <v>-1497495.4457972676</v>
      </c>
      <c r="E13" s="221">
        <f>IFERROR(VLOOKUP($B13,'Safety Benefits'!$B$6:$H$130,'Safety Benefits'!G$1,FALSE),0)</f>
        <v>14496467.629795671</v>
      </c>
      <c r="F13" s="119">
        <f>IFERROR(_xlfn.XLOOKUP($B13,'Air Quality'!$B$5:$B$24,'Air Quality'!$M$5:$M$24),0)</f>
        <v>-68653.656398330699</v>
      </c>
      <c r="G13" s="120">
        <f>IFERROR(_xlfn.XLOOKUP($B13,'Air Quality'!$B$5:$B$24,'Air Quality'!$E$5:$E$24),0)</f>
        <v>-97985.970556950677</v>
      </c>
      <c r="H13" s="451">
        <f>IFERROR(_xlfn.XLOOKUP($B13,'Quality of Life Benefits '!$B$7:$B$26,'Quality of Life Benefits '!$L$7:$L$26),0)</f>
        <v>141357.62276162891</v>
      </c>
      <c r="I13" s="119">
        <f>IFERROR(_xlfn.XLOOKUP($B13,'Operation and Maintenance'!$B$5:$B$28,'Operation and Maintenance'!$E$5:$E$28),0)</f>
        <v>-191807.99999999997</v>
      </c>
      <c r="J13" s="664" t="str">
        <f>IFERROR(_xlfn.XLOOKUP($B13,'Capital Costs'!$B$8:$B$31,'Capital Costs'!$E$8:$E$31),0)</f>
        <v>N/A</v>
      </c>
      <c r="K13" s="659">
        <f t="shared" si="1"/>
        <v>15588180.080612024</v>
      </c>
      <c r="L13" s="358">
        <f>K13*(1+0.07)^-(B13-Assumptions!$C$6)+G13</f>
        <v>8974476.759958623</v>
      </c>
    </row>
    <row r="14" spans="2:15" ht="15" customHeight="1" x14ac:dyDescent="0.25">
      <c r="B14" s="2">
        <f t="shared" si="0"/>
        <v>2030</v>
      </c>
      <c r="C14" s="119">
        <f>IFERROR(VLOOKUP($B14,'Travel Time Cost Savings'!$B$7:$G$71,'Travel Time Cost Savings'!$F$1,FALSE),0)</f>
        <v>2705724.4442045731</v>
      </c>
      <c r="D14" s="120">
        <f>IFERROR(VLOOKUP($B14,'Operating Cost Savings'!$B$7:$G$58,'Operating Cost Savings'!$F$1,FALSE),0)</f>
        <v>-1444190.7542053198</v>
      </c>
      <c r="E14" s="221">
        <f>IFERROR(VLOOKUP($B14,'Safety Benefits'!$B$6:$H$130,'Safety Benefits'!G$1,FALSE),0)</f>
        <v>14520987.750184618</v>
      </c>
      <c r="F14" s="119">
        <f>IFERROR(_xlfn.XLOOKUP($B14,'Air Quality'!$B$5:$B$24,'Air Quality'!$M$5:$M$24),0)</f>
        <v>-67270.859940412265</v>
      </c>
      <c r="G14" s="120">
        <f>IFERROR(_xlfn.XLOOKUP($B14,'Air Quality'!$B$5:$B$24,'Air Quality'!$E$5:$E$24),0)</f>
        <v>-94658.263082756355</v>
      </c>
      <c r="H14" s="451">
        <f>IFERROR(_xlfn.XLOOKUP($B14,'Quality of Life Benefits '!$B$7:$B$26,'Quality of Life Benefits '!$L$7:$L$26),0)</f>
        <v>145598.35144447777</v>
      </c>
      <c r="I14" s="119">
        <f>IFERROR(_xlfn.XLOOKUP($B14,'Operation and Maintenance'!$B$5:$B$28,'Operation and Maintenance'!$E$5:$E$28),0)</f>
        <v>-191807.99999999997</v>
      </c>
      <c r="J14" s="664" t="str">
        <f>IFERROR(_xlfn.XLOOKUP($B14,'Capital Costs'!$B$8:$B$31,'Capital Costs'!$E$8:$E$31),0)</f>
        <v>N/A</v>
      </c>
      <c r="K14" s="659">
        <f t="shared" si="1"/>
        <v>15669040.931687936</v>
      </c>
      <c r="L14" s="358">
        <f>K14*(1+0.07)^-(B14-Assumptions!$C$6)+G14</f>
        <v>8428261.8135944698</v>
      </c>
    </row>
    <row r="15" spans="2:15" ht="15" customHeight="1" x14ac:dyDescent="0.25">
      <c r="B15" s="2">
        <f t="shared" si="0"/>
        <v>2031</v>
      </c>
      <c r="C15" s="119">
        <f>IFERROR(VLOOKUP($B15,'Travel Time Cost Savings'!$B$7:$G$71,'Travel Time Cost Savings'!$F$1,FALSE),0)</f>
        <v>2703136.9581588237</v>
      </c>
      <c r="D15" s="120">
        <f>IFERROR(VLOOKUP($B15,'Operating Cost Savings'!$B$7:$G$58,'Operating Cost Savings'!$F$1,FALSE),0)</f>
        <v>-1390886.0626134388</v>
      </c>
      <c r="E15" s="221">
        <f>IFERROR(VLOOKUP($B15,'Safety Benefits'!$B$6:$H$130,'Safety Benefits'!G$1,FALSE),0)</f>
        <v>14545507.870573565</v>
      </c>
      <c r="F15" s="119">
        <f>IFERROR(_xlfn.XLOOKUP($B15,'Air Quality'!$B$5:$B$24,'Air Quality'!$M$5:$M$24),0)</f>
        <v>-64787.910626547258</v>
      </c>
      <c r="G15" s="120">
        <f>IFERROR(_xlfn.XLOOKUP($B15,'Air Quality'!$B$5:$B$24,'Air Quality'!$E$5:$E$24),0)</f>
        <v>-89870.856437760449</v>
      </c>
      <c r="H15" s="451">
        <f>IFERROR(_xlfn.XLOOKUP($B15,'Quality of Life Benefits '!$B$7:$B$26,'Quality of Life Benefits '!$L$7:$L$26),0)</f>
        <v>149966.3019878121</v>
      </c>
      <c r="I15" s="119">
        <f>IFERROR(_xlfn.XLOOKUP($B15,'Operation and Maintenance'!$B$5:$B$28,'Operation and Maintenance'!$E$5:$E$28),0)</f>
        <v>-191807.99999999997</v>
      </c>
      <c r="J15" s="664" t="str">
        <f>IFERROR(_xlfn.XLOOKUP($B15,'Capital Costs'!$B$8:$B$31,'Capital Costs'!$E$8:$E$31),0)</f>
        <v>N/A</v>
      </c>
      <c r="K15" s="659">
        <f t="shared" si="1"/>
        <v>15751129.157480216</v>
      </c>
      <c r="L15" s="358">
        <f>K15*(1+0.07)^-(B15-Assumptions!$C$6)+G15</f>
        <v>7917204.5010898216</v>
      </c>
    </row>
    <row r="16" spans="2:15" ht="15" customHeight="1" x14ac:dyDescent="0.25">
      <c r="B16" s="2">
        <f t="shared" si="0"/>
        <v>2032</v>
      </c>
      <c r="C16" s="119">
        <f>IFERROR(VLOOKUP($B16,'Travel Time Cost Savings'!$B$7:$G$71,'Travel Time Cost Savings'!$F$1,FALSE),0)</f>
        <v>2700549.4721117853</v>
      </c>
      <c r="D16" s="120">
        <f>IFERROR(VLOOKUP($B16,'Operating Cost Savings'!$B$7:$G$58,'Operating Cost Savings'!$F$1,FALSE),0)</f>
        <v>-1337581.3710222275</v>
      </c>
      <c r="E16" s="221">
        <f>IFERROR(VLOOKUP($B16,'Safety Benefits'!$B$6:$H$130,'Safety Benefits'!G$1,FALSE),0)</f>
        <v>14570027.990962513</v>
      </c>
      <c r="F16" s="119">
        <f>IFERROR(_xlfn.XLOOKUP($B16,'Air Quality'!$B$5:$B$24,'Air Quality'!$M$5:$M$24),0)</f>
        <v>-62304.961312713436</v>
      </c>
      <c r="G16" s="120">
        <f>IFERROR(_xlfn.XLOOKUP($B16,'Air Quality'!$B$5:$B$24,'Air Quality'!$E$5:$E$24),0)</f>
        <v>-85180.694978452317</v>
      </c>
      <c r="H16" s="451">
        <f>IFERROR(_xlfn.XLOOKUP($B16,'Quality of Life Benefits '!$B$7:$B$26,'Quality of Life Benefits '!$L$7:$L$26),0)</f>
        <v>154465.29104744646</v>
      </c>
      <c r="I16" s="119">
        <f>IFERROR(_xlfn.XLOOKUP($B16,'Operation and Maintenance'!$B$5:$B$28,'Operation and Maintenance'!$E$5:$E$28),0)</f>
        <v>-191807.99999999997</v>
      </c>
      <c r="J16" s="664" t="str">
        <f>IFERROR(_xlfn.XLOOKUP($B16,'Capital Costs'!$B$8:$B$31,'Capital Costs'!$E$8:$E$31),0)</f>
        <v>N/A</v>
      </c>
      <c r="K16" s="659">
        <f t="shared" si="1"/>
        <v>15833348.421786804</v>
      </c>
      <c r="L16" s="358">
        <f>K16*(1+0.07)^-(B16-Assumptions!$C$6)+G16</f>
        <v>7437129.0829072222</v>
      </c>
    </row>
    <row r="17" spans="2:17" ht="15" customHeight="1" x14ac:dyDescent="0.25">
      <c r="B17" s="2">
        <f t="shared" si="0"/>
        <v>2033</v>
      </c>
      <c r="C17" s="119">
        <f>IFERROR(VLOOKUP($B17,'Travel Time Cost Savings'!$B$7:$G$71,'Travel Time Cost Savings'!$F$1,FALSE),0)</f>
        <v>2697961.9860660359</v>
      </c>
      <c r="D17" s="120">
        <f>IFERROR(VLOOKUP($B17,'Operating Cost Savings'!$B$7:$G$58,'Operating Cost Savings'!$F$1,FALSE),0)</f>
        <v>-1284276.6794302796</v>
      </c>
      <c r="E17" s="221">
        <f>IFERROR(VLOOKUP($B17,'Safety Benefits'!$B$6:$H$130,'Safety Benefits'!G$1,FALSE),0)</f>
        <v>14594548.11135152</v>
      </c>
      <c r="F17" s="119">
        <f>IFERROR(_xlfn.XLOOKUP($B17,'Air Quality'!$B$5:$B$24,'Air Quality'!$M$5:$M$24),0)</f>
        <v>-59822.011998845293</v>
      </c>
      <c r="G17" s="120">
        <f>IFERROR(_xlfn.XLOOKUP($B17,'Air Quality'!$B$5:$B$24,'Air Quality'!$E$5:$E$24),0)</f>
        <v>-80589.126650940612</v>
      </c>
      <c r="H17" s="451">
        <f>IFERROR(_xlfn.XLOOKUP($B17,'Quality of Life Benefits '!$B$7:$B$26,'Quality of Life Benefits '!$L$7:$L$26),0)</f>
        <v>159099.24977886988</v>
      </c>
      <c r="I17" s="119">
        <f>IFERROR(_xlfn.XLOOKUP($B17,'Operation and Maintenance'!$B$5:$B$28,'Operation and Maintenance'!$E$5:$E$28),0)</f>
        <v>-191807.99999999997</v>
      </c>
      <c r="J17" s="664" t="str">
        <f>IFERROR(_xlfn.XLOOKUP($B17,'Capital Costs'!$B$8:$B$31,'Capital Costs'!$E$8:$E$31),0)</f>
        <v>N/A</v>
      </c>
      <c r="K17" s="659">
        <f t="shared" si="1"/>
        <v>15915702.655767301</v>
      </c>
      <c r="L17" s="358">
        <f>K17*(1+0.07)^-(B17-Assumptions!$C$6)+G17</f>
        <v>6986173.1922292728</v>
      </c>
    </row>
    <row r="18" spans="2:17" ht="15" customHeight="1" x14ac:dyDescent="0.25">
      <c r="B18" s="2">
        <f t="shared" si="0"/>
        <v>2034</v>
      </c>
      <c r="C18" s="119">
        <f>IFERROR(VLOOKUP($B18,'Travel Time Cost Savings'!$B$7:$G$71,'Travel Time Cost Savings'!$F$1,FALSE),0)</f>
        <v>2695374.5000201692</v>
      </c>
      <c r="D18" s="120">
        <f>IFERROR(VLOOKUP($B18,'Operating Cost Savings'!$B$7:$G$58,'Operating Cost Savings'!$F$1,FALSE),0)</f>
        <v>-1230971.9878383316</v>
      </c>
      <c r="E18" s="221">
        <f>IFERROR(VLOOKUP($B18,'Safety Benefits'!$B$6:$H$130,'Safety Benefits'!G$1,FALSE),0)</f>
        <v>14619068.231740467</v>
      </c>
      <c r="F18" s="119">
        <f>IFERROR(_xlfn.XLOOKUP($B18,'Air Quality'!$B$5:$B$24,'Air Quality'!$M$5:$M$24),0)</f>
        <v>-57339.06268497718</v>
      </c>
      <c r="G18" s="120">
        <f>IFERROR(_xlfn.XLOOKUP($B18,'Air Quality'!$B$5:$B$24,'Air Quality'!$E$5:$E$24),0)</f>
        <v>-76097.252421088706</v>
      </c>
      <c r="H18" s="451">
        <f>IFERROR(_xlfn.XLOOKUP($B18,'Quality of Life Benefits '!$B$7:$B$26,'Quality of Life Benefits '!$L$7:$L$26),0)</f>
        <v>163872.22727223596</v>
      </c>
      <c r="I18" s="119">
        <f>IFERROR(_xlfn.XLOOKUP($B18,'Operation and Maintenance'!$B$5:$B$28,'Operation and Maintenance'!$E$5:$E$28),0)</f>
        <v>-191807.99999999997</v>
      </c>
      <c r="J18" s="664" t="str">
        <f>IFERROR(_xlfn.XLOOKUP($B18,'Capital Costs'!$B$8:$B$31,'Capital Costs'!$E$8:$E$31),0)</f>
        <v>N/A</v>
      </c>
      <c r="K18" s="659">
        <f t="shared" si="1"/>
        <v>15998195.908509564</v>
      </c>
      <c r="L18" s="358">
        <f>K18*(1+0.07)^-(B18-Assumptions!$C$6)+G18</f>
        <v>6562585.2799662435</v>
      </c>
    </row>
    <row r="19" spans="2:17" ht="15" customHeight="1" x14ac:dyDescent="0.25">
      <c r="B19" s="2">
        <f t="shared" si="0"/>
        <v>2035</v>
      </c>
      <c r="C19" s="119">
        <f>IFERROR(VLOOKUP($B19,'Travel Time Cost Savings'!$B$7:$G$71,'Travel Time Cost Savings'!$F$1,FALSE),0)</f>
        <v>2692787.0139744198</v>
      </c>
      <c r="D19" s="120">
        <f>IFERROR(VLOOKUP($B19,'Operating Cost Savings'!$B$7:$G$58,'Operating Cost Savings'!$F$1,FALSE),0)</f>
        <v>-1177667.2962463838</v>
      </c>
      <c r="E19" s="221">
        <f>IFERROR(VLOOKUP($B19,'Safety Benefits'!$B$6:$H$130,'Safety Benefits'!G$1,FALSE),0)</f>
        <v>14643588.352129415</v>
      </c>
      <c r="F19" s="119">
        <f>IFERROR(_xlfn.XLOOKUP($B19,'Air Quality'!$B$5:$B$24,'Air Quality'!$M$5:$M$24),0)</f>
        <v>-54856.113371109044</v>
      </c>
      <c r="G19" s="120">
        <f>IFERROR(_xlfn.XLOOKUP($B19,'Air Quality'!$B$5:$B$24,'Air Quality'!$E$5:$E$24),0)</f>
        <v>-71705.942021790339</v>
      </c>
      <c r="H19" s="451">
        <f>IFERROR(_xlfn.XLOOKUP($B19,'Quality of Life Benefits '!$B$7:$B$26,'Quality of Life Benefits '!$L$7:$L$26),0)</f>
        <v>168788.39409040299</v>
      </c>
      <c r="I19" s="119">
        <f>IFERROR(_xlfn.XLOOKUP($B19,'Operation and Maintenance'!$B$5:$B$28,'Operation and Maintenance'!$E$5:$E$28),0)</f>
        <v>-191807.99999999997</v>
      </c>
      <c r="J19" s="664" t="str">
        <f>IFERROR(_xlfn.XLOOKUP($B19,'Capital Costs'!$B$8:$B$31,'Capital Costs'!$E$8:$E$31),0)</f>
        <v>N/A</v>
      </c>
      <c r="K19" s="659">
        <f t="shared" si="1"/>
        <v>16080832.350576743</v>
      </c>
      <c r="L19" s="358">
        <f>K19*(1+0.07)^-(B19-Assumptions!$C$6)+G19</f>
        <v>6164718.0934410263</v>
      </c>
    </row>
    <row r="20" spans="2:17" ht="15" customHeight="1" x14ac:dyDescent="0.25">
      <c r="B20" s="2">
        <f t="shared" si="0"/>
        <v>2036</v>
      </c>
      <c r="C20" s="119">
        <f>IFERROR(VLOOKUP($B20,'Travel Time Cost Savings'!$B$7:$G$71,'Travel Time Cost Savings'!$F$1,FALSE),0)</f>
        <v>2690199.5279287877</v>
      </c>
      <c r="D20" s="120">
        <f>IFERROR(VLOOKUP($B20,'Operating Cost Savings'!$B$7:$G$58,'Operating Cost Savings'!$F$1,FALSE),0)</f>
        <v>-1124362.6046551724</v>
      </c>
      <c r="E20" s="221">
        <f>IFERROR(VLOOKUP($B20,'Safety Benefits'!$B$6:$H$130,'Safety Benefits'!G$1,FALSE),0)</f>
        <v>14668108.472518362</v>
      </c>
      <c r="F20" s="119">
        <f>IFERROR(_xlfn.XLOOKUP($B20,'Air Quality'!$B$5:$B$24,'Air Quality'!$M$5:$M$24),0)</f>
        <v>-52373.164057275215</v>
      </c>
      <c r="G20" s="120">
        <f>IFERROR(_xlfn.XLOOKUP($B20,'Air Quality'!$B$5:$B$24,'Air Quality'!$E$5:$E$24),0)</f>
        <v>-68365.367918661635</v>
      </c>
      <c r="H20" s="451">
        <f>IFERROR(_xlfn.XLOOKUP($B20,'Quality of Life Benefits '!$B$7:$B$26,'Quality of Life Benefits '!$L$7:$L$26),0)</f>
        <v>173852.04591311509</v>
      </c>
      <c r="I20" s="119">
        <f>IFERROR(_xlfn.XLOOKUP($B20,'Operation and Maintenance'!$B$5:$B$28,'Operation and Maintenance'!$E$5:$E$28),0)</f>
        <v>-191807.99999999997</v>
      </c>
      <c r="J20" s="664" t="str">
        <f>IFERROR(_xlfn.XLOOKUP($B20,'Capital Costs'!$B$8:$B$31,'Capital Costs'!$E$8:$E$31),0)</f>
        <v>N/A</v>
      </c>
      <c r="K20" s="659">
        <f t="shared" si="1"/>
        <v>16163616.277647818</v>
      </c>
      <c r="L20" s="358">
        <f>K20*(1+0.07)^-(B20-Assumptions!$C$6)+G20</f>
        <v>5790073.0149412435</v>
      </c>
    </row>
    <row r="21" spans="2:17" ht="15" customHeight="1" x14ac:dyDescent="0.25">
      <c r="B21" s="2">
        <f t="shared" si="0"/>
        <v>2037</v>
      </c>
      <c r="C21" s="119">
        <f>IFERROR(VLOOKUP($B21,'Travel Time Cost Savings'!$B$7:$G$71,'Travel Time Cost Savings'!$F$1,FALSE),0)</f>
        <v>2687612.0418830384</v>
      </c>
      <c r="D21" s="120">
        <f>IFERROR(VLOOKUP($B21,'Operating Cost Savings'!$B$7:$G$58,'Operating Cost Savings'!$F$1,FALSE),0)</f>
        <v>-1071057.9130632246</v>
      </c>
      <c r="E21" s="221">
        <f>IFERROR(VLOOKUP($B21,'Safety Benefits'!$B$6:$H$130,'Safety Benefits'!G$1,FALSE),0)</f>
        <v>14692628.592907302</v>
      </c>
      <c r="F21" s="119">
        <f>IFERROR(_xlfn.XLOOKUP($B21,'Air Quality'!$B$5:$B$24,'Air Quality'!$M$5:$M$24),0)</f>
        <v>-49890.214743407094</v>
      </c>
      <c r="G21" s="120">
        <f>IFERROR(_xlfn.XLOOKUP($B21,'Air Quality'!$B$5:$B$24,'Air Quality'!$E$5:$E$24),0)</f>
        <v>-64105.583209864148</v>
      </c>
      <c r="H21" s="451">
        <f>IFERROR(_xlfn.XLOOKUP($B21,'Quality of Life Benefits '!$B$7:$B$26,'Quality of Life Benefits '!$L$7:$L$26),0)</f>
        <v>179067.60729050857</v>
      </c>
      <c r="I21" s="119">
        <f>IFERROR(_xlfn.XLOOKUP($B21,'Operation and Maintenance'!$B$5:$B$28,'Operation and Maintenance'!$E$5:$E$28),0)</f>
        <v>-191807.99999999997</v>
      </c>
      <c r="J21" s="664" t="str">
        <f>IFERROR(_xlfn.XLOOKUP($B21,'Capital Costs'!$B$8:$B$31,'Capital Costs'!$E$8:$E$31),0)</f>
        <v>N/A</v>
      </c>
      <c r="K21" s="659">
        <f t="shared" si="1"/>
        <v>16246552.114274217</v>
      </c>
      <c r="L21" s="358">
        <f>K21*(1+0.07)^-(B21-Assumptions!$C$6)+G21</f>
        <v>5439163.7128002793</v>
      </c>
    </row>
    <row r="22" spans="2:17" ht="15" customHeight="1" x14ac:dyDescent="0.25">
      <c r="B22" s="2">
        <f t="shared" si="0"/>
        <v>2038</v>
      </c>
      <c r="C22" s="119">
        <f>IFERROR(VLOOKUP($B22,'Travel Time Cost Savings'!$B$7:$G$71,'Travel Time Cost Savings'!$F$1,FALSE),0)</f>
        <v>2685024.555836</v>
      </c>
      <c r="D22" s="120">
        <f>IFERROR(VLOOKUP($B22,'Operating Cost Savings'!$B$7:$G$58,'Operating Cost Savings'!$F$1,FALSE),0)</f>
        <v>-1017753.2214712768</v>
      </c>
      <c r="E22" s="221">
        <f>IFERROR(VLOOKUP($B22,'Safety Benefits'!$B$6:$H$130,'Safety Benefits'!G$1,FALSE),0)</f>
        <v>14717148.71329625</v>
      </c>
      <c r="F22" s="119">
        <f>IFERROR(_xlfn.XLOOKUP($B22,'Air Quality'!$B$5:$B$24,'Air Quality'!$M$5:$M$24),0)</f>
        <v>-47407.265429538966</v>
      </c>
      <c r="G22" s="120">
        <f>IFERROR(_xlfn.XLOOKUP($B22,'Air Quality'!$B$5:$B$24,'Air Quality'!$E$5:$E$24),0)</f>
        <v>-59951.081501159191</v>
      </c>
      <c r="H22" s="451">
        <f>IFERROR(_xlfn.XLOOKUP($B22,'Quality of Life Benefits '!$B$7:$B$26,'Quality of Life Benefits '!$L$7:$L$26),0)</f>
        <v>184439.63550922376</v>
      </c>
      <c r="I22" s="119">
        <f>IFERROR(_xlfn.XLOOKUP($B22,'Operation and Maintenance'!$B$5:$B$28,'Operation and Maintenance'!$E$5:$E$28),0)</f>
        <v>-191807.99999999997</v>
      </c>
      <c r="J22" s="664" t="str">
        <f>IFERROR(_xlfn.XLOOKUP($B22,'Capital Costs'!$B$8:$B$31,'Capital Costs'!$E$8:$E$31),0)</f>
        <v>N/A</v>
      </c>
      <c r="K22" s="659">
        <f t="shared" si="1"/>
        <v>16329644.417740658</v>
      </c>
      <c r="L22" s="358">
        <f>K22*(1+0.07)^-(B22-Assumptions!$C$6)+G22</f>
        <v>5109596.1465407489</v>
      </c>
    </row>
    <row r="23" spans="2:17" x14ac:dyDescent="0.25">
      <c r="B23" s="2">
        <f t="shared" si="0"/>
        <v>2039</v>
      </c>
      <c r="C23" s="119">
        <f>IFERROR(VLOOKUP($B23,'Travel Time Cost Savings'!$B$7:$G$71,'Travel Time Cost Savings'!$F$1,FALSE),0)</f>
        <v>2682437.0697901333</v>
      </c>
      <c r="D23" s="120">
        <f>IFERROR(VLOOKUP($B23,'Operating Cost Savings'!$B$7:$G$58,'Operating Cost Savings'!$F$1,FALSE),0)</f>
        <v>-964448.52988013241</v>
      </c>
      <c r="E23" s="221">
        <f>IFERROR(VLOOKUP($B23,'Safety Benefits'!$B$6:$H$130,'Safety Benefits'!G$1,FALSE),0)</f>
        <v>14741668.833685257</v>
      </c>
      <c r="F23" s="119">
        <f>IFERROR(_xlfn.XLOOKUP($B23,'Air Quality'!$B$5:$B$24,'Air Quality'!$M$5:$M$24),0)</f>
        <v>-44924.31611570825</v>
      </c>
      <c r="G23" s="120">
        <f>IFERROR(_xlfn.XLOOKUP($B23,'Air Quality'!$B$5:$B$24,'Air Quality'!$E$5:$E$24),0)</f>
        <v>-55901.815269478764</v>
      </c>
      <c r="H23" s="451">
        <f>IFERROR(_xlfn.XLOOKUP($B23,'Quality of Life Benefits '!$B$7:$B$26,'Quality of Life Benefits '!$L$7:$L$26),0)</f>
        <v>189972.82457450053</v>
      </c>
      <c r="I23" s="119">
        <f>IFERROR(_xlfn.XLOOKUP($B23,'Operation and Maintenance'!$B$5:$B$28,'Operation and Maintenance'!$E$5:$E$28),0)</f>
        <v>-191807.99999999997</v>
      </c>
      <c r="J23" s="664" t="str">
        <f>IFERROR(_xlfn.XLOOKUP($B23,'Capital Costs'!$B$8:$B$31,'Capital Costs'!$E$8:$E$31),0)</f>
        <v>N/A</v>
      </c>
      <c r="K23" s="659">
        <f t="shared" si="1"/>
        <v>16412897.882054048</v>
      </c>
      <c r="L23" s="358">
        <f>K23*(1+0.07)^-(B23-Assumptions!$C$6)+G23</f>
        <v>4800082.4303014977</v>
      </c>
      <c r="N23" s="12"/>
      <c r="O23" s="13"/>
    </row>
    <row r="24" spans="2:17" x14ac:dyDescent="0.25">
      <c r="B24" s="2">
        <f t="shared" si="0"/>
        <v>2040</v>
      </c>
      <c r="C24" s="119">
        <f>IFERROR(VLOOKUP($B24,'Travel Time Cost Savings'!$B$7:$G$71,'Travel Time Cost Savings'!$F$1,FALSE),0)</f>
        <v>2679849.5837430949</v>
      </c>
      <c r="D24" s="120">
        <f>IFERROR(VLOOKUP($B24,'Operating Cost Savings'!$B$7:$G$58,'Operating Cost Savings'!$F$1,FALSE),0)</f>
        <v>-911143.83828818449</v>
      </c>
      <c r="E24" s="221">
        <f>IFERROR(VLOOKUP($B24,'Safety Benefits'!$B$6:$H$130,'Safety Benefits'!G$1,FALSE),0)</f>
        <v>14766188.954074204</v>
      </c>
      <c r="F24" s="119">
        <f>IFERROR(_xlfn.XLOOKUP($B24,'Air Quality'!$B$5:$B$24,'Air Quality'!$M$5:$M$24),0)</f>
        <v>-42441.366801840129</v>
      </c>
      <c r="G24" s="120">
        <f>IFERROR(_xlfn.XLOOKUP($B24,'Air Quality'!$B$5:$B$24,'Air Quality'!$E$5:$E$24),0)</f>
        <v>-51957.578452215552</v>
      </c>
      <c r="H24" s="451">
        <f>IFERROR(_xlfn.XLOOKUP($B24,'Quality of Life Benefits '!$B$7:$B$26,'Quality of Life Benefits '!$L$7:$L$26),0)</f>
        <v>195672.00931173554</v>
      </c>
      <c r="I24" s="119">
        <f>IFERROR(_xlfn.XLOOKUP($B24,'Operation and Maintenance'!$B$5:$B$28,'Operation and Maintenance'!$E$5:$E$28),0)</f>
        <v>-191807.99999999997</v>
      </c>
      <c r="J24" s="664" t="str">
        <f>IFERROR(_xlfn.XLOOKUP($B24,'Capital Costs'!$B$8:$B$31,'Capital Costs'!$E$8:$E$31),0)</f>
        <v>N/A</v>
      </c>
      <c r="K24" s="659">
        <f t="shared" si="1"/>
        <v>16496317.342039011</v>
      </c>
      <c r="L24" s="358">
        <f>K24*(1+0.07)^-(B24-Assumptions!$C$6)+G24</f>
        <v>4509411.6306127943</v>
      </c>
    </row>
    <row r="25" spans="2:17" x14ac:dyDescent="0.25">
      <c r="B25" s="2">
        <f t="shared" si="0"/>
        <v>2041</v>
      </c>
      <c r="C25" s="119">
        <f>IFERROR(VLOOKUP($B25,'Travel Time Cost Savings'!$B$7:$G$71,'Travel Time Cost Savings'!$F$1,FALSE),0)</f>
        <v>2677262.0976973455</v>
      </c>
      <c r="D25" s="120">
        <f>IFERROR(VLOOKUP($B25,'Operating Cost Savings'!$B$7:$G$58,'Operating Cost Savings'!$F$1,FALSE),0)</f>
        <v>-857839.14669616974</v>
      </c>
      <c r="E25" s="221">
        <f>IFERROR(VLOOKUP($B25,'Safety Benefits'!$B$6:$H$130,'Safety Benefits'!G$1,FALSE),0)</f>
        <v>14790709.074463151</v>
      </c>
      <c r="F25" s="119">
        <f>IFERROR(_xlfn.XLOOKUP($B25,'Air Quality'!$B$5:$B$24,'Air Quality'!$M$5:$M$24),0)</f>
        <v>-39958.41748796888</v>
      </c>
      <c r="G25" s="120">
        <f>IFERROR(_xlfn.XLOOKUP($B25,'Air Quality'!$B$5:$B$24,'Air Quality'!$E$5:$E$24),0)</f>
        <v>-48742.927142323126</v>
      </c>
      <c r="H25" s="451">
        <f>IFERROR(_xlfn.XLOOKUP($B25,'Quality of Life Benefits '!$B$7:$B$26,'Quality of Life Benefits '!$L$7:$L$26),0)</f>
        <v>201542.16959108759</v>
      </c>
      <c r="I25" s="119">
        <f>IFERROR(_xlfn.XLOOKUP($B25,'Operation and Maintenance'!$B$5:$B$28,'Operation and Maintenance'!$E$5:$E$28),0)</f>
        <v>-191807.99999999997</v>
      </c>
      <c r="J25" s="664" t="str">
        <f>IFERROR(_xlfn.XLOOKUP($B25,'Capital Costs'!$B$8:$B$31,'Capital Costs'!$E$8:$E$31),0)</f>
        <v>N/A</v>
      </c>
      <c r="K25" s="659">
        <f t="shared" si="1"/>
        <v>16579907.777567444</v>
      </c>
      <c r="L25" s="358">
        <f>K25*(1+0.07)^-(B25-Assumptions!$C$6)+G25</f>
        <v>4235820.307482562</v>
      </c>
    </row>
    <row r="26" spans="2:17" x14ac:dyDescent="0.25">
      <c r="B26" s="2">
        <f t="shared" si="0"/>
        <v>2042</v>
      </c>
      <c r="C26" s="119">
        <f>IFERROR(VLOOKUP($B26,'Travel Time Cost Savings'!$B$7:$G$71,'Travel Time Cost Savings'!$F$1,FALSE),0)</f>
        <v>2674674.6116514793</v>
      </c>
      <c r="D26" s="120">
        <f>IFERROR(VLOOKUP($B26,'Operating Cost Savings'!$B$7:$G$58,'Operating Cost Savings'!$F$1,FALSE),0)</f>
        <v>-804534.45510422182</v>
      </c>
      <c r="E26" s="221">
        <f>IFERROR(VLOOKUP($B26,'Safety Benefits'!$B$6:$H$130,'Safety Benefits'!G$1,FALSE),0)</f>
        <v>14978934.022413418</v>
      </c>
      <c r="F26" s="119">
        <f>IFERROR(_xlfn.XLOOKUP($B26,'Air Quality'!$B$5:$B$24,'Air Quality'!$M$5:$M$24),0)</f>
        <v>-37475.468174100744</v>
      </c>
      <c r="G26" s="120">
        <f>IFERROR(_xlfn.XLOOKUP($B26,'Air Quality'!$B$5:$B$24,'Air Quality'!$E$5:$E$24),0)</f>
        <v>-44951.652013217892</v>
      </c>
      <c r="H26" s="451">
        <f>IFERROR(_xlfn.XLOOKUP($B26,'Quality of Life Benefits '!$B$7:$B$26,'Quality of Life Benefits '!$L$7:$L$26),0)</f>
        <v>207588.43467882022</v>
      </c>
      <c r="I26" s="119">
        <f>IFERROR(_xlfn.XLOOKUP($B26,'Operation and Maintenance'!$B$5:$B$28,'Operation and Maintenance'!$E$5:$E$28),0)</f>
        <v>-191807.99999999997</v>
      </c>
      <c r="J26" s="664" t="str">
        <f>IFERROR(_xlfn.XLOOKUP($B26,'Capital Costs'!$B$8:$B$31,'Capital Costs'!$E$8:$E$31),0)</f>
        <v>N/A</v>
      </c>
      <c r="K26" s="659">
        <f t="shared" si="1"/>
        <v>16827379.145465393</v>
      </c>
      <c r="L26" s="358">
        <f>K26*(1+0.07)^-(B26-Assumptions!$C$6)+G26</f>
        <v>4019080.6271849656</v>
      </c>
    </row>
    <row r="27" spans="2:17" x14ac:dyDescent="0.25">
      <c r="B27" s="2">
        <f t="shared" si="0"/>
        <v>2043</v>
      </c>
      <c r="C27" s="119">
        <f>IFERROR(VLOOKUP($B27,'Travel Time Cost Savings'!$B$7:$G$71,'Travel Time Cost Savings'!$F$1,FALSE),0)</f>
        <v>2672087.1256058468</v>
      </c>
      <c r="D27" s="120">
        <f>IFERROR(VLOOKUP($B27,'Operating Cost Savings'!$B$7:$G$58,'Operating Cost Savings'!$F$1,FALSE),0)</f>
        <v>-751229.7635130774</v>
      </c>
      <c r="E27" s="221">
        <f>IFERROR(VLOOKUP($B27,'Safety Benefits'!$B$6:$H$130,'Safety Benefits'!G$1,FALSE),0)</f>
        <v>15167158.970363684</v>
      </c>
      <c r="F27" s="119">
        <f>IFERROR(_xlfn.XLOOKUP($B27,'Air Quality'!$B$5:$B$24,'Air Quality'!$M$5:$M$24),0)</f>
        <v>-34992.518860270036</v>
      </c>
      <c r="G27" s="120">
        <f>IFERROR(_xlfn.XLOOKUP($B27,'Air Quality'!$B$5:$B$24,'Air Quality'!$E$5:$E$24),0)</f>
        <v>-41266.673920389534</v>
      </c>
      <c r="H27" s="451">
        <f>IFERROR(_xlfn.XLOOKUP($B27,'Quality of Life Benefits '!$B$7:$B$26,'Quality of Life Benefits '!$L$7:$L$26),0)</f>
        <v>213816.08771918481</v>
      </c>
      <c r="I27" s="119">
        <f>IFERROR(_xlfn.XLOOKUP($B27,'Operation and Maintenance'!$B$5:$B$28,'Operation and Maintenance'!$E$5:$E$28),0)</f>
        <v>-191807.99999999997</v>
      </c>
      <c r="J27" s="664" t="str">
        <f>IFERROR(_xlfn.XLOOKUP($B27,'Capital Costs'!$B$8:$B$31,'Capital Costs'!$E$8:$E$31),0)</f>
        <v>N/A</v>
      </c>
      <c r="K27" s="659">
        <f t="shared" si="1"/>
        <v>17075031.901315369</v>
      </c>
      <c r="L27" s="358">
        <f>K27*(1+0.07)^-(B27-Assumptions!$C$6)+G27</f>
        <v>3812792.8220643373</v>
      </c>
    </row>
    <row r="28" spans="2:17" x14ac:dyDescent="0.25">
      <c r="B28" s="2">
        <f t="shared" si="0"/>
        <v>2044</v>
      </c>
      <c r="C28" s="119">
        <f>IFERROR(VLOOKUP($B28,'Travel Time Cost Savings'!$B$7:$G$71,'Travel Time Cost Savings'!$F$1,FALSE),0)</f>
        <v>2669499.6395600974</v>
      </c>
      <c r="D28" s="120">
        <f>IFERROR(VLOOKUP($B28,'Operating Cost Savings'!$B$7:$G$58,'Operating Cost Savings'!$F$1,FALSE),0)</f>
        <v>-697925.07192112959</v>
      </c>
      <c r="E28" s="221">
        <f>IFERROR(VLOOKUP($B28,'Safety Benefits'!$B$6:$H$130,'Safety Benefits'!G$1,FALSE),0)</f>
        <v>15355383.91831395</v>
      </c>
      <c r="F28" s="119">
        <f>IFERROR(_xlfn.XLOOKUP($B28,'Air Quality'!$B$5:$B$24,'Air Quality'!$M$5:$M$24),0)</f>
        <v>-32509.569546401908</v>
      </c>
      <c r="G28" s="120">
        <f>IFERROR(_xlfn.XLOOKUP($B28,'Air Quality'!$B$5:$B$24,'Air Quality'!$E$5:$E$24),0)</f>
        <v>-37687.149221910455</v>
      </c>
      <c r="H28" s="451">
        <f>IFERROR(_xlfn.XLOOKUP($B28,'Quality of Life Benefits '!$B$7:$B$26,'Quality of Life Benefits '!$L$7:$L$26),0)</f>
        <v>220230.57035076033</v>
      </c>
      <c r="I28" s="119">
        <f>IFERROR(_xlfn.XLOOKUP($B28,'Operation and Maintenance'!$B$5:$B$28,'Operation and Maintenance'!$E$5:$E$28),0)</f>
        <v>-191807.99999999997</v>
      </c>
      <c r="J28" s="664" t="str">
        <f>IFERROR(_xlfn.XLOOKUP($B28,'Capital Costs'!$B$8:$B$31,'Capital Costs'!$E$8:$E$31),0)</f>
        <v>N/A</v>
      </c>
      <c r="K28" s="659">
        <f t="shared" si="1"/>
        <v>17322871.486757275</v>
      </c>
      <c r="L28" s="358">
        <f>K28*(1+0.07)^-(B28-Assumptions!$C$6)+G28</f>
        <v>3616518.601499177</v>
      </c>
    </row>
    <row r="29" spans="2:17" x14ac:dyDescent="0.25">
      <c r="B29" s="2">
        <f t="shared" si="0"/>
        <v>2045</v>
      </c>
      <c r="C29" s="119">
        <f>IFERROR(VLOOKUP($B29,'Travel Time Cost Savings'!$B$7:$G$71,'Travel Time Cost Savings'!$F$1,FALSE),0)</f>
        <v>2666912.153513059</v>
      </c>
      <c r="D29" s="120">
        <f>IFERROR(VLOOKUP($B29,'Operating Cost Savings'!$B$7:$G$58,'Operating Cost Savings'!$F$1,FALSE),0)</f>
        <v>-644620.38032918179</v>
      </c>
      <c r="E29" s="221">
        <f>IFERROR(VLOOKUP($B29,'Safety Benefits'!$B$6:$H$130,'Safety Benefits'!G$1,FALSE),0)</f>
        <v>15543608.866264269</v>
      </c>
      <c r="F29" s="119">
        <f>IFERROR(_xlfn.XLOOKUP($B29,'Air Quality'!$B$5:$B$24,'Air Quality'!$M$5:$M$24),0)</f>
        <v>-30026.62023253378</v>
      </c>
      <c r="G29" s="120">
        <f>IFERROR(_xlfn.XLOOKUP($B29,'Air Quality'!$B$5:$B$24,'Air Quality'!$E$5:$E$24),0)</f>
        <v>-34212.131143308012</v>
      </c>
      <c r="H29" s="451">
        <f>IFERROR(_xlfn.XLOOKUP($B29,'Quality of Life Benefits '!$B$7:$B$26,'Quality of Life Benefits '!$L$7:$L$26),0)</f>
        <v>226837.48746128319</v>
      </c>
      <c r="I29" s="119">
        <f>IFERROR(_xlfn.XLOOKUP($B29,'Operation and Maintenance'!$B$5:$B$28,'Operation and Maintenance'!$E$5:$E$28),0)</f>
        <v>-191807.99999999997</v>
      </c>
      <c r="J29" s="664" t="str">
        <f>IFERROR(_xlfn.XLOOKUP($B29,'Capital Costs'!$B$8:$B$31,'Capital Costs'!$E$8:$E$31),0)</f>
        <v>N/A</v>
      </c>
      <c r="K29" s="659">
        <f t="shared" si="1"/>
        <v>17570903.506676897</v>
      </c>
      <c r="L29" s="358">
        <f>K29*(1+0.07)^-(B29-Assumptions!$C$6)+G29</f>
        <v>3429832.104644496</v>
      </c>
    </row>
    <row r="30" spans="2:17" ht="15.75" thickBot="1" x14ac:dyDescent="0.3">
      <c r="B30" s="3">
        <f t="shared" si="0"/>
        <v>2046</v>
      </c>
      <c r="C30" s="122">
        <f>IFERROR(VLOOKUP($B30,'Travel Time Cost Savings'!$B$7:$G$71,'Travel Time Cost Savings'!$F$1,FALSE),0)</f>
        <v>2664324.6674671923</v>
      </c>
      <c r="D30" s="123">
        <f>IFERROR(VLOOKUP($B30,'Operating Cost Savings'!$B$7:$G$58,'Operating Cost Savings'!$F$1,FALSE),0)</f>
        <v>-591315.68873797031</v>
      </c>
      <c r="E30" s="230">
        <f>IFERROR(VLOOKUP($B30,'Safety Benefits'!$B$6:$H$130,'Safety Benefits'!G$1,FALSE),0)</f>
        <v>15731833.814214535</v>
      </c>
      <c r="F30" s="122">
        <f>IFERROR(_xlfn.XLOOKUP($B30,'Air Quality'!$B$5:$B$24,'Air Quality'!$M$5:$M$24),0)</f>
        <v>-27543.670918699954</v>
      </c>
      <c r="G30" s="123">
        <f>IFERROR(_xlfn.XLOOKUP($B30,'Air Quality'!$B$5:$B$24,'Air Quality'!$E$5:$E$24),0)</f>
        <v>-31212.151542264619</v>
      </c>
      <c r="H30" s="452">
        <f>IFERROR(_xlfn.XLOOKUP($B30,'Quality of Life Benefits '!$B$7:$B$26,'Quality of Life Benefits '!$L$7:$L$26),0)</f>
        <v>233642.61208512168</v>
      </c>
      <c r="I30" s="122">
        <f>IFERROR(_xlfn.XLOOKUP($B30,'Operation and Maintenance'!$B$5:$B$28,'Operation and Maintenance'!$E$5:$E$28),0)</f>
        <v>-191807.99999999997</v>
      </c>
      <c r="J30" s="665">
        <f>IFERROR(_xlfn.XLOOKUP($B30,'Capital Costs'!$B$8:$B$31,'Capital Costs'!$E$8:$E$31),0)</f>
        <v>24678656.820140116</v>
      </c>
      <c r="K30" s="660">
        <f t="shared" si="1"/>
        <v>42497790.5542503</v>
      </c>
      <c r="L30" s="359">
        <f>K30*(1+0.07)^-(B30-Assumptions!$C$6)+G30</f>
        <v>7798970.8045907542</v>
      </c>
    </row>
    <row r="31" spans="2:17" ht="15.75" thickBot="1" x14ac:dyDescent="0.3">
      <c r="B31" s="9"/>
      <c r="C31" s="40"/>
      <c r="D31" s="40"/>
      <c r="E31" s="40"/>
      <c r="F31" s="40"/>
      <c r="G31" s="40"/>
      <c r="H31" s="40"/>
      <c r="I31" s="40"/>
      <c r="K31" s="35" t="s">
        <v>2</v>
      </c>
      <c r="L31" s="134">
        <f>SUM(L7:L30)</f>
        <v>133314272.89908418</v>
      </c>
      <c r="M31" s="125"/>
      <c r="P31" s="170"/>
      <c r="Q31" s="170"/>
    </row>
    <row r="32" spans="2:17" x14ac:dyDescent="0.25">
      <c r="B32" s="9"/>
      <c r="C32" s="13"/>
      <c r="D32" s="13"/>
      <c r="E32" s="13"/>
      <c r="F32" s="44"/>
      <c r="G32" s="44"/>
      <c r="H32" s="44"/>
      <c r="I32" s="44"/>
      <c r="J32" s="44"/>
      <c r="K32" s="73"/>
      <c r="L32" s="168">
        <f>'Travel Time Cost Savings'!G27+'Operating Cost Savings'!G27+'Safety Benefits'!H26+'Air Quality'!P25+'Quality of Life Benefits '!M29+'Capital Costs'!F31+'Operation and Maintenance'!F29</f>
        <v>133314272.89908415</v>
      </c>
      <c r="P32" s="170"/>
      <c r="Q32" s="170"/>
    </row>
    <row r="33" spans="2:20" ht="15.75" x14ac:dyDescent="0.25">
      <c r="B33" s="30" t="s">
        <v>8</v>
      </c>
      <c r="C33" s="30"/>
      <c r="D33" s="30"/>
      <c r="E33" s="10"/>
      <c r="F33" s="10"/>
      <c r="G33" s="10"/>
      <c r="H33" s="10"/>
      <c r="I33" s="10"/>
      <c r="J33" s="5"/>
      <c r="K33" s="5"/>
      <c r="L33" s="5"/>
      <c r="P33" s="170"/>
      <c r="Q33" s="170"/>
    </row>
    <row r="34" spans="2:20" ht="15.75" thickBot="1" x14ac:dyDescent="0.3">
      <c r="D34" s="29"/>
      <c r="E34" s="42"/>
      <c r="F34" s="42"/>
      <c r="G34" s="42"/>
      <c r="H34" s="42"/>
      <c r="I34" s="42"/>
      <c r="J34" s="42"/>
      <c r="K34" s="42"/>
      <c r="L34" s="42"/>
      <c r="P34" s="170"/>
      <c r="Q34" s="170"/>
    </row>
    <row r="35" spans="2:20" x14ac:dyDescent="0.25">
      <c r="B35" s="528" t="s">
        <v>0</v>
      </c>
      <c r="C35" s="528" t="s">
        <v>9</v>
      </c>
      <c r="D35" s="545" t="s">
        <v>1</v>
      </c>
      <c r="E35" s="75"/>
      <c r="P35" s="170"/>
      <c r="Q35" s="170"/>
    </row>
    <row r="36" spans="2:20" ht="15.75" thickBot="1" x14ac:dyDescent="0.3">
      <c r="B36" s="529"/>
      <c r="C36" s="529"/>
      <c r="D36" s="546"/>
      <c r="E36" s="75"/>
      <c r="P36" s="136"/>
      <c r="Q36" s="136"/>
    </row>
    <row r="37" spans="2:20" x14ac:dyDescent="0.25">
      <c r="B37" s="2">
        <f>'Capital Costs'!K5</f>
        <v>2023</v>
      </c>
      <c r="C37" s="102">
        <f>VLOOKUP($B37,'Capital Costs'!$B$8:$H$31,'Capital Costs'!$C$1,FALSE)</f>
        <v>2473333.3333333335</v>
      </c>
      <c r="D37" s="103">
        <f>C37*(1+0.07)^-(B37-Assumptions!$C$6)</f>
        <v>2160305.1212624102</v>
      </c>
      <c r="E37" s="5"/>
    </row>
    <row r="38" spans="2:20" x14ac:dyDescent="0.25">
      <c r="B38" s="2">
        <f t="shared" ref="B38:B60" si="2">B37+1</f>
        <v>2024</v>
      </c>
      <c r="C38" s="102">
        <f>VLOOKUP($B38,'Capital Costs'!$B$8:$H$31,'Capital Costs'!$C$1,FALSE)</f>
        <v>2473333.3333333335</v>
      </c>
      <c r="D38" s="103">
        <f>C38*(1+0.07)^-(B38-Assumptions!$C$6)</f>
        <v>2018976.7488433737</v>
      </c>
      <c r="E38" s="5"/>
    </row>
    <row r="39" spans="2:20" x14ac:dyDescent="0.25">
      <c r="B39" s="2">
        <f t="shared" si="2"/>
        <v>2025</v>
      </c>
      <c r="C39" s="102">
        <f>VLOOKUP($B39,'Capital Costs'!$B$8:$H$31,'Capital Costs'!$C$1,FALSE)</f>
        <v>11580740.476190478</v>
      </c>
      <c r="D39" s="103">
        <f>C39*(1+0.07)^-(B39-Assumptions!$C$6)</f>
        <v>8834891.4612506926</v>
      </c>
      <c r="E39" s="5"/>
    </row>
    <row r="40" spans="2:20" ht="15" customHeight="1" thickBot="1" x14ac:dyDescent="0.3">
      <c r="B40" s="171">
        <f t="shared" si="2"/>
        <v>2026</v>
      </c>
      <c r="C40" s="172">
        <f>VLOOKUP($B40,'Capital Costs'!$B$8:$H$31,'Capital Costs'!$C$1,FALSE)</f>
        <v>43849628.571428575</v>
      </c>
      <c r="D40" s="173">
        <f>C40*(1+0.07)^-(B40-Assumptions!$C$6)</f>
        <v>31264179.146920767</v>
      </c>
      <c r="E40" s="5"/>
    </row>
    <row r="41" spans="2:20" ht="15" customHeight="1" x14ac:dyDescent="0.25">
      <c r="B41" s="1">
        <f t="shared" si="2"/>
        <v>2027</v>
      </c>
      <c r="C41" s="68">
        <f>VLOOKUP($B41,'Capital Costs'!$B$8:$H$31,'Capital Costs'!$C$1,FALSE)</f>
        <v>21924814.285714287</v>
      </c>
      <c r="D41" s="74">
        <f>C41*(1+0.07)^-(B41-Assumptions!$C$6)</f>
        <v>14609429.507906901</v>
      </c>
      <c r="E41" s="5"/>
    </row>
    <row r="42" spans="2:20" ht="15" customHeight="1" x14ac:dyDescent="0.25">
      <c r="B42" s="2">
        <f t="shared" si="2"/>
        <v>2028</v>
      </c>
      <c r="C42" s="102">
        <f>VLOOKUP($B42,'Capital Costs'!$B$8:$H$31,'Capital Costs'!$C$1,FALSE)</f>
        <v>0</v>
      </c>
      <c r="D42" s="103">
        <f>C42*(1+0.07)^-(B42-Assumptions!$C$6)</f>
        <v>0</v>
      </c>
      <c r="E42" s="5"/>
    </row>
    <row r="43" spans="2:20" ht="15" customHeight="1" x14ac:dyDescent="0.25">
      <c r="B43" s="2">
        <f t="shared" si="2"/>
        <v>2029</v>
      </c>
      <c r="C43" s="102">
        <f>VLOOKUP($B43,'Capital Costs'!$B$8:$H$31,'Capital Costs'!$C$1,FALSE)</f>
        <v>0</v>
      </c>
      <c r="D43" s="103">
        <f>C43*(1+0.07)^-(B43-Assumptions!$C$6)</f>
        <v>0</v>
      </c>
      <c r="E43" s="5"/>
    </row>
    <row r="44" spans="2:20" ht="15" customHeight="1" x14ac:dyDescent="0.25">
      <c r="B44" s="2">
        <f t="shared" si="2"/>
        <v>2030</v>
      </c>
      <c r="C44" s="102">
        <f>VLOOKUP($B44,'Capital Costs'!$B$8:$H$31,'Capital Costs'!$C$1,FALSE)</f>
        <v>0</v>
      </c>
      <c r="D44" s="103">
        <f>C44*(1+0.07)^-(B44-Assumptions!$C$6)</f>
        <v>0</v>
      </c>
      <c r="E44" s="5"/>
      <c r="M44" s="13"/>
    </row>
    <row r="45" spans="2:20" ht="15" customHeight="1" x14ac:dyDescent="0.25">
      <c r="B45" s="2">
        <f t="shared" si="2"/>
        <v>2031</v>
      </c>
      <c r="C45" s="102">
        <f>VLOOKUP($B45,'Capital Costs'!$B$8:$H$31,'Capital Costs'!$C$1,FALSE)</f>
        <v>0</v>
      </c>
      <c r="D45" s="103">
        <f>C45*(1+0.07)^-(B45-Assumptions!$C$6)</f>
        <v>0</v>
      </c>
      <c r="E45" s="5"/>
      <c r="M45" s="73"/>
      <c r="N45" s="13"/>
      <c r="O45" s="13"/>
      <c r="P45" s="13"/>
    </row>
    <row r="46" spans="2:20" ht="15" customHeight="1" x14ac:dyDescent="0.25">
      <c r="B46" s="2">
        <f t="shared" si="2"/>
        <v>2032</v>
      </c>
      <c r="C46" s="102">
        <f>VLOOKUP($B46,'Capital Costs'!$B$8:$H$31,'Capital Costs'!$C$1,FALSE)</f>
        <v>0</v>
      </c>
      <c r="D46" s="103">
        <f>C46*(1+0.07)^-(B46-Assumptions!$C$6)</f>
        <v>0</v>
      </c>
      <c r="E46" s="5"/>
      <c r="M46" s="13"/>
      <c r="N46" s="13"/>
      <c r="O46" s="13"/>
      <c r="P46" s="13"/>
    </row>
    <row r="47" spans="2:20" ht="15" customHeight="1" x14ac:dyDescent="0.25">
      <c r="B47" s="2">
        <f t="shared" si="2"/>
        <v>2033</v>
      </c>
      <c r="C47" s="102">
        <f>VLOOKUP($B47,'Capital Costs'!$B$8:$H$31,'Capital Costs'!$C$1,FALSE)</f>
        <v>0</v>
      </c>
      <c r="D47" s="103">
        <f>C47*(1+0.07)^-(B47-Assumptions!$C$6)</f>
        <v>0</v>
      </c>
      <c r="E47" s="5"/>
      <c r="M47" s="13"/>
      <c r="N47" s="13"/>
      <c r="O47" s="13"/>
      <c r="P47" s="13"/>
      <c r="Q47" s="13"/>
      <c r="R47" s="13"/>
    </row>
    <row r="48" spans="2:20" ht="15" customHeight="1" x14ac:dyDescent="0.25">
      <c r="B48" s="2">
        <f t="shared" si="2"/>
        <v>2034</v>
      </c>
      <c r="C48" s="102">
        <f>VLOOKUP($B48,'Capital Costs'!$B$8:$H$31,'Capital Costs'!$C$1,FALSE)</f>
        <v>0</v>
      </c>
      <c r="D48" s="103">
        <f>C48*(1+0.07)^-(B48-Assumptions!$C$6)</f>
        <v>0</v>
      </c>
      <c r="E48" s="5"/>
      <c r="M48" s="5"/>
      <c r="N48" s="5"/>
      <c r="O48" s="5"/>
      <c r="P48" s="5"/>
      <c r="Q48" s="5"/>
      <c r="R48" s="5"/>
      <c r="S48" s="5"/>
      <c r="T48" s="5"/>
    </row>
    <row r="49" spans="1:14" ht="15" customHeight="1" x14ac:dyDescent="0.25">
      <c r="B49" s="2">
        <f t="shared" si="2"/>
        <v>2035</v>
      </c>
      <c r="C49" s="102">
        <f>VLOOKUP($B49,'Capital Costs'!$B$8:$H$31,'Capital Costs'!$C$1,FALSE)</f>
        <v>0</v>
      </c>
      <c r="D49" s="103">
        <f>C49*(1+0.07)^-(B49-Assumptions!$C$6)</f>
        <v>0</v>
      </c>
      <c r="E49" s="5"/>
      <c r="M49" s="5"/>
      <c r="N49" s="43"/>
    </row>
    <row r="50" spans="1:14" ht="15" customHeight="1" x14ac:dyDescent="0.25">
      <c r="B50" s="2">
        <f t="shared" si="2"/>
        <v>2036</v>
      </c>
      <c r="C50" s="102">
        <f>VLOOKUP($B50,'Capital Costs'!$B$8:$H$31,'Capital Costs'!$C$1,FALSE)</f>
        <v>0</v>
      </c>
      <c r="D50" s="103">
        <f>C50*(1+0.07)^-(B50-Assumptions!$C$6)</f>
        <v>0</v>
      </c>
      <c r="E50" s="5"/>
    </row>
    <row r="51" spans="1:14" ht="15" customHeight="1" x14ac:dyDescent="0.25">
      <c r="A51" s="7"/>
      <c r="B51" s="2">
        <f t="shared" si="2"/>
        <v>2037</v>
      </c>
      <c r="C51" s="102">
        <f>VLOOKUP($B51,'Capital Costs'!$B$8:$H$31,'Capital Costs'!$C$1,FALSE)</f>
        <v>0</v>
      </c>
      <c r="D51" s="103">
        <f>C51*(1+0.07)^-(B51-Assumptions!$C$6)</f>
        <v>0</v>
      </c>
      <c r="E51" s="5"/>
    </row>
    <row r="52" spans="1:14" x14ac:dyDescent="0.25">
      <c r="B52" s="2">
        <f t="shared" si="2"/>
        <v>2038</v>
      </c>
      <c r="C52" s="102">
        <f>VLOOKUP($B52,'Capital Costs'!$B$8:$H$31,'Capital Costs'!$C$1,FALSE)</f>
        <v>0</v>
      </c>
      <c r="D52" s="103">
        <f>C52*(1+0.07)^-(B52-Assumptions!$C$6)</f>
        <v>0</v>
      </c>
      <c r="E52" s="5"/>
    </row>
    <row r="53" spans="1:14" x14ac:dyDescent="0.25">
      <c r="B53" s="2">
        <f t="shared" si="2"/>
        <v>2039</v>
      </c>
      <c r="C53" s="102">
        <f>VLOOKUP($B53,'Capital Costs'!$B$8:$H$31,'Capital Costs'!$C$1,FALSE)</f>
        <v>0</v>
      </c>
      <c r="D53" s="103">
        <f>C53*(1+0.07)^-(B53-Assumptions!$C$6)</f>
        <v>0</v>
      </c>
      <c r="E53" s="5"/>
    </row>
    <row r="54" spans="1:14" x14ac:dyDescent="0.25">
      <c r="B54" s="2">
        <f t="shared" si="2"/>
        <v>2040</v>
      </c>
      <c r="C54" s="102">
        <f>VLOOKUP($B54,'Capital Costs'!$B$8:$H$31,'Capital Costs'!$C$1,FALSE)</f>
        <v>0</v>
      </c>
      <c r="D54" s="103">
        <f>C54*(1+0.07)^-(B54-Assumptions!$C$6)</f>
        <v>0</v>
      </c>
      <c r="E54" s="5"/>
    </row>
    <row r="55" spans="1:14" x14ac:dyDescent="0.25">
      <c r="B55" s="2">
        <f t="shared" si="2"/>
        <v>2041</v>
      </c>
      <c r="C55" s="102">
        <f>VLOOKUP($B55,'Capital Costs'!$B$8:$H$31,'Capital Costs'!$C$1,FALSE)</f>
        <v>0</v>
      </c>
      <c r="D55" s="103">
        <f>C55*(1+0.07)^-(B55-Assumptions!$C$6)</f>
        <v>0</v>
      </c>
      <c r="E55" s="5"/>
    </row>
    <row r="56" spans="1:14" x14ac:dyDescent="0.25">
      <c r="B56" s="2">
        <f t="shared" si="2"/>
        <v>2042</v>
      </c>
      <c r="C56" s="102">
        <f>VLOOKUP($B56,'Capital Costs'!$B$8:$H$31,'Capital Costs'!$C$1,FALSE)</f>
        <v>0</v>
      </c>
      <c r="D56" s="103">
        <f>C56*(1+0.07)^-(B56-Assumptions!$C$6)</f>
        <v>0</v>
      </c>
      <c r="E56" s="5"/>
    </row>
    <row r="57" spans="1:14" ht="15" customHeight="1" x14ac:dyDescent="0.25">
      <c r="A57" s="7"/>
      <c r="B57" s="2">
        <f t="shared" si="2"/>
        <v>2043</v>
      </c>
      <c r="C57" s="102">
        <f>VLOOKUP($B57,'Capital Costs'!$B$8:$H$31,'Capital Costs'!$C$1,FALSE)</f>
        <v>0</v>
      </c>
      <c r="D57" s="103">
        <f>C57*(1+0.07)^-(B57-Assumptions!$C$6)</f>
        <v>0</v>
      </c>
      <c r="F57" s="73"/>
      <c r="G57" s="73"/>
      <c r="H57" s="73"/>
      <c r="I57" s="73"/>
      <c r="J57" s="73"/>
      <c r="K57" s="13"/>
      <c r="L57" s="13"/>
    </row>
    <row r="58" spans="1:14" x14ac:dyDescent="0.25">
      <c r="B58" s="2">
        <f t="shared" si="2"/>
        <v>2044</v>
      </c>
      <c r="C58" s="102">
        <f>VLOOKUP($B58,'Capital Costs'!$B$8:$H$31,'Capital Costs'!$C$1,FALSE)</f>
        <v>0</v>
      </c>
      <c r="D58" s="103">
        <f>C58*(1+0.07)^-(B58-Assumptions!$C$6)</f>
        <v>0</v>
      </c>
      <c r="F58" s="19"/>
      <c r="G58" s="19"/>
      <c r="H58" s="19"/>
      <c r="I58" s="19"/>
      <c r="J58" s="19"/>
      <c r="L58" s="12"/>
    </row>
    <row r="59" spans="1:14" x14ac:dyDescent="0.25">
      <c r="B59" s="2">
        <f t="shared" si="2"/>
        <v>2045</v>
      </c>
      <c r="C59" s="102">
        <f>VLOOKUP($B59,'Capital Costs'!$B$8:$H$31,'Capital Costs'!$C$1,FALSE)</f>
        <v>0</v>
      </c>
      <c r="D59" s="103">
        <f>C59*(1+0.07)^-(B59-Assumptions!$C$6)</f>
        <v>0</v>
      </c>
    </row>
    <row r="60" spans="1:14" ht="15.75" thickBot="1" x14ac:dyDescent="0.3">
      <c r="B60" s="3">
        <f t="shared" si="2"/>
        <v>2046</v>
      </c>
      <c r="C60" s="127">
        <f>VLOOKUP($B60,'Capital Costs'!$B$8:$H$31,'Capital Costs'!$C$1,FALSE)</f>
        <v>0</v>
      </c>
      <c r="D60" s="135">
        <f>C60*(1+0.07)^-(B60-Assumptions!$C$6)</f>
        <v>0</v>
      </c>
      <c r="E60" s="34"/>
      <c r="F60" s="34"/>
      <c r="G60" s="34"/>
      <c r="H60" s="34"/>
      <c r="I60" s="34"/>
      <c r="K60" s="12"/>
      <c r="L60" s="12"/>
    </row>
    <row r="61" spans="1:14" ht="15.75" thickBot="1" x14ac:dyDescent="0.3">
      <c r="C61" s="76" t="s">
        <v>4</v>
      </c>
      <c r="D61" s="134">
        <f>SUM(D37:D60)</f>
        <v>58887781.986184143</v>
      </c>
      <c r="E61" s="32"/>
      <c r="F61" s="32"/>
      <c r="G61" s="32"/>
      <c r="H61" s="32"/>
      <c r="I61" s="32"/>
      <c r="J61" s="32"/>
    </row>
    <row r="62" spans="1:14" x14ac:dyDescent="0.25">
      <c r="D62" s="168">
        <f>'Capital Costs'!H32-'Capital Costs'!H31</f>
        <v>58887781.986184143</v>
      </c>
      <c r="E62" s="32"/>
      <c r="F62" s="32"/>
      <c r="G62" s="32"/>
      <c r="H62" s="32"/>
      <c r="I62" s="33"/>
      <c r="J62" s="32"/>
    </row>
    <row r="63" spans="1:14" ht="15.75" x14ac:dyDescent="0.25">
      <c r="B63" s="11" t="s">
        <v>14</v>
      </c>
      <c r="C63" s="11"/>
      <c r="E63" s="33"/>
      <c r="F63" s="33"/>
      <c r="G63" s="33"/>
      <c r="H63" s="33"/>
      <c r="I63" s="33"/>
      <c r="J63" s="33"/>
    </row>
    <row r="64" spans="1:14" ht="15.75" thickBot="1" x14ac:dyDescent="0.3"/>
    <row r="65" spans="2:15" ht="15.75" thickBot="1" x14ac:dyDescent="0.3">
      <c r="B65" s="14"/>
      <c r="C65" s="142" t="s">
        <v>649</v>
      </c>
      <c r="D65" s="34"/>
    </row>
    <row r="66" spans="2:15" x14ac:dyDescent="0.25">
      <c r="B66" s="15" t="s">
        <v>10</v>
      </c>
      <c r="C66" s="143">
        <f>L31</f>
        <v>133314272.89908418</v>
      </c>
    </row>
    <row r="67" spans="2:15" ht="15.75" thickBot="1" x14ac:dyDescent="0.3">
      <c r="B67" s="16" t="s">
        <v>11</v>
      </c>
      <c r="C67" s="144">
        <f>+D61</f>
        <v>58887781.986184143</v>
      </c>
    </row>
    <row r="68" spans="2:15" ht="15.75" thickTop="1" x14ac:dyDescent="0.25">
      <c r="B68" s="128" t="s">
        <v>12</v>
      </c>
      <c r="C68" s="129">
        <f>+C66/C67</f>
        <v>2.2638698283858183</v>
      </c>
      <c r="D68" s="89"/>
    </row>
    <row r="69" spans="2:15" ht="15.75" thickBot="1" x14ac:dyDescent="0.3">
      <c r="B69" s="130" t="s">
        <v>89</v>
      </c>
      <c r="C69" s="131">
        <f>C66-C67</f>
        <v>74426490.912900031</v>
      </c>
    </row>
    <row r="71" spans="2:15" ht="15.75" thickBot="1" x14ac:dyDescent="0.3">
      <c r="B71" s="28"/>
      <c r="C71" s="28"/>
      <c r="D71" s="28"/>
      <c r="N71" s="520" t="s">
        <v>695</v>
      </c>
      <c r="O71" s="521" t="s">
        <v>696</v>
      </c>
    </row>
    <row r="72" spans="2:15" ht="15.75" thickBot="1" x14ac:dyDescent="0.3">
      <c r="B72" s="146"/>
      <c r="C72" s="145" t="s">
        <v>649</v>
      </c>
      <c r="N72" s="516" t="s">
        <v>697</v>
      </c>
      <c r="O72" s="522">
        <f>'Travel Time Cost Savings'!G27</f>
        <v>20353021.327345856</v>
      </c>
    </row>
    <row r="73" spans="2:15" x14ac:dyDescent="0.25">
      <c r="B73" s="147" t="s">
        <v>10</v>
      </c>
      <c r="C73" s="150">
        <f>MROUND(C66,100000)</f>
        <v>133300000</v>
      </c>
      <c r="N73" s="516" t="s">
        <v>698</v>
      </c>
      <c r="O73" s="522">
        <f>'Operating Cost Savings'!G27</f>
        <v>-9170651.3188158032</v>
      </c>
    </row>
    <row r="74" spans="2:15" ht="15.75" thickBot="1" x14ac:dyDescent="0.3">
      <c r="B74" s="148" t="s">
        <v>11</v>
      </c>
      <c r="C74" s="144">
        <f>MROUND(C67,100000)</f>
        <v>58900000</v>
      </c>
      <c r="N74" s="516" t="s">
        <v>35</v>
      </c>
      <c r="O74" s="522">
        <f>'Safety Benefits'!H26</f>
        <v>110978989.1413115</v>
      </c>
    </row>
    <row r="75" spans="2:15" ht="15.75" thickTop="1" x14ac:dyDescent="0.25">
      <c r="B75" s="149" t="s">
        <v>12</v>
      </c>
      <c r="C75" s="129">
        <f>+C73/C74</f>
        <v>2.263157894736842</v>
      </c>
      <c r="N75" s="516" t="s">
        <v>699</v>
      </c>
      <c r="O75" s="522">
        <f>'Air Quality'!P25</f>
        <v>-1767657.5137000424</v>
      </c>
    </row>
    <row r="76" spans="2:15" ht="15.75" thickBot="1" x14ac:dyDescent="0.3">
      <c r="B76" s="130" t="s">
        <v>89</v>
      </c>
      <c r="C76" s="131">
        <f>C73-C74</f>
        <v>74400000</v>
      </c>
      <c r="M76" s="13"/>
      <c r="N76" s="516" t="s">
        <v>700</v>
      </c>
      <c r="O76" s="522">
        <f>'Quality of Life Benefits '!M29</f>
        <v>1266514.7001344613</v>
      </c>
    </row>
    <row r="77" spans="2:15" x14ac:dyDescent="0.25">
      <c r="M77" s="12"/>
      <c r="N77" s="516" t="s">
        <v>701</v>
      </c>
      <c r="O77" s="522">
        <f>'Operation and Maintenance'!F29</f>
        <v>7107034.3413437679</v>
      </c>
    </row>
    <row r="78" spans="2:15" x14ac:dyDescent="0.25">
      <c r="N78" s="523" t="s">
        <v>15</v>
      </c>
      <c r="O78" s="524">
        <f>'Capital Costs'!F32</f>
        <v>4547022.2214644244</v>
      </c>
    </row>
    <row r="79" spans="2:15" x14ac:dyDescent="0.25">
      <c r="N79" s="525" t="s">
        <v>28</v>
      </c>
      <c r="O79" s="524">
        <f>SUM(O72:O78)</f>
        <v>133314272.89908415</v>
      </c>
    </row>
    <row r="80" spans="2:15" x14ac:dyDescent="0.25">
      <c r="M80" s="13"/>
    </row>
    <row r="82" spans="13:15" x14ac:dyDescent="0.25">
      <c r="M82" s="13"/>
      <c r="N82" s="520" t="s">
        <v>695</v>
      </c>
      <c r="O82" s="521" t="s">
        <v>696</v>
      </c>
    </row>
    <row r="83" spans="13:15" x14ac:dyDescent="0.25">
      <c r="N83" s="516" t="s">
        <v>697</v>
      </c>
      <c r="O83" s="522">
        <f>MROUND(O72,10000)</f>
        <v>20350000</v>
      </c>
    </row>
    <row r="84" spans="13:15" x14ac:dyDescent="0.25">
      <c r="N84" s="516" t="s">
        <v>698</v>
      </c>
      <c r="O84" s="522">
        <f>MROUND(O73,-10000)</f>
        <v>-9170000</v>
      </c>
    </row>
    <row r="85" spans="13:15" x14ac:dyDescent="0.25">
      <c r="N85" s="516" t="s">
        <v>35</v>
      </c>
      <c r="O85" s="522">
        <f>MROUND(O74,10000)</f>
        <v>110980000</v>
      </c>
    </row>
    <row r="86" spans="13:15" x14ac:dyDescent="0.25">
      <c r="N86" s="516" t="s">
        <v>699</v>
      </c>
      <c r="O86" s="522">
        <f>MROUND(O75,-10000)</f>
        <v>-1770000</v>
      </c>
    </row>
    <row r="87" spans="13:15" x14ac:dyDescent="0.25">
      <c r="N87" s="516" t="s">
        <v>700</v>
      </c>
      <c r="O87" s="522">
        <f>MROUND(O76,10000)</f>
        <v>1270000</v>
      </c>
    </row>
    <row r="88" spans="13:15" x14ac:dyDescent="0.25">
      <c r="N88" s="516" t="s">
        <v>701</v>
      </c>
      <c r="O88" s="522">
        <f>MROUND(O77,10000)</f>
        <v>7110000</v>
      </c>
    </row>
    <row r="89" spans="13:15" x14ac:dyDescent="0.25">
      <c r="N89" s="523" t="s">
        <v>15</v>
      </c>
      <c r="O89" s="522">
        <f>MROUND(O78,10000)</f>
        <v>4550000</v>
      </c>
    </row>
    <row r="90" spans="13:15" x14ac:dyDescent="0.25">
      <c r="N90" s="525" t="s">
        <v>28</v>
      </c>
      <c r="O90" s="524">
        <f>SUM(O83:O89)</f>
        <v>133320000</v>
      </c>
    </row>
  </sheetData>
  <mergeCells count="17">
    <mergeCell ref="K5:K6"/>
    <mergeCell ref="L5:L6"/>
    <mergeCell ref="J5:J6"/>
    <mergeCell ref="C4:D4"/>
    <mergeCell ref="D35:D36"/>
    <mergeCell ref="I5:I6"/>
    <mergeCell ref="I4:J4"/>
    <mergeCell ref="F4:G4"/>
    <mergeCell ref="G5:G6"/>
    <mergeCell ref="H5:H6"/>
    <mergeCell ref="B35:B36"/>
    <mergeCell ref="C35:C36"/>
    <mergeCell ref="D5:D6"/>
    <mergeCell ref="F5:F6"/>
    <mergeCell ref="B5:B6"/>
    <mergeCell ref="E5:E6"/>
    <mergeCell ref="C5:C6"/>
  </mergeCells>
  <pageMargins left="0.25" right="0.25" top="0.75" bottom="0.75" header="0.3" footer="0.3"/>
  <pageSetup paperSize="119" scale="6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M58"/>
  <sheetViews>
    <sheetView view="pageBreakPreview" zoomScale="85" zoomScaleNormal="85" zoomScaleSheetLayoutView="85" workbookViewId="0">
      <selection activeCell="I6" sqref="I6"/>
    </sheetView>
  </sheetViews>
  <sheetFormatPr defaultColWidth="9.140625" defaultRowHeight="15" x14ac:dyDescent="0.25"/>
  <cols>
    <col min="1" max="1" width="5.7109375" customWidth="1"/>
    <col min="2" max="2" width="16.140625" customWidth="1"/>
    <col min="3" max="3" width="15.85546875" customWidth="1"/>
    <col min="4" max="5" width="15.85546875" hidden="1" customWidth="1"/>
    <col min="6" max="7" width="15.85546875" customWidth="1"/>
    <col min="8" max="8" width="15.28515625" customWidth="1"/>
    <col min="9" max="9" width="15.85546875" hidden="1" customWidth="1"/>
    <col min="10" max="10" width="9.85546875" hidden="1" customWidth="1"/>
    <col min="11" max="12" width="15.85546875" customWidth="1"/>
  </cols>
  <sheetData>
    <row r="1" spans="2:13" x14ac:dyDescent="0.25">
      <c r="B1">
        <v>1</v>
      </c>
      <c r="C1">
        <f>B1+1</f>
        <v>2</v>
      </c>
      <c r="D1">
        <f t="shared" ref="D1:L1" si="0">C1+1</f>
        <v>3</v>
      </c>
      <c r="E1">
        <f t="shared" si="0"/>
        <v>4</v>
      </c>
      <c r="F1">
        <f t="shared" si="0"/>
        <v>5</v>
      </c>
      <c r="G1">
        <f t="shared" si="0"/>
        <v>6</v>
      </c>
      <c r="H1">
        <f t="shared" si="0"/>
        <v>7</v>
      </c>
      <c r="I1">
        <f t="shared" si="0"/>
        <v>8</v>
      </c>
      <c r="J1">
        <f t="shared" si="0"/>
        <v>9</v>
      </c>
      <c r="K1">
        <f t="shared" si="0"/>
        <v>10</v>
      </c>
      <c r="L1">
        <f t="shared" si="0"/>
        <v>11</v>
      </c>
    </row>
    <row r="2" spans="2:13" x14ac:dyDescent="0.25">
      <c r="B2" s="61"/>
      <c r="C2" s="549" t="s">
        <v>63</v>
      </c>
      <c r="D2" s="549"/>
      <c r="E2" s="549"/>
      <c r="F2" s="549"/>
      <c r="G2" s="549"/>
      <c r="H2" s="549" t="s">
        <v>48</v>
      </c>
      <c r="I2" s="549"/>
      <c r="J2" s="549"/>
      <c r="K2" s="549"/>
      <c r="L2" s="549"/>
    </row>
    <row r="3" spans="2:13" x14ac:dyDescent="0.25">
      <c r="B3" s="61"/>
      <c r="C3" s="84" t="s">
        <v>25</v>
      </c>
      <c r="D3" s="84" t="s">
        <v>26</v>
      </c>
      <c r="E3" s="84" t="s">
        <v>26</v>
      </c>
      <c r="F3" s="84" t="s">
        <v>26</v>
      </c>
      <c r="G3" s="84" t="s">
        <v>49</v>
      </c>
      <c r="H3" s="84" t="s">
        <v>25</v>
      </c>
      <c r="I3" s="84" t="s">
        <v>26</v>
      </c>
      <c r="J3" s="84" t="s">
        <v>26</v>
      </c>
      <c r="K3" s="84" t="s">
        <v>26</v>
      </c>
      <c r="L3" s="84" t="s">
        <v>49</v>
      </c>
    </row>
    <row r="4" spans="2:13" ht="18.75" x14ac:dyDescent="0.3">
      <c r="B4" s="109" t="s">
        <v>75</v>
      </c>
      <c r="C4" s="84" t="s">
        <v>28</v>
      </c>
      <c r="D4" s="84" t="s">
        <v>72</v>
      </c>
      <c r="E4" s="84" t="s">
        <v>73</v>
      </c>
      <c r="F4" s="84" t="s">
        <v>28</v>
      </c>
      <c r="G4" s="84" t="s">
        <v>28</v>
      </c>
      <c r="H4" s="84" t="s">
        <v>28</v>
      </c>
      <c r="I4" s="84" t="s">
        <v>72</v>
      </c>
      <c r="J4" s="84" t="s">
        <v>73</v>
      </c>
      <c r="K4" s="84" t="s">
        <v>28</v>
      </c>
      <c r="L4" s="84" t="s">
        <v>28</v>
      </c>
      <c r="M4" s="315"/>
    </row>
    <row r="5" spans="2:13" x14ac:dyDescent="0.25">
      <c r="B5" s="85">
        <v>2014</v>
      </c>
      <c r="C5" s="313">
        <v>3463174.6399999997</v>
      </c>
      <c r="D5" s="313">
        <v>7190987.2500000009</v>
      </c>
      <c r="E5" s="313">
        <v>7194763.4400000013</v>
      </c>
      <c r="F5" s="313">
        <v>3485585.9000000004</v>
      </c>
      <c r="G5" s="313">
        <f>C5-F5</f>
        <v>-22411.260000000708</v>
      </c>
      <c r="H5" s="313">
        <v>66219.89</v>
      </c>
      <c r="I5" s="313">
        <v>155018.39999999997</v>
      </c>
      <c r="J5" s="313">
        <v>154932.25</v>
      </c>
      <c r="K5" s="313">
        <v>65980.599999999991</v>
      </c>
      <c r="L5" s="313">
        <f>H5-K5</f>
        <v>239.29000000000815</v>
      </c>
    </row>
    <row r="6" spans="2:13" x14ac:dyDescent="0.25">
      <c r="B6" s="85">
        <v>2040</v>
      </c>
      <c r="C6" s="313">
        <v>3951379.27</v>
      </c>
      <c r="D6" s="313">
        <v>9377582.0199999996</v>
      </c>
      <c r="E6" s="313">
        <v>9383009.8600000013</v>
      </c>
      <c r="F6" s="313">
        <v>3960268.8200000003</v>
      </c>
      <c r="G6" s="313">
        <f>C6-F6</f>
        <v>-8889.5500000002794</v>
      </c>
      <c r="H6" s="313">
        <v>76909.609999999986</v>
      </c>
      <c r="I6" s="313">
        <v>214170.08</v>
      </c>
      <c r="J6" s="313">
        <v>213832.06000000006</v>
      </c>
      <c r="K6" s="313">
        <v>76676.180000000008</v>
      </c>
      <c r="L6" s="313">
        <f>H6-K6</f>
        <v>233.42999999997846</v>
      </c>
    </row>
    <row r="7" spans="2:13" x14ac:dyDescent="0.25">
      <c r="B7" s="86" t="s">
        <v>50</v>
      </c>
      <c r="C7" s="314">
        <f>((C6-C5)/C5)/($B6-$B5)</f>
        <v>5.4219330832955539E-3</v>
      </c>
      <c r="D7" s="314">
        <f t="shared" ref="D7:L7" si="1">((D6-D5)/D5)/($B6-$B5)</f>
        <v>1.1695167286821958E-2</v>
      </c>
      <c r="E7" s="314">
        <f t="shared" si="1"/>
        <v>1.16978583865926E-2</v>
      </c>
      <c r="F7" s="314">
        <f t="shared" si="1"/>
        <v>5.2378670066961707E-3</v>
      </c>
      <c r="G7" s="314">
        <f t="shared" si="1"/>
        <v>-2.3205556904465404E-2</v>
      </c>
      <c r="H7" s="314">
        <f t="shared" si="1"/>
        <v>6.2087550571750631E-3</v>
      </c>
      <c r="I7" s="314">
        <f t="shared" si="1"/>
        <v>1.4676094033899309E-2</v>
      </c>
      <c r="J7" s="314">
        <f t="shared" si="1"/>
        <v>1.4621728579377824E-2</v>
      </c>
      <c r="K7" s="314">
        <f t="shared" si="1"/>
        <v>6.2346880982965024E-3</v>
      </c>
      <c r="L7" s="314">
        <f t="shared" si="1"/>
        <v>-9.4188898568995565E-4</v>
      </c>
    </row>
    <row r="8" spans="2:13" x14ac:dyDescent="0.25">
      <c r="B8" s="6" t="s">
        <v>51</v>
      </c>
      <c r="C8" s="6"/>
      <c r="L8" s="6"/>
    </row>
    <row r="9" spans="2:13" ht="19.5" thickBot="1" x14ac:dyDescent="0.35">
      <c r="C9" s="126"/>
      <c r="D9" s="126"/>
      <c r="E9" s="126"/>
      <c r="F9" s="126"/>
      <c r="G9" s="126"/>
      <c r="H9" s="126"/>
      <c r="I9" s="126"/>
      <c r="J9" s="126"/>
      <c r="K9" s="126"/>
      <c r="L9" s="126"/>
    </row>
    <row r="10" spans="2:13" ht="35.1" customHeight="1" thickBot="1" x14ac:dyDescent="0.3">
      <c r="B10" s="550" t="s">
        <v>0</v>
      </c>
      <c r="C10" s="552" t="s">
        <v>79</v>
      </c>
      <c r="D10" s="553"/>
      <c r="E10" s="553"/>
      <c r="F10" s="553"/>
      <c r="G10" s="554"/>
      <c r="H10" s="552" t="s">
        <v>57</v>
      </c>
      <c r="I10" s="553"/>
      <c r="J10" s="553"/>
      <c r="K10" s="553"/>
      <c r="L10" s="554"/>
    </row>
    <row r="11" spans="2:13" ht="35.1" customHeight="1" x14ac:dyDescent="0.25">
      <c r="B11" s="555"/>
      <c r="C11" s="550" t="s">
        <v>25</v>
      </c>
      <c r="D11" s="550" t="s">
        <v>77</v>
      </c>
      <c r="E11" s="550" t="s">
        <v>78</v>
      </c>
      <c r="F11" s="550" t="s">
        <v>26</v>
      </c>
      <c r="G11" s="550" t="s">
        <v>52</v>
      </c>
      <c r="H11" s="550" t="s">
        <v>25</v>
      </c>
      <c r="I11" s="550" t="s">
        <v>77</v>
      </c>
      <c r="J11" s="550" t="s">
        <v>78</v>
      </c>
      <c r="K11" s="550" t="s">
        <v>26</v>
      </c>
      <c r="L11" s="550" t="s">
        <v>52</v>
      </c>
    </row>
    <row r="12" spans="2:13" ht="35.1" customHeight="1" thickBot="1" x14ac:dyDescent="0.3">
      <c r="B12" s="551"/>
      <c r="C12" s="551"/>
      <c r="D12" s="551"/>
      <c r="E12" s="551"/>
      <c r="F12" s="551"/>
      <c r="G12" s="551"/>
      <c r="H12" s="551"/>
      <c r="I12" s="551"/>
      <c r="J12" s="551"/>
      <c r="K12" s="551"/>
      <c r="L12" s="551"/>
    </row>
    <row r="13" spans="2:13" x14ac:dyDescent="0.25">
      <c r="B13" s="1">
        <f>Assumptions!C8</f>
        <v>2027</v>
      </c>
      <c r="C13" s="70">
        <f>TREND(C$5:C$6,$B$5:$B$6,$B13)*Assumptions!$C$11</f>
        <v>1353156088.5749993</v>
      </c>
      <c r="D13" s="70">
        <f>TREND(D$5:D$6,$B$5:$B$6,$B13)*Assumptions!$C$11</f>
        <v>3023763891.7749968</v>
      </c>
      <c r="E13" s="70">
        <f>TREND(E$5:E$6,$B$5:$B$6,$B13)*Assumptions!$C$11</f>
        <v>3025443627.2500024</v>
      </c>
      <c r="F13" s="70">
        <f>TREND(F$5:F$6,$B$5:$B$6,$B13)*Assumptions!$C$11</f>
        <v>1358868486.3999999</v>
      </c>
      <c r="G13" s="62">
        <f>F13-C13</f>
        <v>5712397.8250005245</v>
      </c>
      <c r="H13" s="70">
        <f>TREND(H$5:H$6,$B$5:$B$6,$B13)*Assumptions!$C$11</f>
        <v>26121133.75</v>
      </c>
      <c r="I13" s="70">
        <f>TREND(I$5:I$6,$B$5:$B$6,$B13)*Assumptions!$C$11</f>
        <v>67376897.600000083</v>
      </c>
      <c r="J13" s="70">
        <f>TREND(J$5:J$6,$B$5:$B$6,$B13)*Assumptions!$C$11</f>
        <v>67299486.575000092</v>
      </c>
      <c r="K13" s="70">
        <f>TREND(K$5:K$6,$B$5:$B$6,$B13)*Assumptions!$C$11</f>
        <v>26034862.350000005</v>
      </c>
      <c r="L13" s="62">
        <f>K13-H13</f>
        <v>-86271.399999994785</v>
      </c>
    </row>
    <row r="14" spans="2:13" x14ac:dyDescent="0.25">
      <c r="B14" s="2">
        <f>B13+1</f>
        <v>2028</v>
      </c>
      <c r="C14" s="104">
        <f>TREND(C$5:C$6,$B$5:$B$6,$B14)*Assumptions!$C$11</f>
        <v>1360009730.4961548</v>
      </c>
      <c r="D14" s="104">
        <f>TREND(D$5:D$6,$B$5:$B$6,$B14)*Assumptions!$C$11</f>
        <v>3054460318.3538432</v>
      </c>
      <c r="E14" s="106">
        <f>TREND(E$5:E$6,$B$5:$B$6,$B14)*Assumptions!$C$11</f>
        <v>3056163240.4538512</v>
      </c>
      <c r="F14" s="106">
        <f>TREND(F$5:F$6,$B$5:$B$6,$B14)*Assumptions!$C$11</f>
        <v>1365532304.3153825</v>
      </c>
      <c r="G14" s="105">
        <f t="shared" ref="G14:G32" si="2">F14-C14</f>
        <v>5522573.8192276955</v>
      </c>
      <c r="H14" s="105">
        <f>TREND(H$5:H$6,$B$5:$B$6,$B14)*Assumptions!$C$11</f>
        <v>26271200.973076928</v>
      </c>
      <c r="I14" s="105">
        <f>TREND(I$5:I$6,$B$5:$B$6,$B14)*Assumptions!$C$11</f>
        <v>68207296.184615493</v>
      </c>
      <c r="J14" s="105">
        <f>TREND(J$5:J$6,$B$5:$B$6,$B14)*Assumptions!$C$11</f>
        <v>68126349.292307869</v>
      </c>
      <c r="K14" s="105">
        <f>TREND(K$5:K$6,$B$5:$B$6,$B14)*Assumptions!$C$11</f>
        <v>26185011.838461541</v>
      </c>
      <c r="L14" s="105">
        <f t="shared" ref="L14:L32" si="3">K14-H14</f>
        <v>-86189.134615387768</v>
      </c>
    </row>
    <row r="15" spans="2:13" x14ac:dyDescent="0.25">
      <c r="B15" s="2">
        <f t="shared" ref="B15:B32" si="4">B14+1</f>
        <v>2029</v>
      </c>
      <c r="C15" s="104">
        <f>TREND(C$5:C$6,$B$5:$B$6,$B15)*Assumptions!$C$11</f>
        <v>1366863372.4173076</v>
      </c>
      <c r="D15" s="104">
        <f>TREND(D$5:D$6,$B$5:$B$6,$B15)*Assumptions!$C$11</f>
        <v>3085156744.9326901</v>
      </c>
      <c r="E15" s="106">
        <f>TREND(E$5:E$6,$B$5:$B$6,$B15)*Assumptions!$C$11</f>
        <v>3086882853.6577001</v>
      </c>
      <c r="F15" s="106">
        <f>TREND(F$5:F$6,$B$5:$B$6,$B15)*Assumptions!$C$11</f>
        <v>1372196122.230768</v>
      </c>
      <c r="G15" s="105">
        <f t="shared" si="2"/>
        <v>5332749.81346035</v>
      </c>
      <c r="H15" s="105">
        <f>TREND(H$5:H$6,$B$5:$B$6,$B15)*Assumptions!$C$11</f>
        <v>26421268.196153857</v>
      </c>
      <c r="I15" s="105">
        <f>TREND(I$5:I$6,$B$5:$B$6,$B15)*Assumptions!$C$11</f>
        <v>69037694.769230902</v>
      </c>
      <c r="J15" s="105">
        <f>TREND(J$5:J$6,$B$5:$B$6,$B15)*Assumptions!$C$11</f>
        <v>68953212.009615645</v>
      </c>
      <c r="K15" s="105">
        <f>TREND(K$5:K$6,$B$5:$B$6,$B15)*Assumptions!$C$11</f>
        <v>26335161.326923076</v>
      </c>
      <c r="L15" s="105">
        <f t="shared" si="3"/>
        <v>-86106.869230780751</v>
      </c>
    </row>
    <row r="16" spans="2:13" x14ac:dyDescent="0.25">
      <c r="B16" s="2">
        <f t="shared" si="4"/>
        <v>2030</v>
      </c>
      <c r="C16" s="104">
        <f>TREND(C$5:C$6,$B$5:$B$6,$B16)*Assumptions!$C$11</f>
        <v>1373717014.3384631</v>
      </c>
      <c r="D16" s="104">
        <f>TREND(D$5:D$6,$B$5:$B$6,$B16)*Assumptions!$C$11</f>
        <v>3115853171.5115366</v>
      </c>
      <c r="E16" s="106">
        <f>TREND(E$5:E$6,$B$5:$B$6,$B16)*Assumptions!$C$11</f>
        <v>3117602466.8615489</v>
      </c>
      <c r="F16" s="106">
        <f>TREND(F$5:F$6,$B$5:$B$6,$B16)*Assumptions!$C$11</f>
        <v>1378859940.1461535</v>
      </c>
      <c r="G16" s="105">
        <f t="shared" si="2"/>
        <v>5142925.807690382</v>
      </c>
      <c r="H16" s="105">
        <f>TREND(H$5:H$6,$B$5:$B$6,$B16)*Assumptions!$C$11</f>
        <v>26571335.419230789</v>
      </c>
      <c r="I16" s="105">
        <f>TREND(I$5:I$6,$B$5:$B$6,$B16)*Assumptions!$C$11</f>
        <v>69868093.353846297</v>
      </c>
      <c r="J16" s="105">
        <f>TREND(J$5:J$6,$B$5:$B$6,$B16)*Assumptions!$C$11</f>
        <v>69780074.726923093</v>
      </c>
      <c r="K16" s="105">
        <f>TREND(K$5:K$6,$B$5:$B$6,$B16)*Assumptions!$C$11</f>
        <v>26485310.815384615</v>
      </c>
      <c r="L16" s="105">
        <f t="shared" si="3"/>
        <v>-86024.603846173733</v>
      </c>
    </row>
    <row r="17" spans="2:12" x14ac:dyDescent="0.25">
      <c r="B17" s="2">
        <f t="shared" si="4"/>
        <v>2031</v>
      </c>
      <c r="C17" s="104">
        <f>TREND(C$5:C$6,$B$5:$B$6,$B17)*Assumptions!$C$11</f>
        <v>1380570656.2596157</v>
      </c>
      <c r="D17" s="104">
        <f>TREND(D$5:D$6,$B$5:$B$6,$B17)*Assumptions!$C$11</f>
        <v>3146549598.0903835</v>
      </c>
      <c r="E17" s="106">
        <f>TREND(E$5:E$6,$B$5:$B$6,$B17)*Assumptions!$C$11</f>
        <v>3148322080.0653868</v>
      </c>
      <c r="F17" s="106">
        <f>TREND(F$5:F$6,$B$5:$B$6,$B17)*Assumptions!$C$11</f>
        <v>1385523758.0615363</v>
      </c>
      <c r="G17" s="105">
        <f t="shared" si="2"/>
        <v>4953101.8019206524</v>
      </c>
      <c r="H17" s="105">
        <f>TREND(H$5:H$6,$B$5:$B$6,$B17)*Assumptions!$C$11</f>
        <v>26721402.642307717</v>
      </c>
      <c r="I17" s="105">
        <f>TREND(I$5:I$6,$B$5:$B$6,$B17)*Assumptions!$C$11</f>
        <v>70698491.938461706</v>
      </c>
      <c r="J17" s="105">
        <f>TREND(J$5:J$6,$B$5:$B$6,$B17)*Assumptions!$C$11</f>
        <v>70606937.444230869</v>
      </c>
      <c r="K17" s="105">
        <f>TREND(K$5:K$6,$B$5:$B$6,$B17)*Assumptions!$C$11</f>
        <v>26635460.303846151</v>
      </c>
      <c r="L17" s="105">
        <f t="shared" si="3"/>
        <v>-85942.338461566716</v>
      </c>
    </row>
    <row r="18" spans="2:12" x14ac:dyDescent="0.25">
      <c r="B18" s="2">
        <f t="shared" si="4"/>
        <v>2032</v>
      </c>
      <c r="C18" s="104">
        <f>TREND(C$5:C$6,$B$5:$B$6,$B18)*Assumptions!$C$11</f>
        <v>1387424298.1807685</v>
      </c>
      <c r="D18" s="104">
        <f>TREND(D$5:D$6,$B$5:$B$6,$B18)*Assumptions!$C$11</f>
        <v>3177246024.66923</v>
      </c>
      <c r="E18" s="106">
        <f>TREND(E$5:E$6,$B$5:$B$6,$B18)*Assumptions!$C$11</f>
        <v>3179041693.2692356</v>
      </c>
      <c r="F18" s="106">
        <f>TREND(F$5:F$6,$B$5:$B$6,$B18)*Assumptions!$C$11</f>
        <v>1392187575.9769218</v>
      </c>
      <c r="G18" s="105">
        <f t="shared" si="2"/>
        <v>4763277.796153307</v>
      </c>
      <c r="H18" s="105">
        <f>TREND(H$5:H$6,$B$5:$B$6,$B18)*Assumptions!$C$11</f>
        <v>26871469.865384605</v>
      </c>
      <c r="I18" s="105">
        <f>TREND(I$5:I$6,$B$5:$B$6,$B18)*Assumptions!$C$11</f>
        <v>71528890.523077115</v>
      </c>
      <c r="J18" s="105">
        <f>TREND(J$5:J$6,$B$5:$B$6,$B18)*Assumptions!$C$11</f>
        <v>71433800.161538646</v>
      </c>
      <c r="K18" s="105">
        <f>TREND(K$5:K$6,$B$5:$B$6,$B18)*Assumptions!$C$11</f>
        <v>26785609.792307686</v>
      </c>
      <c r="L18" s="105">
        <f t="shared" si="3"/>
        <v>-85860.073076918721</v>
      </c>
    </row>
    <row r="19" spans="2:12" x14ac:dyDescent="0.25">
      <c r="B19" s="2">
        <f>B18+1</f>
        <v>2033</v>
      </c>
      <c r="C19" s="104">
        <f>TREND(C$5:C$6,$B$5:$B$6,$B19)*Assumptions!$C$11</f>
        <v>1394277940.1019239</v>
      </c>
      <c r="D19" s="104">
        <f>TREND(D$5:D$6,$B$5:$B$6,$B19)*Assumptions!$C$11</f>
        <v>3207942451.2480769</v>
      </c>
      <c r="E19" s="106">
        <f>TREND(E$5:E$6,$B$5:$B$6,$B19)*Assumptions!$C$11</f>
        <v>3209761306.4730844</v>
      </c>
      <c r="F19" s="106">
        <f>TREND(F$5:F$6,$B$5:$B$6,$B19)*Assumptions!$C$11</f>
        <v>1398851393.8923073</v>
      </c>
      <c r="G19" s="105">
        <f t="shared" si="2"/>
        <v>4573453.7903833389</v>
      </c>
      <c r="H19" s="105">
        <f>TREND(H$5:H$6,$B$5:$B$6,$B19)*Assumptions!$C$11</f>
        <v>27021537.088461533</v>
      </c>
      <c r="I19" s="105">
        <f>TREND(I$5:I$6,$B$5:$B$6,$B19)*Assumptions!$C$11</f>
        <v>72359289.107692525</v>
      </c>
      <c r="J19" s="105">
        <f>TREND(J$5:J$6,$B$5:$B$6,$B19)*Assumptions!$C$11</f>
        <v>72260662.878846422</v>
      </c>
      <c r="K19" s="105">
        <f>TREND(K$5:K$6,$B$5:$B$6,$B19)*Assumptions!$C$11</f>
        <v>26935759.280769221</v>
      </c>
      <c r="L19" s="105">
        <f t="shared" si="3"/>
        <v>-85777.807692311704</v>
      </c>
    </row>
    <row r="20" spans="2:12" x14ac:dyDescent="0.25">
      <c r="B20" s="2">
        <f t="shared" si="4"/>
        <v>2034</v>
      </c>
      <c r="C20" s="104">
        <f>TREND(C$5:C$6,$B$5:$B$6,$B20)*Assumptions!$C$11</f>
        <v>1401131582.0230765</v>
      </c>
      <c r="D20" s="104">
        <f>TREND(D$5:D$6,$B$5:$B$6,$B20)*Assumptions!$C$11</f>
        <v>3238638877.8269234</v>
      </c>
      <c r="E20" s="106">
        <f>TREND(E$5:E$6,$B$5:$B$6,$B20)*Assumptions!$C$11</f>
        <v>3240480919.6769338</v>
      </c>
      <c r="F20" s="106">
        <f>TREND(F$5:F$6,$B$5:$B$6,$B20)*Assumptions!$C$11</f>
        <v>1405515211.8076899</v>
      </c>
      <c r="G20" s="105">
        <f t="shared" si="2"/>
        <v>4383629.7846133709</v>
      </c>
      <c r="H20" s="105">
        <f>TREND(H$5:H$6,$B$5:$B$6,$B20)*Assumptions!$C$11</f>
        <v>27171604.311538462</v>
      </c>
      <c r="I20" s="105">
        <f>TREND(I$5:I$6,$B$5:$B$6,$B20)*Assumptions!$C$11</f>
        <v>73189687.692307934</v>
      </c>
      <c r="J20" s="105">
        <f>TREND(J$5:J$6,$B$5:$B$6,$B20)*Assumptions!$C$11</f>
        <v>73087525.596154198</v>
      </c>
      <c r="K20" s="105">
        <f>TREND(K$5:K$6,$B$5:$B$6,$B20)*Assumptions!$C$11</f>
        <v>27085908.769230761</v>
      </c>
      <c r="L20" s="105">
        <f t="shared" si="3"/>
        <v>-85695.542307700962</v>
      </c>
    </row>
    <row r="21" spans="2:12" x14ac:dyDescent="0.25">
      <c r="B21" s="2">
        <f t="shared" si="4"/>
        <v>2035</v>
      </c>
      <c r="C21" s="104">
        <f>TREND(C$5:C$6,$B$5:$B$6,$B21)*Assumptions!$C$11</f>
        <v>1407985223.944232</v>
      </c>
      <c r="D21" s="104">
        <f>TREND(D$5:D$6,$B$5:$B$6,$B21)*Assumptions!$C$11</f>
        <v>3269335304.4057703</v>
      </c>
      <c r="E21" s="106">
        <f>TREND(E$5:E$6,$B$5:$B$6,$B21)*Assumptions!$C$11</f>
        <v>3271200532.8807716</v>
      </c>
      <c r="F21" s="106">
        <f>TREND(F$5:F$6,$B$5:$B$6,$B21)*Assumptions!$C$11</f>
        <v>1412179029.7230754</v>
      </c>
      <c r="G21" s="105">
        <f t="shared" si="2"/>
        <v>4193805.7788434029</v>
      </c>
      <c r="H21" s="105">
        <f>TREND(H$5:H$6,$B$5:$B$6,$B21)*Assumptions!$C$11</f>
        <v>27321671.53461539</v>
      </c>
      <c r="I21" s="105">
        <f>TREND(I$5:I$6,$B$5:$B$6,$B21)*Assumptions!$C$11</f>
        <v>74020086.276923329</v>
      </c>
      <c r="J21" s="105">
        <f>TREND(J$5:J$6,$B$5:$B$6,$B21)*Assumptions!$C$11</f>
        <v>73914388.313461646</v>
      </c>
      <c r="K21" s="105">
        <f>TREND(K$5:K$6,$B$5:$B$6,$B21)*Assumptions!$C$11</f>
        <v>27236058.257692296</v>
      </c>
      <c r="L21" s="105">
        <f t="shared" si="3"/>
        <v>-85613.276923093945</v>
      </c>
    </row>
    <row r="22" spans="2:12" x14ac:dyDescent="0.25">
      <c r="B22" s="2">
        <f t="shared" si="4"/>
        <v>2036</v>
      </c>
      <c r="C22" s="104">
        <f>TREND(C$5:C$6,$B$5:$B$6,$B22)*Assumptions!$C$11</f>
        <v>1414838865.8653848</v>
      </c>
      <c r="D22" s="104">
        <f>TREND(D$5:D$6,$B$5:$B$6,$B22)*Assumptions!$C$11</f>
        <v>3300031730.9846172</v>
      </c>
      <c r="E22" s="106">
        <f>TREND(E$5:E$6,$B$5:$B$6,$B22)*Assumptions!$C$11</f>
        <v>3301920146.0846205</v>
      </c>
      <c r="F22" s="106">
        <f>TREND(F$5:F$6,$B$5:$B$6,$B22)*Assumptions!$C$11</f>
        <v>1418842847.6384609</v>
      </c>
      <c r="G22" s="105">
        <f t="shared" si="2"/>
        <v>4003981.7730760574</v>
      </c>
      <c r="H22" s="105">
        <f>TREND(H$5:H$6,$B$5:$B$6,$B22)*Assumptions!$C$11</f>
        <v>27471738.757692322</v>
      </c>
      <c r="I22" s="105">
        <f>TREND(I$5:I$6,$B$5:$B$6,$B22)*Assumptions!$C$11</f>
        <v>74850484.861538738</v>
      </c>
      <c r="J22" s="105">
        <f>TREND(J$5:J$6,$B$5:$B$6,$B22)*Assumptions!$C$11</f>
        <v>74741251.030769423</v>
      </c>
      <c r="K22" s="105">
        <f>TREND(K$5:K$6,$B$5:$B$6,$B22)*Assumptions!$C$11</f>
        <v>27386207.746153831</v>
      </c>
      <c r="L22" s="105">
        <f t="shared" si="3"/>
        <v>-85531.011538490653</v>
      </c>
    </row>
    <row r="23" spans="2:12" x14ac:dyDescent="0.25">
      <c r="B23" s="2">
        <f t="shared" si="4"/>
        <v>2037</v>
      </c>
      <c r="C23" s="104">
        <f>TREND(C$5:C$6,$B$5:$B$6,$B23)*Assumptions!$C$11</f>
        <v>1421692507.7865376</v>
      </c>
      <c r="D23" s="104">
        <f>TREND(D$5:D$6,$B$5:$B$6,$B23)*Assumptions!$C$11</f>
        <v>3330728157.5634637</v>
      </c>
      <c r="E23" s="106">
        <f>TREND(E$5:E$6,$B$5:$B$6,$B23)*Assumptions!$C$11</f>
        <v>3332639759.2884693</v>
      </c>
      <c r="F23" s="106">
        <f>TREND(F$5:F$6,$B$5:$B$6,$B23)*Assumptions!$C$11</f>
        <v>1425506665.5538437</v>
      </c>
      <c r="G23" s="105">
        <f t="shared" si="2"/>
        <v>3814157.7673060894</v>
      </c>
      <c r="H23" s="105">
        <f>TREND(H$5:H$6,$B$5:$B$6,$B23)*Assumptions!$C$11</f>
        <v>27621805.980769251</v>
      </c>
      <c r="I23" s="105">
        <f>TREND(I$5:I$6,$B$5:$B$6,$B23)*Assumptions!$C$11</f>
        <v>75680883.446154147</v>
      </c>
      <c r="J23" s="105">
        <f>TREND(J$5:J$6,$B$5:$B$6,$B23)*Assumptions!$C$11</f>
        <v>75568113.748077199</v>
      </c>
      <c r="K23" s="105">
        <f>TREND(K$5:K$6,$B$5:$B$6,$B23)*Assumptions!$C$11</f>
        <v>27536357.234615367</v>
      </c>
      <c r="L23" s="105">
        <f t="shared" si="3"/>
        <v>-85448.746153883636</v>
      </c>
    </row>
    <row r="24" spans="2:12" x14ac:dyDescent="0.25">
      <c r="B24" s="2">
        <f t="shared" si="4"/>
        <v>2038</v>
      </c>
      <c r="C24" s="104">
        <f>TREND(C$5:C$6,$B$5:$B$6,$B24)*Assumptions!$C$11</f>
        <v>1428546149.7076931</v>
      </c>
      <c r="D24" s="104">
        <f>TREND(D$5:D$6,$B$5:$B$6,$B24)*Assumptions!$C$11</f>
        <v>3361424584.1423106</v>
      </c>
      <c r="E24" s="106">
        <f>TREND(E$5:E$6,$B$5:$B$6,$B24)*Assumptions!$C$11</f>
        <v>3363359372.4923182</v>
      </c>
      <c r="F24" s="106">
        <f>TREND(F$5:F$6,$B$5:$B$6,$B24)*Assumptions!$C$11</f>
        <v>1432170483.4692292</v>
      </c>
      <c r="G24" s="105">
        <f t="shared" si="2"/>
        <v>3624333.7615361214</v>
      </c>
      <c r="H24" s="105">
        <f>TREND(H$5:H$6,$B$5:$B$6,$B24)*Assumptions!$C$11</f>
        <v>27771873.203846138</v>
      </c>
      <c r="I24" s="105">
        <f>TREND(I$5:I$6,$B$5:$B$6,$B24)*Assumptions!$C$11</f>
        <v>76511282.030769557</v>
      </c>
      <c r="J24" s="105">
        <f>TREND(J$5:J$6,$B$5:$B$6,$B24)*Assumptions!$C$11</f>
        <v>76394976.465384632</v>
      </c>
      <c r="K24" s="105">
        <f>TREND(K$5:K$6,$B$5:$B$6,$B24)*Assumptions!$C$11</f>
        <v>27686506.723076902</v>
      </c>
      <c r="L24" s="105">
        <f t="shared" si="3"/>
        <v>-85366.480769235641</v>
      </c>
    </row>
    <row r="25" spans="2:12" x14ac:dyDescent="0.25">
      <c r="B25" s="2">
        <f t="shared" si="4"/>
        <v>2039</v>
      </c>
      <c r="C25" s="104">
        <f>TREND(C$5:C$6,$B$5:$B$6,$B25)*Assumptions!$C$11</f>
        <v>1435399791.6288457</v>
      </c>
      <c r="D25" s="104">
        <f>TREND(D$5:D$6,$B$5:$B$6,$B25)*Assumptions!$C$11</f>
        <v>3392121010.7211461</v>
      </c>
      <c r="E25" s="106">
        <f>TREND(E$5:E$6,$B$5:$B$6,$B25)*Assumptions!$C$11</f>
        <v>3394078985.6961565</v>
      </c>
      <c r="F25" s="106">
        <f>TREND(F$5:F$6,$B$5:$B$6,$B25)*Assumptions!$C$11</f>
        <v>1438834301.3846147</v>
      </c>
      <c r="G25" s="105">
        <f t="shared" si="2"/>
        <v>3434509.7557690144</v>
      </c>
      <c r="H25" s="105">
        <f>TREND(H$5:H$6,$B$5:$B$6,$B25)*Assumptions!$C$11</f>
        <v>27921940.426923066</v>
      </c>
      <c r="I25" s="105">
        <f>TREND(I$5:I$6,$B$5:$B$6,$B25)*Assumptions!$C$11</f>
        <v>77341680.615384966</v>
      </c>
      <c r="J25" s="105">
        <f>TREND(J$5:J$6,$B$5:$B$6,$B25)*Assumptions!$C$11</f>
        <v>77221839.182692409</v>
      </c>
      <c r="K25" s="105">
        <f>TREND(K$5:K$6,$B$5:$B$6,$B25)*Assumptions!$C$11</f>
        <v>27836656.211538441</v>
      </c>
      <c r="L25" s="105">
        <f t="shared" si="3"/>
        <v>-85284.215384624898</v>
      </c>
    </row>
    <row r="26" spans="2:12" x14ac:dyDescent="0.25">
      <c r="B26" s="2">
        <f t="shared" si="4"/>
        <v>2040</v>
      </c>
      <c r="C26" s="104">
        <f>TREND(C$5:C$6,$B$5:$B$6,$B26)*Assumptions!$C$11</f>
        <v>1442253433.5500011</v>
      </c>
      <c r="D26" s="104">
        <f>TREND(D$5:D$6,$B$5:$B$6,$B26)*Assumptions!$C$11</f>
        <v>3422817437.299993</v>
      </c>
      <c r="E26" s="106">
        <f>TREND(E$5:E$6,$B$5:$B$6,$B26)*Assumptions!$C$11</f>
        <v>3424798598.9000053</v>
      </c>
      <c r="F26" s="106">
        <f>TREND(F$5:F$6,$B$5:$B$6,$B26)*Assumptions!$C$11</f>
        <v>1445498119.3000002</v>
      </c>
      <c r="G26" s="105">
        <f t="shared" si="2"/>
        <v>3244685.7499990463</v>
      </c>
      <c r="H26" s="105">
        <f>TREND(H$5:H$6,$B$5:$B$6,$B26)*Assumptions!$C$11</f>
        <v>28072007.649999995</v>
      </c>
      <c r="I26" s="105">
        <f>TREND(I$5:I$6,$B$5:$B$6,$B26)*Assumptions!$C$11</f>
        <v>78172079.200000361</v>
      </c>
      <c r="J26" s="105">
        <f>TREND(J$5:J$6,$B$5:$B$6,$B26)*Assumptions!$C$11</f>
        <v>78048701.900000185</v>
      </c>
      <c r="K26" s="105">
        <f>TREND(K$5:K$6,$B$5:$B$6,$B26)*Assumptions!$C$11</f>
        <v>27986805.700000018</v>
      </c>
      <c r="L26" s="105">
        <f t="shared" si="3"/>
        <v>-85201.949999976903</v>
      </c>
    </row>
    <row r="27" spans="2:12" x14ac:dyDescent="0.25">
      <c r="B27" s="2">
        <f t="shared" si="4"/>
        <v>2041</v>
      </c>
      <c r="C27" s="104">
        <f>TREND(C$5:C$6,$B$5:$B$6,$B27)*Assumptions!$C$11</f>
        <v>1449107075.471154</v>
      </c>
      <c r="D27" s="104">
        <f>TREND(D$5:D$6,$B$5:$B$6,$B27)*Assumptions!$C$11</f>
        <v>3453513863.87884</v>
      </c>
      <c r="E27" s="106">
        <f>TREND(E$5:E$6,$B$5:$B$6,$B27)*Assumptions!$C$11</f>
        <v>3455518212.1038542</v>
      </c>
      <c r="F27" s="106">
        <f>TREND(F$5:F$6,$B$5:$B$6,$B27)*Assumptions!$C$11</f>
        <v>1452161937.2153828</v>
      </c>
      <c r="G27" s="105">
        <f t="shared" si="2"/>
        <v>3054861.7442288399</v>
      </c>
      <c r="H27" s="105">
        <f>TREND(H$5:H$6,$B$5:$B$6,$B27)*Assumptions!$C$11</f>
        <v>28222074.873076923</v>
      </c>
      <c r="I27" s="105">
        <f>TREND(I$5:I$6,$B$5:$B$6,$B27)*Assumptions!$C$11</f>
        <v>79002477.784615427</v>
      </c>
      <c r="J27" s="105">
        <f>TREND(J$5:J$6,$B$5:$B$6,$B27)*Assumptions!$C$11</f>
        <v>78875564.617307961</v>
      </c>
      <c r="K27" s="105">
        <f>TREND(K$5:K$6,$B$5:$B$6,$B27)*Assumptions!$C$11</f>
        <v>28136955.188461553</v>
      </c>
      <c r="L27" s="105">
        <f t="shared" si="3"/>
        <v>-85119.684615369886</v>
      </c>
    </row>
    <row r="28" spans="2:12" x14ac:dyDescent="0.25">
      <c r="B28" s="2">
        <f t="shared" si="4"/>
        <v>2042</v>
      </c>
      <c r="C28" s="104">
        <f>TREND(C$5:C$6,$B$5:$B$6,$B28)*Assumptions!$C$11</f>
        <v>1455960717.3923094</v>
      </c>
      <c r="D28" s="104">
        <f>TREND(D$5:D$6,$B$5:$B$6,$B28)*Assumptions!$C$11</f>
        <v>3484210290.4576864</v>
      </c>
      <c r="E28" s="106">
        <f>TREND(E$5:E$6,$B$5:$B$6,$B28)*Assumptions!$C$11</f>
        <v>3486237825.307703</v>
      </c>
      <c r="F28" s="106">
        <f>TREND(F$5:F$6,$B$5:$B$6,$B28)*Assumptions!$C$11</f>
        <v>1458825755.1307683</v>
      </c>
      <c r="G28" s="105">
        <f t="shared" si="2"/>
        <v>2865037.7384588718</v>
      </c>
      <c r="H28" s="105">
        <f>TREND(H$5:H$6,$B$5:$B$6,$B28)*Assumptions!$C$11</f>
        <v>28372142.096153852</v>
      </c>
      <c r="I28" s="105">
        <f>TREND(I$5:I$6,$B$5:$B$6,$B28)*Assumptions!$C$11</f>
        <v>79832876.369230837</v>
      </c>
      <c r="J28" s="105">
        <f>TREND(J$5:J$6,$B$5:$B$6,$B28)*Assumptions!$C$11</f>
        <v>79702427.334615752</v>
      </c>
      <c r="K28" s="105">
        <f>TREND(K$5:K$6,$B$5:$B$6,$B28)*Assumptions!$C$11</f>
        <v>28287104.676923092</v>
      </c>
      <c r="L28" s="105">
        <f t="shared" si="3"/>
        <v>-85037.419230759144</v>
      </c>
    </row>
    <row r="29" spans="2:12" x14ac:dyDescent="0.25">
      <c r="B29" s="2">
        <f t="shared" si="4"/>
        <v>2043</v>
      </c>
      <c r="C29" s="104">
        <f>TREND(C$5:C$6,$B$5:$B$6,$B29)*Assumptions!$C$11</f>
        <v>1462814359.313462</v>
      </c>
      <c r="D29" s="104">
        <f>TREND(D$5:D$6,$B$5:$B$6,$B29)*Assumptions!$C$11</f>
        <v>3514906717.0365334</v>
      </c>
      <c r="E29" s="106">
        <f>TREND(E$5:E$6,$B$5:$B$6,$B29)*Assumptions!$C$11</f>
        <v>3516957438.5115409</v>
      </c>
      <c r="F29" s="106">
        <f>TREND(F$5:F$6,$B$5:$B$6,$B29)*Assumptions!$C$11</f>
        <v>1465489573.0461538</v>
      </c>
      <c r="G29" s="105">
        <f t="shared" si="2"/>
        <v>2675213.7326917648</v>
      </c>
      <c r="H29" s="105">
        <f>TREND(H$5:H$6,$B$5:$B$6,$B29)*Assumptions!$C$11</f>
        <v>28522209.319230784</v>
      </c>
      <c r="I29" s="105">
        <f>TREND(I$5:I$6,$B$5:$B$6,$B29)*Assumptions!$C$11</f>
        <v>80663274.953846246</v>
      </c>
      <c r="J29" s="105">
        <f>TREND(J$5:J$6,$B$5:$B$6,$B29)*Assumptions!$C$11</f>
        <v>80529290.051923186</v>
      </c>
      <c r="K29" s="105">
        <f>TREND(K$5:K$6,$B$5:$B$6,$B29)*Assumptions!$C$11</f>
        <v>28437254.165384628</v>
      </c>
      <c r="L29" s="105">
        <f t="shared" si="3"/>
        <v>-84955.153846155852</v>
      </c>
    </row>
    <row r="30" spans="2:12" x14ac:dyDescent="0.25">
      <c r="B30" s="2">
        <f t="shared" si="4"/>
        <v>2044</v>
      </c>
      <c r="C30" s="104">
        <f>TREND(C$5:C$6,$B$5:$B$6,$B30)*Assumptions!$C$11</f>
        <v>1469668001.2346148</v>
      </c>
      <c r="D30" s="104">
        <f>TREND(D$5:D$6,$B$5:$B$6,$B30)*Assumptions!$C$11</f>
        <v>3545603143.6153798</v>
      </c>
      <c r="E30" s="106">
        <f>TREND(E$5:E$6,$B$5:$B$6,$B30)*Assumptions!$C$11</f>
        <v>3547677051.7153897</v>
      </c>
      <c r="F30" s="106">
        <f>TREND(F$5:F$6,$B$5:$B$6,$B30)*Assumptions!$C$11</f>
        <v>1472153390.9615366</v>
      </c>
      <c r="G30" s="105">
        <f t="shared" si="2"/>
        <v>2485389.7269217968</v>
      </c>
      <c r="H30" s="105">
        <f>TREND(H$5:H$6,$B$5:$B$6,$B30)*Assumptions!$C$11</f>
        <v>28672276.542307712</v>
      </c>
      <c r="I30" s="105">
        <f>TREND(I$5:I$6,$B$5:$B$6,$B30)*Assumptions!$C$11</f>
        <v>81493673.538461655</v>
      </c>
      <c r="J30" s="105">
        <f>TREND(J$5:J$6,$B$5:$B$6,$B30)*Assumptions!$C$11</f>
        <v>81356152.769230962</v>
      </c>
      <c r="K30" s="105">
        <f>TREND(K$5:K$6,$B$5:$B$6,$B30)*Assumptions!$C$11</f>
        <v>28587403.653846163</v>
      </c>
      <c r="L30" s="105">
        <f t="shared" si="3"/>
        <v>-84872.888461548835</v>
      </c>
    </row>
    <row r="31" spans="2:12" x14ac:dyDescent="0.25">
      <c r="B31" s="2">
        <f t="shared" si="4"/>
        <v>2045</v>
      </c>
      <c r="C31" s="104">
        <f>TREND(C$5:C$6,$B$5:$B$6,$B31)*Assumptions!$C$11</f>
        <v>1476521643.1557703</v>
      </c>
      <c r="D31" s="104">
        <f>TREND(D$5:D$6,$B$5:$B$6,$B31)*Assumptions!$C$11</f>
        <v>3576299570.1942267</v>
      </c>
      <c r="E31" s="106">
        <f>TREND(E$5:E$6,$B$5:$B$6,$B31)*Assumptions!$C$11</f>
        <v>3578396664.919239</v>
      </c>
      <c r="F31" s="106">
        <f>TREND(F$5:F$6,$B$5:$B$6,$B31)*Assumptions!$C$11</f>
        <v>1478817208.8769221</v>
      </c>
      <c r="G31" s="105">
        <f t="shared" si="2"/>
        <v>2295565.7211518288</v>
      </c>
      <c r="H31" s="105">
        <f>TREND(H$5:H$6,$B$5:$B$6,$B31)*Assumptions!$C$11</f>
        <v>28822343.7653846</v>
      </c>
      <c r="I31" s="105">
        <f>TREND(I$5:I$6,$B$5:$B$6,$B31)*Assumptions!$C$11</f>
        <v>82324072.123077065</v>
      </c>
      <c r="J31" s="105">
        <f>TREND(J$5:J$6,$B$5:$B$6,$B31)*Assumptions!$C$11</f>
        <v>82183015.486538738</v>
      </c>
      <c r="K31" s="105">
        <f>TREND(K$5:K$6,$B$5:$B$6,$B31)*Assumptions!$C$11</f>
        <v>28737553.142307699</v>
      </c>
      <c r="L31" s="105">
        <f t="shared" si="3"/>
        <v>-84790.62307690084</v>
      </c>
    </row>
    <row r="32" spans="2:12" ht="15.75" thickBot="1" x14ac:dyDescent="0.3">
      <c r="B32" s="3">
        <f t="shared" si="4"/>
        <v>2046</v>
      </c>
      <c r="C32" s="107">
        <f>TREND(C$5:C$6,$B$5:$B$6,$B32)*Assumptions!$C$11</f>
        <v>1483375285.0769231</v>
      </c>
      <c r="D32" s="69">
        <f>TREND(D$5:D$6,$B$5:$B$6,$B32)*Assumptions!$C$11</f>
        <v>3606995996.7730732</v>
      </c>
      <c r="E32" s="108">
        <f>TREND(E$5:E$6,$B$5:$B$6,$B32)*Assumptions!$C$11</f>
        <v>3609116278.1230879</v>
      </c>
      <c r="F32" s="108">
        <f>TREND(F$5:F$6,$B$5:$B$6,$B32)*Assumptions!$C$11</f>
        <v>1485481026.7923076</v>
      </c>
      <c r="G32" s="107">
        <f t="shared" si="2"/>
        <v>2105741.7153844833</v>
      </c>
      <c r="H32" s="107">
        <f>TREND(H$5:H$6,$B$5:$B$6,$B32)*Assumptions!$C$11</f>
        <v>28972410.988461528</v>
      </c>
      <c r="I32" s="107">
        <f>TREND(I$5:I$6,$B$5:$B$6,$B32)*Assumptions!$C$11</f>
        <v>83154470.707692474</v>
      </c>
      <c r="J32" s="107">
        <f>TREND(J$5:J$6,$B$5:$B$6,$B32)*Assumptions!$C$11</f>
        <v>83009878.203846186</v>
      </c>
      <c r="K32" s="107">
        <f>TREND(K$5:K$6,$B$5:$B$6,$B32)*Assumptions!$C$11</f>
        <v>28887702.630769238</v>
      </c>
      <c r="L32" s="107">
        <f t="shared" si="3"/>
        <v>-84708.357692290097</v>
      </c>
    </row>
    <row r="33" spans="1:12" x14ac:dyDescent="0.25">
      <c r="B33" s="4"/>
      <c r="C33" s="4"/>
      <c r="D33" s="17"/>
      <c r="E33" s="17"/>
      <c r="F33" s="17"/>
      <c r="G33" s="5"/>
      <c r="H33" s="4"/>
    </row>
    <row r="35" spans="1:12" x14ac:dyDescent="0.25">
      <c r="B35" s="6"/>
      <c r="H35" s="6"/>
    </row>
    <row r="36" spans="1:12" x14ac:dyDescent="0.25">
      <c r="A36" s="7"/>
      <c r="D36" s="63"/>
      <c r="E36" s="63"/>
      <c r="F36" s="63"/>
    </row>
    <row r="41" spans="1:12" x14ac:dyDescent="0.25">
      <c r="B41" s="18"/>
      <c r="C41" s="18"/>
      <c r="D41" s="18"/>
      <c r="E41" s="18"/>
      <c r="F41" s="18"/>
      <c r="G41" s="18"/>
      <c r="H41" s="18"/>
      <c r="I41" s="18"/>
      <c r="J41" s="18"/>
      <c r="K41" s="18"/>
      <c r="L41" s="18"/>
    </row>
    <row r="42" spans="1:12" x14ac:dyDescent="0.25">
      <c r="A42" s="7"/>
    </row>
    <row r="52" ht="15" customHeight="1" x14ac:dyDescent="0.25"/>
    <row r="58" ht="15" customHeight="1" x14ac:dyDescent="0.25"/>
  </sheetData>
  <mergeCells count="15">
    <mergeCell ref="B10:B12"/>
    <mergeCell ref="C10:G10"/>
    <mergeCell ref="L11:L12"/>
    <mergeCell ref="E11:E12"/>
    <mergeCell ref="F11:F12"/>
    <mergeCell ref="K11:K12"/>
    <mergeCell ref="H2:L2"/>
    <mergeCell ref="C2:G2"/>
    <mergeCell ref="C11:C12"/>
    <mergeCell ref="D11:D12"/>
    <mergeCell ref="H10:L10"/>
    <mergeCell ref="G11:G12"/>
    <mergeCell ref="H11:H12"/>
    <mergeCell ref="J11:J12"/>
    <mergeCell ref="I11:I12"/>
  </mergeCells>
  <pageMargins left="0.25" right="0.25" top="0.75" bottom="0.75" header="0.3" footer="0.3"/>
  <pageSetup paperSize="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O41"/>
  <sheetViews>
    <sheetView view="pageBreakPreview" topLeftCell="A5" zoomScale="85" zoomScaleNormal="85" zoomScaleSheetLayoutView="85" workbookViewId="0">
      <selection activeCell="B32" sqref="B32"/>
    </sheetView>
  </sheetViews>
  <sheetFormatPr defaultColWidth="9.140625" defaultRowHeight="15" x14ac:dyDescent="0.25"/>
  <cols>
    <col min="1" max="1" width="3.7109375" customWidth="1"/>
    <col min="2" max="7" width="15.7109375" customWidth="1"/>
    <col min="8" max="8" width="5.7109375" customWidth="1"/>
    <col min="9" max="9" width="39" customWidth="1"/>
    <col min="10" max="10" width="9.42578125" customWidth="1"/>
    <col min="14" max="14" width="14" customWidth="1"/>
    <col min="15" max="15" width="20.5703125" customWidth="1"/>
  </cols>
  <sheetData>
    <row r="1" spans="2:15" x14ac:dyDescent="0.25">
      <c r="B1">
        <v>1</v>
      </c>
      <c r="C1">
        <f>B1+1</f>
        <v>2</v>
      </c>
      <c r="D1">
        <f t="shared" ref="D1:G1" si="0">C1+1</f>
        <v>3</v>
      </c>
      <c r="E1">
        <f t="shared" si="0"/>
        <v>4</v>
      </c>
      <c r="F1">
        <f t="shared" si="0"/>
        <v>5</v>
      </c>
      <c r="G1">
        <f t="shared" si="0"/>
        <v>6</v>
      </c>
    </row>
    <row r="2" spans="2:15" x14ac:dyDescent="0.25">
      <c r="B2" s="6" t="s">
        <v>56</v>
      </c>
      <c r="E2" s="6"/>
      <c r="F2" s="6"/>
    </row>
    <row r="3" spans="2:15" ht="15.75" thickBot="1" x14ac:dyDescent="0.3">
      <c r="B3" s="6"/>
      <c r="E3" s="6"/>
      <c r="F3" s="6"/>
    </row>
    <row r="4" spans="2:15" ht="15.75" thickBot="1" x14ac:dyDescent="0.3">
      <c r="C4" s="19"/>
      <c r="D4" s="556" t="s">
        <v>26</v>
      </c>
      <c r="E4" s="557"/>
      <c r="F4" s="557"/>
      <c r="G4" s="558"/>
      <c r="J4" s="49"/>
    </row>
    <row r="5" spans="2:15" ht="35.1" customHeight="1" x14ac:dyDescent="0.25">
      <c r="B5" s="550" t="s">
        <v>0</v>
      </c>
      <c r="C5" s="550" t="s">
        <v>97</v>
      </c>
      <c r="D5" s="565" t="s">
        <v>111</v>
      </c>
      <c r="E5" s="563" t="s">
        <v>49</v>
      </c>
      <c r="F5" s="563" t="s">
        <v>55</v>
      </c>
      <c r="G5" s="561" t="s">
        <v>1</v>
      </c>
      <c r="I5" s="49"/>
    </row>
    <row r="6" spans="2:15" ht="43.5" customHeight="1" thickBot="1" x14ac:dyDescent="0.3">
      <c r="B6" s="551"/>
      <c r="C6" s="551"/>
      <c r="D6" s="566"/>
      <c r="E6" s="564"/>
      <c r="F6" s="564"/>
      <c r="G6" s="562"/>
      <c r="I6" s="560" t="s">
        <v>270</v>
      </c>
      <c r="J6" s="560"/>
      <c r="K6" s="31"/>
    </row>
    <row r="7" spans="2:15" ht="18" customHeight="1" x14ac:dyDescent="0.25">
      <c r="B7" s="1">
        <f>Assumptions!C8</f>
        <v>2027</v>
      </c>
      <c r="C7" s="116">
        <f>IFERROR(VLOOKUP($B7,'Annualized Operations'!$B$13:$L$32,'Annualized Operations'!H$1,FALSE),0)</f>
        <v>26121133.75</v>
      </c>
      <c r="D7" s="110">
        <f>IFERROR(VLOOKUP($B7,'Annualized Operations'!$B$13:$L$32,'Annualized Operations'!K$1,FALSE),0)</f>
        <v>26034862.350000005</v>
      </c>
      <c r="E7" s="112">
        <f>$C7-D7</f>
        <v>86271.399999994785</v>
      </c>
      <c r="F7" s="466">
        <f>E7*$J$19</f>
        <v>2713486.9023418212</v>
      </c>
      <c r="G7" s="467">
        <f>F7*(1+0.07)^-($B7-Assumptions!$C$6)</f>
        <v>1808110.8968034291</v>
      </c>
      <c r="I7" s="64" t="s">
        <v>93</v>
      </c>
      <c r="J7" s="203">
        <v>18.8</v>
      </c>
    </row>
    <row r="8" spans="2:15" x14ac:dyDescent="0.25">
      <c r="B8" s="2">
        <f>B7+1</f>
        <v>2028</v>
      </c>
      <c r="C8" s="117">
        <f>IFERROR(VLOOKUP($B8,'Annualized Operations'!$B$13:$L$32,'Annualized Operations'!H$1,FALSE),0)</f>
        <v>26271200.973076928</v>
      </c>
      <c r="D8" s="111">
        <f>IFERROR(VLOOKUP($B8,'Annualized Operations'!$B$13:$L$32,'Annualized Operations'!K$1,FALSE),0)</f>
        <v>26185011.838461541</v>
      </c>
      <c r="E8" s="93">
        <f t="shared" ref="E8:E26" si="1">$C8-D8</f>
        <v>86189.134615387768</v>
      </c>
      <c r="F8" s="468">
        <f t="shared" ref="F8:F26" si="2">E8*$J$19</f>
        <v>2710899.4162960718</v>
      </c>
      <c r="G8" s="469">
        <f>F8*(1+0.07)^-($B8-Assumptions!$C$6)</f>
        <v>1688211.9117734674</v>
      </c>
      <c r="I8" s="64" t="s">
        <v>43</v>
      </c>
      <c r="J8" s="204">
        <v>32.4</v>
      </c>
      <c r="K8" s="19"/>
    </row>
    <row r="9" spans="2:15" x14ac:dyDescent="0.25">
      <c r="B9" s="2">
        <f t="shared" ref="B9:B26" si="3">B8+1</f>
        <v>2029</v>
      </c>
      <c r="C9" s="117">
        <f>IFERROR(VLOOKUP($B9,'Annualized Operations'!$B$13:$L$32,'Annualized Operations'!H$1,FALSE),0)</f>
        <v>26421268.196153857</v>
      </c>
      <c r="D9" s="111">
        <f>IFERROR(VLOOKUP($B9,'Annualized Operations'!$B$13:$L$32,'Annualized Operations'!K$1,FALSE),0)</f>
        <v>26335161.326923076</v>
      </c>
      <c r="E9" s="93">
        <f t="shared" si="1"/>
        <v>86106.869230780751</v>
      </c>
      <c r="F9" s="468">
        <f t="shared" si="2"/>
        <v>2708311.9302503224</v>
      </c>
      <c r="G9" s="469">
        <f>F9*(1+0.07)^-($B9-Assumptions!$C$6)</f>
        <v>1576262.2014078009</v>
      </c>
      <c r="H9" s="57"/>
      <c r="I9" s="49"/>
      <c r="J9" s="58"/>
      <c r="K9" s="19"/>
      <c r="N9" s="41" t="s">
        <v>211</v>
      </c>
      <c r="O9" s="41" t="s">
        <v>212</v>
      </c>
    </row>
    <row r="10" spans="2:15" ht="14.25" customHeight="1" x14ac:dyDescent="0.25">
      <c r="B10" s="2">
        <f t="shared" si="3"/>
        <v>2030</v>
      </c>
      <c r="C10" s="117">
        <f>IFERROR(VLOOKUP($B10,'Annualized Operations'!$B$13:$L$32,'Annualized Operations'!H$1,FALSE),0)</f>
        <v>26571335.419230789</v>
      </c>
      <c r="D10" s="111">
        <f>IFERROR(VLOOKUP($B10,'Annualized Operations'!$B$13:$L$32,'Annualized Operations'!K$1,FALSE),0)</f>
        <v>26485310.815384615</v>
      </c>
      <c r="E10" s="93">
        <f t="shared" si="1"/>
        <v>86024.603846173733</v>
      </c>
      <c r="F10" s="468">
        <f t="shared" si="2"/>
        <v>2705724.4442045731</v>
      </c>
      <c r="G10" s="469">
        <f>F10*(1+0.07)^-($B10-Assumptions!$C$6)</f>
        <v>1471734.8233376073</v>
      </c>
      <c r="I10" s="560" t="s">
        <v>271</v>
      </c>
      <c r="J10" s="560"/>
      <c r="N10" s="41">
        <v>860</v>
      </c>
      <c r="O10" s="396">
        <v>23000</v>
      </c>
    </row>
    <row r="11" spans="2:15" x14ac:dyDescent="0.25">
      <c r="B11" s="2">
        <f t="shared" si="3"/>
        <v>2031</v>
      </c>
      <c r="C11" s="117">
        <f>IFERROR(VLOOKUP($B11,'Annualized Operations'!$B$13:$L$32,'Annualized Operations'!H$1,FALSE),0)</f>
        <v>26721402.642307717</v>
      </c>
      <c r="D11" s="111">
        <f>IFERROR(VLOOKUP($B11,'Annualized Operations'!$B$13:$L$32,'Annualized Operations'!K$1,FALSE),0)</f>
        <v>26635460.303846151</v>
      </c>
      <c r="E11" s="93">
        <f t="shared" si="1"/>
        <v>85942.338461566716</v>
      </c>
      <c r="F11" s="468">
        <f t="shared" si="2"/>
        <v>2703136.9581588237</v>
      </c>
      <c r="G11" s="469">
        <f>F11*(1+0.07)^-($B11-Assumptions!$C$6)</f>
        <v>1374137.7592232323</v>
      </c>
      <c r="I11" s="64" t="s">
        <v>39</v>
      </c>
      <c r="J11" s="60">
        <f>1-J12</f>
        <v>0.94331300897313586</v>
      </c>
      <c r="K11" s="151"/>
      <c r="N11" s="41">
        <v>790</v>
      </c>
      <c r="O11" s="41">
        <v>17927</v>
      </c>
    </row>
    <row r="12" spans="2:15" x14ac:dyDescent="0.25">
      <c r="B12" s="2">
        <f t="shared" si="3"/>
        <v>2032</v>
      </c>
      <c r="C12" s="117">
        <f>IFERROR(VLOOKUP($B12,'Annualized Operations'!$B$13:$L$32,'Annualized Operations'!H$1,FALSE),0)</f>
        <v>26871469.865384605</v>
      </c>
      <c r="D12" s="111">
        <f>IFERROR(VLOOKUP($B12,'Annualized Operations'!$B$13:$L$32,'Annualized Operations'!K$1,FALSE),0)</f>
        <v>26785609.792307686</v>
      </c>
      <c r="E12" s="93">
        <f t="shared" si="1"/>
        <v>85860.073076918721</v>
      </c>
      <c r="F12" s="468">
        <f t="shared" si="2"/>
        <v>2700549.4721117853</v>
      </c>
      <c r="G12" s="469">
        <f>F12*(1+0.07)^-($B12-Assumptions!$C$6)</f>
        <v>1283011.6004886092</v>
      </c>
      <c r="I12" s="64" t="s">
        <v>40</v>
      </c>
      <c r="J12" s="344">
        <f>N14/O14</f>
        <v>5.66869910268641E-2</v>
      </c>
      <c r="K12" s="152"/>
      <c r="N12" s="41">
        <v>600</v>
      </c>
      <c r="O12" s="41">
        <v>14500</v>
      </c>
    </row>
    <row r="13" spans="2:15" x14ac:dyDescent="0.25">
      <c r="B13" s="2">
        <f t="shared" si="3"/>
        <v>2033</v>
      </c>
      <c r="C13" s="117">
        <f>IFERROR(VLOOKUP($B13,'Annualized Operations'!$B$13:$L$32,'Annualized Operations'!H$1,FALSE),0)</f>
        <v>27021537.088461533</v>
      </c>
      <c r="D13" s="111">
        <f>IFERROR(VLOOKUP($B13,'Annualized Operations'!$B$13:$L$32,'Annualized Operations'!K$1,FALSE),0)</f>
        <v>26935759.280769221</v>
      </c>
      <c r="E13" s="93">
        <f t="shared" si="1"/>
        <v>85777.807692311704</v>
      </c>
      <c r="F13" s="468">
        <f t="shared" si="2"/>
        <v>2697961.9860660359</v>
      </c>
      <c r="G13" s="469">
        <f>F13*(1+0.07)^-($B13-Assumptions!$C$6)</f>
        <v>1197927.3873902059</v>
      </c>
      <c r="I13" s="49"/>
      <c r="J13" s="52"/>
      <c r="N13" s="41">
        <v>1850</v>
      </c>
      <c r="O13" s="41">
        <v>16900</v>
      </c>
    </row>
    <row r="14" spans="2:15" ht="15" customHeight="1" x14ac:dyDescent="0.25">
      <c r="B14" s="2">
        <f t="shared" si="3"/>
        <v>2034</v>
      </c>
      <c r="C14" s="117">
        <f>IFERROR(VLOOKUP($B14,'Annualized Operations'!$B$13:$L$32,'Annualized Operations'!H$1,FALSE),0)</f>
        <v>27171604.311538462</v>
      </c>
      <c r="D14" s="111">
        <f>IFERROR(VLOOKUP($B14,'Annualized Operations'!$B$13:$L$32,'Annualized Operations'!K$1,FALSE),0)</f>
        <v>27085908.769230761</v>
      </c>
      <c r="E14" s="93">
        <f t="shared" si="1"/>
        <v>85695.542307700962</v>
      </c>
      <c r="F14" s="468">
        <f t="shared" si="2"/>
        <v>2695374.5000201692</v>
      </c>
      <c r="G14" s="469">
        <f>F14*(1+0.07)^-($B14-Assumptions!$C$6)</f>
        <v>1118484.5912537125</v>
      </c>
      <c r="I14" s="560" t="s">
        <v>272</v>
      </c>
      <c r="J14" s="560"/>
      <c r="N14" s="41">
        <f>SUM(N10:N13)</f>
        <v>4100</v>
      </c>
      <c r="O14" s="396">
        <f>SUM(O10:O13)</f>
        <v>72327</v>
      </c>
    </row>
    <row r="15" spans="2:15" x14ac:dyDescent="0.25">
      <c r="B15" s="2">
        <f t="shared" si="3"/>
        <v>2035</v>
      </c>
      <c r="C15" s="117">
        <f>IFERROR(VLOOKUP($B15,'Annualized Operations'!$B$13:$L$32,'Annualized Operations'!H$1,FALSE),0)</f>
        <v>27321671.53461539</v>
      </c>
      <c r="D15" s="111">
        <f>IFERROR(VLOOKUP($B15,'Annualized Operations'!$B$13:$L$32,'Annualized Operations'!K$1,FALSE),0)</f>
        <v>27236058.257692296</v>
      </c>
      <c r="E15" s="93">
        <f t="shared" si="1"/>
        <v>85613.276923093945</v>
      </c>
      <c r="F15" s="468">
        <f t="shared" si="2"/>
        <v>2692787.0139744198</v>
      </c>
      <c r="G15" s="469">
        <f>F15*(1+0.07)^-($B15-Assumptions!$C$6)</f>
        <v>1044309.2304068402</v>
      </c>
      <c r="I15" s="64" t="s">
        <v>45</v>
      </c>
      <c r="J15" s="166">
        <v>1.67</v>
      </c>
      <c r="K15" s="89"/>
      <c r="N15" s="98"/>
    </row>
    <row r="16" spans="2:15" x14ac:dyDescent="0.25">
      <c r="B16" s="2">
        <f t="shared" si="3"/>
        <v>2036</v>
      </c>
      <c r="C16" s="117">
        <f>IFERROR(VLOOKUP($B16,'Annualized Operations'!$B$13:$L$32,'Annualized Operations'!H$1,FALSE),0)</f>
        <v>27471738.757692322</v>
      </c>
      <c r="D16" s="111">
        <f>IFERROR(VLOOKUP($B16,'Annualized Operations'!$B$13:$L$32,'Annualized Operations'!K$1,FALSE),0)</f>
        <v>27386207.746153831</v>
      </c>
      <c r="E16" s="93">
        <f t="shared" si="1"/>
        <v>85531.011538490653</v>
      </c>
      <c r="F16" s="468">
        <f t="shared" si="2"/>
        <v>2690199.5279287877</v>
      </c>
      <c r="G16" s="469">
        <f>F16*(1+0.07)^-($B16-Assumptions!$C$6)</f>
        <v>975052.11094154418</v>
      </c>
      <c r="I16" s="64" t="s">
        <v>46</v>
      </c>
      <c r="J16" s="166">
        <v>1</v>
      </c>
    </row>
    <row r="17" spans="1:11" x14ac:dyDescent="0.25">
      <c r="B17" s="2">
        <f t="shared" si="3"/>
        <v>2037</v>
      </c>
      <c r="C17" s="117">
        <f>IFERROR(VLOOKUP($B17,'Annualized Operations'!$B$13:$L$32,'Annualized Operations'!H$1,FALSE),0)</f>
        <v>27621805.980769251</v>
      </c>
      <c r="D17" s="111">
        <f>IFERROR(VLOOKUP($B17,'Annualized Operations'!$B$13:$L$32,'Annualized Operations'!K$1,FALSE),0)</f>
        <v>27536357.234615367</v>
      </c>
      <c r="E17" s="93">
        <f t="shared" si="1"/>
        <v>85448.746153883636</v>
      </c>
      <c r="F17" s="468">
        <f t="shared" si="2"/>
        <v>2687612.0418830384</v>
      </c>
      <c r="G17" s="469">
        <f>F17*(1+0.07)^-($B17-Assumptions!$C$6)</f>
        <v>910387.18404054409</v>
      </c>
      <c r="I17" s="49"/>
      <c r="J17" s="52"/>
      <c r="K17" s="19"/>
    </row>
    <row r="18" spans="1:11" x14ac:dyDescent="0.25">
      <c r="B18" s="2">
        <f t="shared" si="3"/>
        <v>2038</v>
      </c>
      <c r="C18" s="117">
        <f>IFERROR(VLOOKUP($B18,'Annualized Operations'!$B$13:$L$32,'Annualized Operations'!H$1,FALSE),0)</f>
        <v>27771873.203846138</v>
      </c>
      <c r="D18" s="111">
        <f>IFERROR(VLOOKUP($B18,'Annualized Operations'!$B$13:$L$32,'Annualized Operations'!K$1,FALSE),0)</f>
        <v>27686506.723076902</v>
      </c>
      <c r="E18" s="93">
        <f t="shared" si="1"/>
        <v>85366.480769235641</v>
      </c>
      <c r="F18" s="468">
        <f t="shared" si="2"/>
        <v>2685024.555836</v>
      </c>
      <c r="G18" s="469">
        <f>F18*(1+0.07)^-($B18-Assumptions!$C$6)</f>
        <v>850010.01214494987</v>
      </c>
      <c r="I18" s="21" t="s">
        <v>47</v>
      </c>
      <c r="J18" s="19"/>
      <c r="K18" s="19"/>
    </row>
    <row r="19" spans="1:11" x14ac:dyDescent="0.25">
      <c r="B19" s="2">
        <f t="shared" si="3"/>
        <v>2039</v>
      </c>
      <c r="C19" s="117">
        <f>IFERROR(VLOOKUP($B19,'Annualized Operations'!$B$13:$L$32,'Annualized Operations'!H$1,FALSE),0)</f>
        <v>27921940.426923066</v>
      </c>
      <c r="D19" s="111">
        <f>IFERROR(VLOOKUP($B19,'Annualized Operations'!$B$13:$L$32,'Annualized Operations'!K$1,FALSE),0)</f>
        <v>27836656.211538441</v>
      </c>
      <c r="E19" s="93">
        <f t="shared" si="1"/>
        <v>85284.215384624898</v>
      </c>
      <c r="F19" s="468">
        <f t="shared" si="2"/>
        <v>2682437.0697901333</v>
      </c>
      <c r="G19" s="469">
        <f>F19*(1+0.07)^-($B19-Assumptions!$C$6)</f>
        <v>793636.33675434126</v>
      </c>
      <c r="I19" s="41" t="s">
        <v>44</v>
      </c>
      <c r="J19" s="66">
        <f>J11*J7*J15+J12*J8*J16</f>
        <v>31.452913738990969</v>
      </c>
      <c r="K19" s="50"/>
    </row>
    <row r="20" spans="1:11" x14ac:dyDescent="0.25">
      <c r="B20" s="2">
        <f t="shared" si="3"/>
        <v>2040</v>
      </c>
      <c r="C20" s="117">
        <f>IFERROR(VLOOKUP($B20,'Annualized Operations'!$B$13:$L$32,'Annualized Operations'!H$1,FALSE),0)</f>
        <v>28072007.649999995</v>
      </c>
      <c r="D20" s="111">
        <f>IFERROR(VLOOKUP($B20,'Annualized Operations'!$B$13:$L$32,'Annualized Operations'!K$1,FALSE),0)</f>
        <v>27986805.700000018</v>
      </c>
      <c r="E20" s="93">
        <f t="shared" si="1"/>
        <v>85201.949999976903</v>
      </c>
      <c r="F20" s="468">
        <f t="shared" si="2"/>
        <v>2679849.5837430949</v>
      </c>
      <c r="G20" s="469">
        <f>F20*(1+0.07)^-($B20-Assumptions!$C$6)</f>
        <v>741000.74112059525</v>
      </c>
      <c r="I20" s="49"/>
      <c r="J20" s="52"/>
      <c r="K20" s="51"/>
    </row>
    <row r="21" spans="1:11" ht="14.25" customHeight="1" x14ac:dyDescent="0.25">
      <c r="B21" s="2">
        <f t="shared" si="3"/>
        <v>2041</v>
      </c>
      <c r="C21" s="117">
        <f>IFERROR(VLOOKUP($B21,'Annualized Operations'!$B$13:$L$32,'Annualized Operations'!H$1,FALSE),0)</f>
        <v>28222074.873076923</v>
      </c>
      <c r="D21" s="111">
        <f>IFERROR(VLOOKUP($B21,'Annualized Operations'!$B$13:$L$32,'Annualized Operations'!K$1,FALSE),0)</f>
        <v>28136955.188461553</v>
      </c>
      <c r="E21" s="93">
        <f t="shared" si="1"/>
        <v>85119.684615369886</v>
      </c>
      <c r="F21" s="468">
        <f t="shared" si="2"/>
        <v>2677262.0976973455</v>
      </c>
      <c r="G21" s="469">
        <f>F21*(1+0.07)^-($B21-Assumptions!$C$6)</f>
        <v>691855.40155831433</v>
      </c>
      <c r="I21" s="49"/>
      <c r="J21" s="19"/>
      <c r="K21" s="38"/>
    </row>
    <row r="22" spans="1:11" x14ac:dyDescent="0.25">
      <c r="B22" s="2">
        <f t="shared" si="3"/>
        <v>2042</v>
      </c>
      <c r="C22" s="117">
        <f>IFERROR(VLOOKUP($B22,'Annualized Operations'!$B$13:$L$32,'Annualized Operations'!H$1,FALSE),0)</f>
        <v>28372142.096153852</v>
      </c>
      <c r="D22" s="111">
        <f>IFERROR(VLOOKUP($B22,'Annualized Operations'!$B$13:$L$32,'Annualized Operations'!K$1,FALSE),0)</f>
        <v>28287104.676923092</v>
      </c>
      <c r="E22" s="93">
        <f t="shared" si="1"/>
        <v>85037.419230759144</v>
      </c>
      <c r="F22" s="468">
        <f t="shared" si="2"/>
        <v>2674674.6116514793</v>
      </c>
      <c r="G22" s="469">
        <f>F22*(1+0.07)^-($B22-Assumptions!$C$6)</f>
        <v>645968.9214902306</v>
      </c>
      <c r="I22" s="49"/>
      <c r="J22" s="19"/>
      <c r="K22" s="38"/>
    </row>
    <row r="23" spans="1:11" x14ac:dyDescent="0.25">
      <c r="B23" s="2">
        <f t="shared" si="3"/>
        <v>2043</v>
      </c>
      <c r="C23" s="117">
        <f>IFERROR(VLOOKUP($B23,'Annualized Operations'!$B$13:$L$32,'Annualized Operations'!H$1,FALSE),0)</f>
        <v>28522209.319230784</v>
      </c>
      <c r="D23" s="111">
        <f>IFERROR(VLOOKUP($B23,'Annualized Operations'!$B$13:$L$32,'Annualized Operations'!K$1,FALSE),0)</f>
        <v>28437254.165384628</v>
      </c>
      <c r="E23" s="93">
        <f t="shared" si="1"/>
        <v>84955.153846155852</v>
      </c>
      <c r="F23" s="468">
        <f t="shared" si="2"/>
        <v>2672087.1256058468</v>
      </c>
      <c r="G23" s="469">
        <f>F23*(1+0.07)^-($B23-Assumptions!$C$6)</f>
        <v>603125.24275555916</v>
      </c>
      <c r="I23" s="49"/>
      <c r="J23" s="19"/>
      <c r="K23" s="19"/>
    </row>
    <row r="24" spans="1:11" x14ac:dyDescent="0.25">
      <c r="B24" s="2">
        <f t="shared" si="3"/>
        <v>2044</v>
      </c>
      <c r="C24" s="117">
        <f>IFERROR(VLOOKUP($B24,'Annualized Operations'!$B$13:$L$32,'Annualized Operations'!H$1,FALSE),0)</f>
        <v>28672276.542307712</v>
      </c>
      <c r="D24" s="111">
        <f>IFERROR(VLOOKUP($B24,'Annualized Operations'!$B$13:$L$32,'Annualized Operations'!K$1,FALSE),0)</f>
        <v>28587403.653846163</v>
      </c>
      <c r="E24" s="93">
        <f t="shared" si="1"/>
        <v>84872.888461548835</v>
      </c>
      <c r="F24" s="468">
        <f t="shared" si="2"/>
        <v>2669499.6395600974</v>
      </c>
      <c r="G24" s="469">
        <f>F24*(1+0.07)^-($B24-Assumptions!$C$6)</f>
        <v>563122.62905636965</v>
      </c>
      <c r="I24" s="21"/>
      <c r="J24" s="35"/>
      <c r="K24" s="19"/>
    </row>
    <row r="25" spans="1:11" x14ac:dyDescent="0.25">
      <c r="B25" s="2">
        <f t="shared" si="3"/>
        <v>2045</v>
      </c>
      <c r="C25" s="117">
        <f>IFERROR(VLOOKUP($B25,'Annualized Operations'!$B$13:$L$32,'Annualized Operations'!H$1,FALSE),0)</f>
        <v>28822343.7653846</v>
      </c>
      <c r="D25" s="111">
        <f>IFERROR(VLOOKUP($B25,'Annualized Operations'!$B$13:$L$32,'Annualized Operations'!K$1,FALSE),0)</f>
        <v>28737553.142307699</v>
      </c>
      <c r="E25" s="93">
        <f t="shared" si="1"/>
        <v>84790.62307690084</v>
      </c>
      <c r="F25" s="468">
        <f t="shared" si="2"/>
        <v>2666912.153513059</v>
      </c>
      <c r="G25" s="469">
        <f>F25*(1+0.07)^-($B25-Assumptions!$C$6)</f>
        <v>525772.7167654651</v>
      </c>
      <c r="I25" s="49"/>
      <c r="J25" s="33"/>
      <c r="K25" s="19"/>
    </row>
    <row r="26" spans="1:11" ht="15" customHeight="1" thickBot="1" x14ac:dyDescent="0.3">
      <c r="B26" s="3">
        <f t="shared" si="3"/>
        <v>2046</v>
      </c>
      <c r="C26" s="118">
        <f>IFERROR(VLOOKUP($B26,'Annualized Operations'!$B$13:$L$32,'Annualized Operations'!H$1,FALSE),0)</f>
        <v>28972410.988461528</v>
      </c>
      <c r="D26" s="113">
        <f>IFERROR(VLOOKUP($B26,'Annualized Operations'!$B$13:$L$32,'Annualized Operations'!K$1,FALSE),0)</f>
        <v>28887702.630769238</v>
      </c>
      <c r="E26" s="95">
        <f t="shared" si="1"/>
        <v>84708.357692290097</v>
      </c>
      <c r="F26" s="470">
        <f t="shared" si="2"/>
        <v>2664324.6674671923</v>
      </c>
      <c r="G26" s="471">
        <f>F26*(1+0.07)^-($B26-Assumptions!$C$6)</f>
        <v>490899.6286330446</v>
      </c>
      <c r="I26" s="49"/>
      <c r="K26" s="22"/>
    </row>
    <row r="27" spans="1:11" ht="15" customHeight="1" thickBot="1" x14ac:dyDescent="0.3">
      <c r="B27" s="4"/>
      <c r="C27" s="47"/>
      <c r="D27" s="47"/>
      <c r="E27" s="47"/>
      <c r="F27" s="114" t="s">
        <v>2</v>
      </c>
      <c r="G27" s="115">
        <f>SUM(G7:G26)</f>
        <v>20353021.327345856</v>
      </c>
    </row>
    <row r="28" spans="1:11" ht="15" customHeight="1" x14ac:dyDescent="0.25">
      <c r="B28" s="6" t="s">
        <v>3</v>
      </c>
    </row>
    <row r="29" spans="1:11" ht="15" customHeight="1" x14ac:dyDescent="0.25">
      <c r="A29" s="7" t="s">
        <v>17</v>
      </c>
      <c r="B29" s="559" t="s">
        <v>710</v>
      </c>
      <c r="C29" s="559"/>
      <c r="D29" s="559"/>
      <c r="E29" s="559"/>
      <c r="F29" s="559"/>
      <c r="G29" s="559"/>
      <c r="I29" s="20"/>
      <c r="J29" s="20"/>
      <c r="K29" s="20"/>
    </row>
    <row r="30" spans="1:11" ht="15" customHeight="1" x14ac:dyDescent="0.25">
      <c r="B30" s="559"/>
      <c r="C30" s="559"/>
      <c r="D30" s="559"/>
      <c r="E30" s="559"/>
      <c r="F30" s="559"/>
      <c r="G30" s="559"/>
      <c r="I30" s="20"/>
      <c r="J30" s="20"/>
      <c r="K30" s="20"/>
    </row>
    <row r="31" spans="1:11" ht="51.75" customHeight="1" x14ac:dyDescent="0.25">
      <c r="B31" s="559"/>
      <c r="C31" s="559"/>
      <c r="D31" s="559"/>
      <c r="E31" s="559"/>
      <c r="F31" s="559"/>
      <c r="G31" s="559"/>
      <c r="I31" s="20"/>
      <c r="J31" s="20"/>
      <c r="K31" s="20"/>
    </row>
    <row r="32" spans="1:11" ht="15" customHeight="1" x14ac:dyDescent="0.25">
      <c r="B32" s="88"/>
      <c r="C32" s="88"/>
      <c r="D32" s="88"/>
      <c r="E32" s="88"/>
      <c r="F32" s="88"/>
      <c r="I32" s="20"/>
      <c r="J32" s="20"/>
      <c r="K32" s="20"/>
    </row>
    <row r="33" spans="1:11" ht="15" customHeight="1" x14ac:dyDescent="0.25">
      <c r="A33" s="7" t="s">
        <v>16</v>
      </c>
      <c r="B33" s="559" t="s">
        <v>213</v>
      </c>
      <c r="C33" s="559"/>
      <c r="D33" s="559"/>
      <c r="E33" s="559"/>
      <c r="F33" s="559"/>
      <c r="G33" s="559"/>
      <c r="I33" s="20"/>
      <c r="J33" s="20"/>
      <c r="K33" s="20"/>
    </row>
    <row r="34" spans="1:11" ht="15" customHeight="1" x14ac:dyDescent="0.25">
      <c r="A34" s="7"/>
      <c r="B34" s="559"/>
      <c r="C34" s="559"/>
      <c r="D34" s="559"/>
      <c r="E34" s="559"/>
      <c r="F34" s="559"/>
      <c r="G34" s="559"/>
      <c r="I34" s="20"/>
      <c r="J34" s="20"/>
      <c r="K34" s="20"/>
    </row>
    <row r="35" spans="1:11" ht="15" customHeight="1" x14ac:dyDescent="0.25">
      <c r="A35" s="7"/>
      <c r="B35" s="559"/>
      <c r="C35" s="559"/>
      <c r="D35" s="559"/>
      <c r="E35" s="559"/>
      <c r="F35" s="559"/>
      <c r="G35" s="559"/>
      <c r="I35" s="20"/>
      <c r="J35" s="20"/>
      <c r="K35" s="20"/>
    </row>
    <row r="36" spans="1:11" x14ac:dyDescent="0.25">
      <c r="B36" s="167"/>
      <c r="C36" s="167"/>
      <c r="D36" s="167"/>
      <c r="E36" s="167"/>
      <c r="F36" s="167"/>
      <c r="I36" s="20"/>
      <c r="J36" s="20"/>
      <c r="K36" s="20"/>
    </row>
    <row r="37" spans="1:11" ht="15" customHeight="1" x14ac:dyDescent="0.25">
      <c r="A37" s="7" t="s">
        <v>108</v>
      </c>
      <c r="B37" s="526" t="s">
        <v>133</v>
      </c>
      <c r="C37" s="526"/>
      <c r="D37" s="526"/>
      <c r="E37" s="526"/>
      <c r="F37" s="526"/>
      <c r="G37" s="526"/>
      <c r="I37" s="20"/>
      <c r="J37" s="20"/>
      <c r="K37" s="20"/>
    </row>
    <row r="38" spans="1:11" ht="15" customHeight="1" x14ac:dyDescent="0.25">
      <c r="B38" s="526"/>
      <c r="C38" s="526"/>
      <c r="D38" s="526"/>
      <c r="E38" s="526"/>
      <c r="F38" s="526"/>
      <c r="G38" s="526"/>
      <c r="I38" s="316"/>
      <c r="J38" s="20"/>
      <c r="K38" s="20"/>
    </row>
    <row r="39" spans="1:11" ht="15" customHeight="1" x14ac:dyDescent="0.25">
      <c r="B39" s="526"/>
      <c r="C39" s="526"/>
      <c r="D39" s="526"/>
      <c r="E39" s="526"/>
      <c r="F39" s="526"/>
      <c r="G39" s="526"/>
    </row>
    <row r="40" spans="1:11" ht="15" customHeight="1" x14ac:dyDescent="0.25">
      <c r="B40" s="526"/>
      <c r="C40" s="526"/>
      <c r="D40" s="526"/>
      <c r="E40" s="526"/>
      <c r="F40" s="526"/>
      <c r="G40" s="526"/>
    </row>
    <row r="41" spans="1:11" x14ac:dyDescent="0.25">
      <c r="B41" s="526"/>
      <c r="C41" s="526"/>
      <c r="D41" s="526"/>
      <c r="E41" s="526"/>
      <c r="F41" s="526"/>
      <c r="G41" s="526"/>
    </row>
  </sheetData>
  <mergeCells count="13">
    <mergeCell ref="D4:G4"/>
    <mergeCell ref="B29:G31"/>
    <mergeCell ref="B33:G35"/>
    <mergeCell ref="B37:G41"/>
    <mergeCell ref="I14:J14"/>
    <mergeCell ref="G5:G6"/>
    <mergeCell ref="I6:J6"/>
    <mergeCell ref="I10:J10"/>
    <mergeCell ref="F5:F6"/>
    <mergeCell ref="B5:B6"/>
    <mergeCell ref="C5:C6"/>
    <mergeCell ref="D5:D6"/>
    <mergeCell ref="E5:E6"/>
  </mergeCells>
  <pageMargins left="0.25" right="0.25" top="0.75" bottom="0.75" header="0.3" footer="0.3"/>
  <pageSetup paperSize="11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K43"/>
  <sheetViews>
    <sheetView view="pageBreakPreview" topLeftCell="A8" zoomScale="85" zoomScaleNormal="85" zoomScaleSheetLayoutView="85" workbookViewId="0">
      <selection activeCell="B35" sqref="B35"/>
    </sheetView>
  </sheetViews>
  <sheetFormatPr defaultColWidth="9.140625" defaultRowHeight="15" x14ac:dyDescent="0.25"/>
  <cols>
    <col min="1" max="1" width="3.7109375" customWidth="1"/>
    <col min="2" max="3" width="15.85546875" customWidth="1"/>
    <col min="4" max="4" width="17.7109375" customWidth="1"/>
    <col min="5" max="7" width="15.85546875" customWidth="1"/>
    <col min="8" max="8" width="5.7109375" customWidth="1"/>
    <col min="9" max="9" width="32" customWidth="1"/>
    <col min="10" max="11" width="20" customWidth="1"/>
  </cols>
  <sheetData>
    <row r="1" spans="2:11" x14ac:dyDescent="0.25">
      <c r="B1">
        <v>1</v>
      </c>
      <c r="C1">
        <f>B1+1</f>
        <v>2</v>
      </c>
      <c r="D1">
        <f t="shared" ref="D1:G1" si="0">C1+1</f>
        <v>3</v>
      </c>
      <c r="E1">
        <f t="shared" si="0"/>
        <v>4</v>
      </c>
      <c r="F1">
        <f t="shared" si="0"/>
        <v>5</v>
      </c>
      <c r="G1">
        <f t="shared" si="0"/>
        <v>6</v>
      </c>
    </row>
    <row r="2" spans="2:11" x14ac:dyDescent="0.25">
      <c r="B2" s="6" t="s">
        <v>90</v>
      </c>
      <c r="E2" s="6"/>
      <c r="F2" s="6"/>
    </row>
    <row r="3" spans="2:11" ht="15.75" thickBot="1" x14ac:dyDescent="0.3">
      <c r="B3" s="6"/>
      <c r="E3" s="6"/>
      <c r="F3" s="6"/>
    </row>
    <row r="4" spans="2:11" ht="15.75" thickBot="1" x14ac:dyDescent="0.3">
      <c r="C4" s="19"/>
      <c r="D4" s="556" t="s">
        <v>26</v>
      </c>
      <c r="E4" s="557"/>
      <c r="F4" s="557"/>
      <c r="G4" s="558"/>
    </row>
    <row r="5" spans="2:11" ht="35.1" customHeight="1" x14ac:dyDescent="0.25">
      <c r="B5" s="550" t="s">
        <v>0</v>
      </c>
      <c r="C5" s="550" t="s">
        <v>80</v>
      </c>
      <c r="D5" s="565" t="s">
        <v>112</v>
      </c>
      <c r="E5" s="563" t="s">
        <v>49</v>
      </c>
      <c r="F5" s="563" t="s">
        <v>98</v>
      </c>
      <c r="G5" s="561" t="s">
        <v>1</v>
      </c>
    </row>
    <row r="6" spans="2:11" ht="43.5" customHeight="1" thickBot="1" x14ac:dyDescent="0.3">
      <c r="B6" s="551"/>
      <c r="C6" s="551"/>
      <c r="D6" s="566"/>
      <c r="E6" s="564"/>
      <c r="F6" s="564"/>
      <c r="G6" s="562"/>
      <c r="I6" s="560" t="s">
        <v>273</v>
      </c>
      <c r="J6" s="560"/>
    </row>
    <row r="7" spans="2:11" ht="18" customHeight="1" x14ac:dyDescent="0.25">
      <c r="B7" s="1">
        <f>Assumptions!C8</f>
        <v>2027</v>
      </c>
      <c r="C7" s="116">
        <f>IFERROR(VLOOKUP($B7,'Annualized Operations'!$B$13:$L$32,'Annualized Operations'!C$1,FALSE),0)</f>
        <v>1353156088.5749993</v>
      </c>
      <c r="D7" s="110">
        <f>IFERROR(VLOOKUP($B7,'Annualized Operations'!$B$13:$L$32,'Annualized Operations'!F$1,FALSE),0)</f>
        <v>1358868486.3999999</v>
      </c>
      <c r="E7" s="112">
        <f>$C7-D7</f>
        <v>-5712397.8250005245</v>
      </c>
      <c r="F7" s="453">
        <f>E7*$J$15</f>
        <v>-1604104.8289812303</v>
      </c>
      <c r="G7" s="454">
        <f>F7*(1+0.07)^-($B7-Assumptions!$C$6)</f>
        <v>-1068882.7789781594</v>
      </c>
      <c r="I7" s="64" t="s">
        <v>37</v>
      </c>
      <c r="J7" s="203">
        <f>0.28*J18</f>
        <v>0.26173501478080385</v>
      </c>
    </row>
    <row r="8" spans="2:11" x14ac:dyDescent="0.25">
      <c r="B8" s="2">
        <f>B7+1</f>
        <v>2028</v>
      </c>
      <c r="C8" s="117">
        <f>IFERROR(VLOOKUP($B8,'Annualized Operations'!$B$13:$L$32,'Annualized Operations'!C$1,FALSE),0)</f>
        <v>1360009730.4961548</v>
      </c>
      <c r="D8" s="111">
        <f>IFERROR(VLOOKUP($B8,'Annualized Operations'!$B$13:$L$32,'Annualized Operations'!F$1,FALSE),0)</f>
        <v>1365532304.3153825</v>
      </c>
      <c r="E8" s="93">
        <f t="shared" ref="E8:E26" si="1">$C8-D8</f>
        <v>-5522573.8192276955</v>
      </c>
      <c r="F8" s="455">
        <f t="shared" ref="F8:F26" si="2">E8*$J$15</f>
        <v>-1550800.137388479</v>
      </c>
      <c r="G8" s="456">
        <f>F8*(1+0.07)^-($B8-Assumptions!$C$6)</f>
        <v>-965760.38527326367</v>
      </c>
      <c r="I8" s="64" t="s">
        <v>38</v>
      </c>
      <c r="J8" s="203">
        <f>0.64*J18</f>
        <v>0.59825146235612303</v>
      </c>
    </row>
    <row r="9" spans="2:11" x14ac:dyDescent="0.25">
      <c r="B9" s="2">
        <f t="shared" ref="B9:B26" si="3">B8+1</f>
        <v>2029</v>
      </c>
      <c r="C9" s="117">
        <f>IFERROR(VLOOKUP($B9,'Annualized Operations'!$B$13:$L$32,'Annualized Operations'!C$1,FALSE),0)</f>
        <v>1366863372.4173076</v>
      </c>
      <c r="D9" s="111">
        <f>IFERROR(VLOOKUP($B9,'Annualized Operations'!$B$13:$L$32,'Annualized Operations'!F$1,FALSE),0)</f>
        <v>1372196122.230768</v>
      </c>
      <c r="E9" s="93">
        <f t="shared" si="1"/>
        <v>-5332749.81346035</v>
      </c>
      <c r="F9" s="455">
        <f t="shared" si="2"/>
        <v>-1497495.4457972676</v>
      </c>
      <c r="G9" s="456">
        <f>F9*(1+0.07)^-($B9-Assumptions!$C$6)</f>
        <v>-871555.98349869077</v>
      </c>
      <c r="H9" s="57"/>
      <c r="I9" s="49"/>
      <c r="J9" s="58"/>
      <c r="K9" s="57"/>
    </row>
    <row r="10" spans="2:11" ht="14.25" customHeight="1" x14ac:dyDescent="0.25">
      <c r="B10" s="2">
        <f t="shared" si="3"/>
        <v>2030</v>
      </c>
      <c r="C10" s="117">
        <f>IFERROR(VLOOKUP($B10,'Annualized Operations'!$B$13:$L$32,'Annualized Operations'!C$1,FALSE),0)</f>
        <v>1373717014.3384631</v>
      </c>
      <c r="D10" s="111">
        <f>IFERROR(VLOOKUP($B10,'Annualized Operations'!$B$13:$L$32,'Annualized Operations'!F$1,FALSE),0)</f>
        <v>1378859940.1461535</v>
      </c>
      <c r="E10" s="93">
        <f t="shared" si="1"/>
        <v>-5142925.807690382</v>
      </c>
      <c r="F10" s="455">
        <f t="shared" si="2"/>
        <v>-1444190.7542053198</v>
      </c>
      <c r="G10" s="456">
        <f>F10*(1+0.07)^-($B10-Assumptions!$C$6)</f>
        <v>-785544.08194032311</v>
      </c>
      <c r="I10" s="560" t="s">
        <v>274</v>
      </c>
      <c r="J10" s="560"/>
    </row>
    <row r="11" spans="2:11" x14ac:dyDescent="0.25">
      <c r="B11" s="2">
        <f t="shared" si="3"/>
        <v>2031</v>
      </c>
      <c r="C11" s="117">
        <f>IFERROR(VLOOKUP($B11,'Annualized Operations'!$B$13:$L$32,'Annualized Operations'!C$1,FALSE),0)</f>
        <v>1380570656.2596157</v>
      </c>
      <c r="D11" s="111">
        <f>IFERROR(VLOOKUP($B11,'Annualized Operations'!$B$13:$L$32,'Annualized Operations'!F$1,FALSE),0)</f>
        <v>1385523758.0615363</v>
      </c>
      <c r="E11" s="93">
        <f t="shared" si="1"/>
        <v>-4953101.8019206524</v>
      </c>
      <c r="F11" s="455">
        <f t="shared" si="2"/>
        <v>-1390886.0626134388</v>
      </c>
      <c r="G11" s="456">
        <f>F11*(1+0.07)^-($B11-Assumptions!$C$6)</f>
        <v>-707055.94536958635</v>
      </c>
      <c r="I11" s="64" t="s">
        <v>39</v>
      </c>
      <c r="J11" s="60">
        <f>1-J12</f>
        <v>0.94331300897313586</v>
      </c>
    </row>
    <row r="12" spans="2:11" x14ac:dyDescent="0.25">
      <c r="B12" s="2">
        <f t="shared" si="3"/>
        <v>2032</v>
      </c>
      <c r="C12" s="117">
        <f>IFERROR(VLOOKUP($B12,'Annualized Operations'!$B$13:$L$32,'Annualized Operations'!C$1,FALSE),0)</f>
        <v>1387424298.1807685</v>
      </c>
      <c r="D12" s="111">
        <f>IFERROR(VLOOKUP($B12,'Annualized Operations'!$B$13:$L$32,'Annualized Operations'!F$1,FALSE),0)</f>
        <v>1392187575.9769218</v>
      </c>
      <c r="E12" s="93">
        <f t="shared" si="1"/>
        <v>-4763277.796153307</v>
      </c>
      <c r="F12" s="455">
        <f t="shared" si="2"/>
        <v>-1337581.3710222275</v>
      </c>
      <c r="G12" s="456">
        <f>F12*(1+0.07)^-($B12-Assumptions!$C$6)</f>
        <v>-635475.27395489218</v>
      </c>
      <c r="I12" s="64" t="s">
        <v>40</v>
      </c>
      <c r="J12" s="60">
        <f>'Travel Time Cost Savings'!J12</f>
        <v>5.66869910268641E-2</v>
      </c>
      <c r="K12" s="49"/>
    </row>
    <row r="13" spans="2:11" x14ac:dyDescent="0.25">
      <c r="B13" s="2">
        <f t="shared" si="3"/>
        <v>2033</v>
      </c>
      <c r="C13" s="117">
        <f>IFERROR(VLOOKUP($B13,'Annualized Operations'!$B$13:$L$32,'Annualized Operations'!C$1,FALSE),0)</f>
        <v>1394277940.1019239</v>
      </c>
      <c r="D13" s="111">
        <f>IFERROR(VLOOKUP($B13,'Annualized Operations'!$B$13:$L$32,'Annualized Operations'!F$1,FALSE),0)</f>
        <v>1398851393.8923073</v>
      </c>
      <c r="E13" s="93">
        <f t="shared" si="1"/>
        <v>-4573453.7903833389</v>
      </c>
      <c r="F13" s="455">
        <f t="shared" si="2"/>
        <v>-1284276.6794302796</v>
      </c>
      <c r="G13" s="456">
        <f>F13*(1+0.07)^-($B13-Assumptions!$C$6)</f>
        <v>-570234.20464102412</v>
      </c>
      <c r="I13" s="49"/>
      <c r="J13" s="52"/>
    </row>
    <row r="14" spans="2:11" ht="15" customHeight="1" x14ac:dyDescent="0.25">
      <c r="B14" s="2">
        <f t="shared" si="3"/>
        <v>2034</v>
      </c>
      <c r="C14" s="117">
        <f>IFERROR(VLOOKUP($B14,'Annualized Operations'!$B$13:$L$32,'Annualized Operations'!C$1,FALSE),0)</f>
        <v>1401131582.0230765</v>
      </c>
      <c r="D14" s="111">
        <f>IFERROR(VLOOKUP($B14,'Annualized Operations'!$B$13:$L$32,'Annualized Operations'!F$1,FALSE),0)</f>
        <v>1405515211.8076899</v>
      </c>
      <c r="E14" s="93">
        <f t="shared" si="1"/>
        <v>-4383629.7846133709</v>
      </c>
      <c r="F14" s="455">
        <f t="shared" si="2"/>
        <v>-1230971.9878383316</v>
      </c>
      <c r="G14" s="456">
        <f>F14*(1+0.07)^-($B14-Assumptions!$C$6)</f>
        <v>-510809.61129958887</v>
      </c>
      <c r="I14" s="21" t="s">
        <v>41</v>
      </c>
      <c r="J14" s="19"/>
    </row>
    <row r="15" spans="2:11" x14ac:dyDescent="0.25">
      <c r="B15" s="2">
        <f t="shared" si="3"/>
        <v>2035</v>
      </c>
      <c r="C15" s="117">
        <f>IFERROR(VLOOKUP($B15,'Annualized Operations'!$B$13:$L$32,'Annualized Operations'!C$1,FALSE),0)</f>
        <v>1407985223.944232</v>
      </c>
      <c r="D15" s="111">
        <f>IFERROR(VLOOKUP($B15,'Annualized Operations'!$B$13:$L$32,'Annualized Operations'!F$1,FALSE),0)</f>
        <v>1412179029.7230754</v>
      </c>
      <c r="E15" s="93">
        <f t="shared" si="1"/>
        <v>-4193805.7788434029</v>
      </c>
      <c r="F15" s="455">
        <f t="shared" si="2"/>
        <v>-1177667.2962463838</v>
      </c>
      <c r="G15" s="456">
        <f>F15*(1+0.07)^-($B15-Assumptions!$C$6)</f>
        <v>-456719.68166660517</v>
      </c>
      <c r="I15" s="41" t="s">
        <v>42</v>
      </c>
      <c r="J15" s="66">
        <f>J11*J7+J12*J8</f>
        <v>0.28081111962489813</v>
      </c>
    </row>
    <row r="16" spans="2:11" x14ac:dyDescent="0.25">
      <c r="B16" s="2">
        <f t="shared" si="3"/>
        <v>2036</v>
      </c>
      <c r="C16" s="117">
        <f>IFERROR(VLOOKUP($B16,'Annualized Operations'!$B$13:$L$32,'Annualized Operations'!C$1,FALSE),0)</f>
        <v>1414838865.8653848</v>
      </c>
      <c r="D16" s="111">
        <f>IFERROR(VLOOKUP($B16,'Annualized Operations'!$B$13:$L$32,'Annualized Operations'!F$1,FALSE),0)</f>
        <v>1418842847.6384609</v>
      </c>
      <c r="E16" s="93">
        <f t="shared" si="1"/>
        <v>-4003981.7730760574</v>
      </c>
      <c r="F16" s="455">
        <f t="shared" si="2"/>
        <v>-1124362.6046551724</v>
      </c>
      <c r="G16" s="456">
        <f>F16*(1+0.07)^-($B16-Assumptions!$C$6)</f>
        <v>-407520.75069198332</v>
      </c>
    </row>
    <row r="17" spans="1:11" x14ac:dyDescent="0.25">
      <c r="B17" s="2">
        <f t="shared" si="3"/>
        <v>2037</v>
      </c>
      <c r="C17" s="117">
        <f>IFERROR(VLOOKUP($B17,'Annualized Operations'!$B$13:$L$32,'Annualized Operations'!C$1,FALSE),0)</f>
        <v>1421692507.7865376</v>
      </c>
      <c r="D17" s="111">
        <f>IFERROR(VLOOKUP($B17,'Annualized Operations'!$B$13:$L$32,'Annualized Operations'!F$1,FALSE),0)</f>
        <v>1425506665.5538437</v>
      </c>
      <c r="E17" s="93">
        <f t="shared" si="1"/>
        <v>-3814157.7673060894</v>
      </c>
      <c r="F17" s="455">
        <f t="shared" si="2"/>
        <v>-1071057.9130632246</v>
      </c>
      <c r="G17" s="456">
        <f>F17*(1+0.07)^-($B17-Assumptions!$C$6)</f>
        <v>-362804.37139833486</v>
      </c>
      <c r="I17" s="567" t="s">
        <v>237</v>
      </c>
      <c r="J17" s="567"/>
    </row>
    <row r="18" spans="1:11" x14ac:dyDescent="0.25">
      <c r="B18" s="2">
        <f t="shared" si="3"/>
        <v>2038</v>
      </c>
      <c r="C18" s="117">
        <f>IFERROR(VLOOKUP($B18,'Annualized Operations'!$B$13:$L$32,'Annualized Operations'!C$1,FALSE),0)</f>
        <v>1428546149.7076931</v>
      </c>
      <c r="D18" s="111">
        <f>IFERROR(VLOOKUP($B18,'Annualized Operations'!$B$13:$L$32,'Annualized Operations'!F$1,FALSE),0)</f>
        <v>1432170483.4692292</v>
      </c>
      <c r="E18" s="93">
        <f t="shared" si="1"/>
        <v>-3624333.7615361214</v>
      </c>
      <c r="F18" s="455">
        <f t="shared" si="2"/>
        <v>-1017753.2214712768</v>
      </c>
      <c r="G18" s="456">
        <f>F18*(1+0.07)^-($B18-Assumptions!$C$6)</f>
        <v>-322194.60573015397</v>
      </c>
      <c r="I18" s="459" t="s">
        <v>691</v>
      </c>
      <c r="J18" s="395">
        <f>118.895/127.192</f>
        <v>0.93476790993144221</v>
      </c>
      <c r="K18" s="345"/>
    </row>
    <row r="19" spans="1:11" x14ac:dyDescent="0.25">
      <c r="B19" s="2">
        <f t="shared" si="3"/>
        <v>2039</v>
      </c>
      <c r="C19" s="117">
        <f>IFERROR(VLOOKUP($B19,'Annualized Operations'!$B$13:$L$32,'Annualized Operations'!C$1,FALSE),0)</f>
        <v>1435399791.6288457</v>
      </c>
      <c r="D19" s="111">
        <f>IFERROR(VLOOKUP($B19,'Annualized Operations'!$B$13:$L$32,'Annualized Operations'!F$1,FALSE),0)</f>
        <v>1438834301.3846147</v>
      </c>
      <c r="E19" s="93">
        <f t="shared" si="1"/>
        <v>-3434509.7557690144</v>
      </c>
      <c r="F19" s="455">
        <f t="shared" si="2"/>
        <v>-964448.52988013241</v>
      </c>
      <c r="G19" s="456">
        <f>F19*(1+0.07)^-($B19-Assumptions!$C$6)</f>
        <v>-285345.51914094394</v>
      </c>
    </row>
    <row r="20" spans="1:11" x14ac:dyDescent="0.25">
      <c r="B20" s="2">
        <f t="shared" si="3"/>
        <v>2040</v>
      </c>
      <c r="C20" s="117">
        <f>IFERROR(VLOOKUP($B20,'Annualized Operations'!$B$13:$L$32,'Annualized Operations'!C$1,FALSE),0)</f>
        <v>1442253433.5500011</v>
      </c>
      <c r="D20" s="111">
        <f>IFERROR(VLOOKUP($B20,'Annualized Operations'!$B$13:$L$32,'Annualized Operations'!F$1,FALSE),0)</f>
        <v>1445498119.3000002</v>
      </c>
      <c r="E20" s="93">
        <f t="shared" si="1"/>
        <v>-3244685.7499990463</v>
      </c>
      <c r="F20" s="455">
        <f t="shared" si="2"/>
        <v>-911143.83828818449</v>
      </c>
      <c r="G20" s="456">
        <f>F20*(1+0.07)^-($B20-Assumptions!$C$6)</f>
        <v>-251938.86385816379</v>
      </c>
    </row>
    <row r="21" spans="1:11" ht="14.25" customHeight="1" x14ac:dyDescent="0.25">
      <c r="B21" s="2">
        <f t="shared" si="3"/>
        <v>2041</v>
      </c>
      <c r="C21" s="117">
        <f>IFERROR(VLOOKUP($B21,'Annualized Operations'!$B$13:$L$32,'Annualized Operations'!C$1,FALSE),0)</f>
        <v>1449107075.471154</v>
      </c>
      <c r="D21" s="111">
        <f>IFERROR(VLOOKUP($B21,'Annualized Operations'!$B$13:$L$32,'Annualized Operations'!F$1,FALSE),0)</f>
        <v>1452161937.2153828</v>
      </c>
      <c r="E21" s="93">
        <f t="shared" si="1"/>
        <v>-3054861.7442288399</v>
      </c>
      <c r="F21" s="455">
        <f t="shared" si="2"/>
        <v>-857839.14669616974</v>
      </c>
      <c r="G21" s="456">
        <f>F21*(1+0.07)^-($B21-Assumptions!$C$6)</f>
        <v>-221681.9368639242</v>
      </c>
    </row>
    <row r="22" spans="1:11" x14ac:dyDescent="0.25">
      <c r="B22" s="2">
        <f t="shared" si="3"/>
        <v>2042</v>
      </c>
      <c r="C22" s="117">
        <f>IFERROR(VLOOKUP($B22,'Annualized Operations'!$B$13:$L$32,'Annualized Operations'!C$1,FALSE),0)</f>
        <v>1455960717.3923094</v>
      </c>
      <c r="D22" s="111">
        <f>IFERROR(VLOOKUP($B22,'Annualized Operations'!$B$13:$L$32,'Annualized Operations'!F$1,FALSE),0)</f>
        <v>1458825755.1307683</v>
      </c>
      <c r="E22" s="93">
        <f t="shared" si="1"/>
        <v>-2865037.7384588718</v>
      </c>
      <c r="F22" s="455">
        <f t="shared" si="2"/>
        <v>-804534.45510422182</v>
      </c>
      <c r="G22" s="456">
        <f>F22*(1+0.07)^-($B22-Assumptions!$C$6)</f>
        <v>-194305.59964246003</v>
      </c>
    </row>
    <row r="23" spans="1:11" x14ac:dyDescent="0.25">
      <c r="B23" s="2">
        <f t="shared" si="3"/>
        <v>2043</v>
      </c>
      <c r="C23" s="117">
        <f>IFERROR(VLOOKUP($B23,'Annualized Operations'!$B$13:$L$32,'Annualized Operations'!C$1,FALSE),0)</f>
        <v>1462814359.313462</v>
      </c>
      <c r="D23" s="111">
        <f>IFERROR(VLOOKUP($B23,'Annualized Operations'!$B$13:$L$32,'Annualized Operations'!F$1,FALSE),0)</f>
        <v>1465489573.0461538</v>
      </c>
      <c r="E23" s="93">
        <f t="shared" si="1"/>
        <v>-2675213.7326917648</v>
      </c>
      <c r="F23" s="455">
        <f t="shared" si="2"/>
        <v>-751229.7635130774</v>
      </c>
      <c r="G23" s="456">
        <f>F23*(1+0.07)^-($B23-Assumptions!$C$6)</f>
        <v>-169562.44769949155</v>
      </c>
    </row>
    <row r="24" spans="1:11" x14ac:dyDescent="0.25">
      <c r="B24" s="2">
        <f t="shared" si="3"/>
        <v>2044</v>
      </c>
      <c r="C24" s="117">
        <f>IFERROR(VLOOKUP($B24,'Annualized Operations'!$B$13:$L$32,'Annualized Operations'!C$1,FALSE),0)</f>
        <v>1469668001.2346148</v>
      </c>
      <c r="D24" s="111">
        <f>IFERROR(VLOOKUP($B24,'Annualized Operations'!$B$13:$L$32,'Annualized Operations'!F$1,FALSE),0)</f>
        <v>1472153390.9615366</v>
      </c>
      <c r="E24" s="93">
        <f t="shared" si="1"/>
        <v>-2485389.7269217968</v>
      </c>
      <c r="F24" s="455">
        <f t="shared" si="2"/>
        <v>-697925.07192112959</v>
      </c>
      <c r="G24" s="456">
        <f>F24*(1+0.07)^-($B24-Assumptions!$C$6)</f>
        <v>-147225.1187302453</v>
      </c>
    </row>
    <row r="25" spans="1:11" x14ac:dyDescent="0.25">
      <c r="B25" s="2">
        <f t="shared" si="3"/>
        <v>2045</v>
      </c>
      <c r="C25" s="117">
        <f>IFERROR(VLOOKUP($B25,'Annualized Operations'!$B$13:$L$32,'Annualized Operations'!C$1,FALSE),0)</f>
        <v>1476521643.1557703</v>
      </c>
      <c r="D25" s="111">
        <f>IFERROR(VLOOKUP($B25,'Annualized Operations'!$B$13:$L$32,'Annualized Operations'!F$1,FALSE),0)</f>
        <v>1478817208.8769221</v>
      </c>
      <c r="E25" s="93">
        <f t="shared" si="1"/>
        <v>-2295565.7211518288</v>
      </c>
      <c r="F25" s="455">
        <f t="shared" si="2"/>
        <v>-644620.38032918179</v>
      </c>
      <c r="G25" s="456">
        <f>F25*(1+0.07)^-($B25-Assumptions!$C$6)</f>
        <v>-127084.72913200577</v>
      </c>
    </row>
    <row r="26" spans="1:11" ht="15" customHeight="1" thickBot="1" x14ac:dyDescent="0.3">
      <c r="B26" s="3">
        <f t="shared" si="3"/>
        <v>2046</v>
      </c>
      <c r="C26" s="118">
        <f>IFERROR(VLOOKUP($B26,'Annualized Operations'!$B$13:$L$32,'Annualized Operations'!C$1,FALSE),0)</f>
        <v>1483375285.0769231</v>
      </c>
      <c r="D26" s="113">
        <f>IFERROR(VLOOKUP($B26,'Annualized Operations'!$B$13:$L$32,'Annualized Operations'!F$1,FALSE),0)</f>
        <v>1485481026.7923076</v>
      </c>
      <c r="E26" s="95">
        <f t="shared" si="1"/>
        <v>-2105741.7153844833</v>
      </c>
      <c r="F26" s="457">
        <f t="shared" si="2"/>
        <v>-591315.68873797031</v>
      </c>
      <c r="G26" s="458">
        <f>F26*(1+0.07)^-($B26-Assumptions!$C$6)</f>
        <v>-108949.42930596766</v>
      </c>
    </row>
    <row r="27" spans="1:11" ht="15" customHeight="1" thickBot="1" x14ac:dyDescent="0.3">
      <c r="B27" s="4"/>
      <c r="C27" s="47"/>
      <c r="D27" s="47"/>
      <c r="E27" s="47"/>
      <c r="F27" s="114" t="s">
        <v>2</v>
      </c>
      <c r="G27" s="115">
        <f>SUM(G7:G26)</f>
        <v>-9170651.3188158032</v>
      </c>
    </row>
    <row r="28" spans="1:11" ht="15" customHeight="1" x14ac:dyDescent="0.25">
      <c r="F28" s="19"/>
      <c r="G28" s="19"/>
    </row>
    <row r="30" spans="1:11" x14ac:dyDescent="0.25">
      <c r="B30" s="6" t="s">
        <v>3</v>
      </c>
    </row>
    <row r="31" spans="1:11" x14ac:dyDescent="0.25">
      <c r="A31" s="7" t="s">
        <v>17</v>
      </c>
      <c r="B31" s="559" t="s">
        <v>711</v>
      </c>
      <c r="C31" s="559"/>
      <c r="D31" s="559"/>
      <c r="E31" s="559"/>
      <c r="F31" s="559"/>
      <c r="G31" s="559"/>
    </row>
    <row r="32" spans="1:11" ht="33" customHeight="1" x14ac:dyDescent="0.25">
      <c r="B32" s="559"/>
      <c r="C32" s="559"/>
      <c r="D32" s="559"/>
      <c r="E32" s="559"/>
      <c r="F32" s="559"/>
      <c r="G32" s="559"/>
    </row>
    <row r="33" spans="1:7" ht="33" customHeight="1" x14ac:dyDescent="0.25">
      <c r="B33" s="559"/>
      <c r="C33" s="559"/>
      <c r="D33" s="559"/>
      <c r="E33" s="559"/>
      <c r="F33" s="559"/>
      <c r="G33" s="559"/>
    </row>
    <row r="34" spans="1:7" x14ac:dyDescent="0.25">
      <c r="B34" s="559"/>
      <c r="C34" s="559"/>
      <c r="D34" s="559"/>
      <c r="E34" s="559"/>
      <c r="F34" s="559"/>
      <c r="G34" s="559"/>
    </row>
    <row r="35" spans="1:7" x14ac:dyDescent="0.25">
      <c r="B35" s="88"/>
      <c r="C35" s="88"/>
      <c r="D35" s="88"/>
      <c r="E35" s="88"/>
      <c r="F35" s="88"/>
    </row>
    <row r="36" spans="1:7" ht="15" customHeight="1" x14ac:dyDescent="0.25">
      <c r="A36" s="7" t="s">
        <v>16</v>
      </c>
      <c r="B36" s="559" t="s">
        <v>121</v>
      </c>
      <c r="C36" s="559"/>
      <c r="D36" s="559"/>
      <c r="E36" s="559"/>
      <c r="F36" s="559"/>
      <c r="G36" s="559"/>
    </row>
    <row r="37" spans="1:7" x14ac:dyDescent="0.25">
      <c r="A37" s="7"/>
      <c r="B37" s="559"/>
      <c r="C37" s="559"/>
      <c r="D37" s="559"/>
      <c r="E37" s="559"/>
      <c r="F37" s="559"/>
      <c r="G37" s="559"/>
    </row>
    <row r="38" spans="1:7" x14ac:dyDescent="0.25">
      <c r="B38" s="167"/>
      <c r="C38" s="167"/>
      <c r="D38" s="167"/>
      <c r="E38" s="167"/>
      <c r="F38" s="167"/>
    </row>
    <row r="39" spans="1:7" x14ac:dyDescent="0.25">
      <c r="A39" s="7" t="s">
        <v>108</v>
      </c>
      <c r="B39" s="526" t="s">
        <v>128</v>
      </c>
      <c r="C39" s="526"/>
      <c r="D39" s="526"/>
      <c r="E39" s="526"/>
      <c r="F39" s="526"/>
      <c r="G39" s="526"/>
    </row>
    <row r="40" spans="1:7" x14ac:dyDescent="0.25">
      <c r="B40" s="526"/>
      <c r="C40" s="526"/>
      <c r="D40" s="526"/>
      <c r="E40" s="526"/>
      <c r="F40" s="526"/>
      <c r="G40" s="526"/>
    </row>
    <row r="41" spans="1:7" x14ac:dyDescent="0.25">
      <c r="B41" s="526"/>
      <c r="C41" s="526"/>
      <c r="D41" s="526"/>
      <c r="E41" s="526"/>
      <c r="F41" s="526"/>
      <c r="G41" s="526"/>
    </row>
    <row r="42" spans="1:7" x14ac:dyDescent="0.25">
      <c r="B42" s="526"/>
      <c r="C42" s="526"/>
      <c r="D42" s="526"/>
      <c r="E42" s="526"/>
      <c r="F42" s="526"/>
      <c r="G42" s="526"/>
    </row>
    <row r="43" spans="1:7" x14ac:dyDescent="0.25">
      <c r="B43" s="526"/>
      <c r="C43" s="526"/>
      <c r="D43" s="526"/>
      <c r="E43" s="526"/>
      <c r="F43" s="526"/>
      <c r="G43" s="526"/>
    </row>
  </sheetData>
  <mergeCells count="13">
    <mergeCell ref="I17:J17"/>
    <mergeCell ref="B31:G34"/>
    <mergeCell ref="B39:G43"/>
    <mergeCell ref="B36:G37"/>
    <mergeCell ref="D4:G4"/>
    <mergeCell ref="B5:B6"/>
    <mergeCell ref="C5:C6"/>
    <mergeCell ref="I6:J6"/>
    <mergeCell ref="I10:J10"/>
    <mergeCell ref="G5:G6"/>
    <mergeCell ref="D5:D6"/>
    <mergeCell ref="E5:E6"/>
    <mergeCell ref="F5:F6"/>
  </mergeCells>
  <pageMargins left="0.25" right="0.25" top="0.75" bottom="0.75" header="0.3" footer="0.3"/>
  <pageSetup paperSize="119" scale="86" orientation="landscape" r:id="rId1"/>
  <rowBreaks count="1" manualBreakCount="1">
    <brk id="3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Z161"/>
  <sheetViews>
    <sheetView view="pageBreakPreview" topLeftCell="A16" zoomScale="80" zoomScaleNormal="85" zoomScaleSheetLayoutView="80" workbookViewId="0">
      <selection activeCell="B37" sqref="B37:J38"/>
    </sheetView>
  </sheetViews>
  <sheetFormatPr defaultColWidth="8.85546875" defaultRowHeight="15" x14ac:dyDescent="0.25"/>
  <cols>
    <col min="1" max="1" width="5.42578125" customWidth="1"/>
    <col min="2" max="8" width="15.85546875" customWidth="1"/>
    <col min="9" max="9" width="10.85546875" customWidth="1"/>
    <col min="10" max="10" width="20.7109375" customWidth="1"/>
    <col min="11" max="11" width="4.42578125" customWidth="1"/>
    <col min="12" max="12" width="57.42578125" customWidth="1"/>
    <col min="13" max="14" width="18.28515625" customWidth="1"/>
    <col min="15" max="15" width="23.42578125" customWidth="1"/>
    <col min="16" max="16" width="21.42578125" customWidth="1"/>
    <col min="17" max="17" width="18.28515625" customWidth="1"/>
    <col min="18" max="18" width="54" customWidth="1"/>
    <col min="19" max="19" width="13" customWidth="1"/>
    <col min="20" max="20" width="47.42578125" customWidth="1"/>
    <col min="21" max="21" width="20.42578125" customWidth="1"/>
    <col min="22" max="22" width="23.7109375" customWidth="1"/>
    <col min="23" max="26" width="20.42578125" customWidth="1"/>
  </cols>
  <sheetData>
    <row r="1" spans="2:23" x14ac:dyDescent="0.25">
      <c r="B1">
        <v>1</v>
      </c>
      <c r="C1">
        <f>B1+1</f>
        <v>2</v>
      </c>
      <c r="D1">
        <f t="shared" ref="D1:H1" si="0">C1+1</f>
        <v>3</v>
      </c>
      <c r="E1">
        <f t="shared" si="0"/>
        <v>4</v>
      </c>
      <c r="F1">
        <f t="shared" si="0"/>
        <v>5</v>
      </c>
      <c r="G1">
        <f t="shared" si="0"/>
        <v>6</v>
      </c>
      <c r="H1">
        <f t="shared" si="0"/>
        <v>7</v>
      </c>
    </row>
    <row r="2" spans="2:23" x14ac:dyDescent="0.25">
      <c r="B2" s="6" t="s">
        <v>91</v>
      </c>
    </row>
    <row r="3" spans="2:23" ht="15.75" thickBot="1" x14ac:dyDescent="0.3"/>
    <row r="4" spans="2:23" ht="29.25" customHeight="1" x14ac:dyDescent="0.25">
      <c r="B4" s="550" t="s">
        <v>0</v>
      </c>
      <c r="C4" s="571" t="s">
        <v>101</v>
      </c>
      <c r="D4" s="573" t="s">
        <v>102</v>
      </c>
      <c r="E4" s="577" t="s">
        <v>103</v>
      </c>
      <c r="F4" s="565" t="s">
        <v>126</v>
      </c>
      <c r="G4" s="550" t="s">
        <v>100</v>
      </c>
      <c r="H4" s="575" t="s">
        <v>1</v>
      </c>
    </row>
    <row r="5" spans="2:23" ht="29.25" customHeight="1" thickBot="1" x14ac:dyDescent="0.3">
      <c r="B5" s="551"/>
      <c r="C5" s="572"/>
      <c r="D5" s="574"/>
      <c r="E5" s="578"/>
      <c r="F5" s="566"/>
      <c r="G5" s="551"/>
      <c r="H5" s="576"/>
      <c r="L5" s="21" t="s">
        <v>244</v>
      </c>
      <c r="M5" s="32"/>
    </row>
    <row r="6" spans="2:23" x14ac:dyDescent="0.25">
      <c r="B6" s="53">
        <f>Assumptions!$C$8</f>
        <v>2027</v>
      </c>
      <c r="C6" s="460">
        <f t="shared" ref="C6:C25" si="1">TREND($M$61:$N$61,$M$46:$N$46,$B6)</f>
        <v>1376859.6216791049</v>
      </c>
      <c r="D6" s="460">
        <f t="shared" ref="D6:D25" si="2">TREND($M$62:$N$62,$M$46:$N$46,$B6)</f>
        <v>9836211.6837505102</v>
      </c>
      <c r="E6" s="460">
        <f t="shared" ref="E6:E25" si="3">TREND($M$63:$N$63,$M$46:$N$46,$B6)</f>
        <v>461742.41792397201</v>
      </c>
      <c r="F6" s="460">
        <f t="shared" ref="F6:F20" si="4">TREND($O$83:$O$84,$L$83:$L$84,$B6)</f>
        <v>2772613.6656641364</v>
      </c>
      <c r="G6" s="450">
        <f t="shared" ref="G6:G25" si="5">SUM(C6,D6,E6,F6)</f>
        <v>14447427.389017724</v>
      </c>
      <c r="H6" s="461">
        <f>G6*(1+0.07)^-($B6-Assumptions!$C$6)</f>
        <v>9626930.8948256616</v>
      </c>
      <c r="I6" s="98"/>
      <c r="L6" s="81" t="s">
        <v>69</v>
      </c>
      <c r="M6" s="82" t="s">
        <v>30</v>
      </c>
      <c r="N6" s="82" t="s">
        <v>31</v>
      </c>
      <c r="O6" s="82" t="s">
        <v>32</v>
      </c>
      <c r="P6" s="71" t="s">
        <v>33</v>
      </c>
      <c r="Q6" s="71" t="s">
        <v>62</v>
      </c>
      <c r="U6" s="87"/>
      <c r="V6" s="87"/>
    </row>
    <row r="7" spans="2:23" x14ac:dyDescent="0.25">
      <c r="B7" s="54">
        <f>B6+1</f>
        <v>2028</v>
      </c>
      <c r="C7" s="462">
        <f t="shared" si="1"/>
        <v>1399057.7771928832</v>
      </c>
      <c r="D7" s="462">
        <f t="shared" si="2"/>
        <v>9994794.1225005388</v>
      </c>
      <c r="E7" s="462">
        <f t="shared" si="3"/>
        <v>469186.77161043137</v>
      </c>
      <c r="F7" s="462">
        <f t="shared" si="4"/>
        <v>2608908.8381028175</v>
      </c>
      <c r="G7" s="451">
        <f t="shared" si="5"/>
        <v>14471947.509406671</v>
      </c>
      <c r="H7" s="463">
        <f>G7*(1+0.07)^-($B7-Assumptions!$C$6)</f>
        <v>9012401.576050356</v>
      </c>
      <c r="L7" s="164" t="s">
        <v>27</v>
      </c>
      <c r="M7" s="205">
        <v>11800000</v>
      </c>
      <c r="N7" s="205">
        <v>564300</v>
      </c>
      <c r="O7" s="205">
        <v>153700</v>
      </c>
      <c r="P7" s="205">
        <v>78500</v>
      </c>
      <c r="Q7" s="205">
        <v>4800</v>
      </c>
    </row>
    <row r="8" spans="2:23" x14ac:dyDescent="0.25">
      <c r="B8" s="54">
        <f t="shared" ref="B8:B23" si="6">B7+1</f>
        <v>2029</v>
      </c>
      <c r="C8" s="462">
        <f t="shared" si="1"/>
        <v>1421255.9327066541</v>
      </c>
      <c r="D8" s="462">
        <f t="shared" si="2"/>
        <v>10153376.561250567</v>
      </c>
      <c r="E8" s="462">
        <f t="shared" si="3"/>
        <v>476631.12529689074</v>
      </c>
      <c r="F8" s="462">
        <f t="shared" si="4"/>
        <v>2445204.0105415583</v>
      </c>
      <c r="G8" s="451">
        <f t="shared" si="5"/>
        <v>14496467.629795671</v>
      </c>
      <c r="H8" s="463">
        <f>G8*(1+0.07)^-($B8-Assumptions!$C$6)</f>
        <v>8437076.1445734426</v>
      </c>
      <c r="W8" s="87"/>
    </row>
    <row r="9" spans="2:23" x14ac:dyDescent="0.25">
      <c r="B9" s="54">
        <f t="shared" si="6"/>
        <v>2030</v>
      </c>
      <c r="C9" s="462">
        <f t="shared" si="1"/>
        <v>1443454.0882204324</v>
      </c>
      <c r="D9" s="462">
        <f t="shared" si="2"/>
        <v>10311959.000000596</v>
      </c>
      <c r="E9" s="462">
        <f t="shared" si="3"/>
        <v>484075.4789833501</v>
      </c>
      <c r="F9" s="462">
        <f t="shared" si="4"/>
        <v>2281499.1829802394</v>
      </c>
      <c r="G9" s="451">
        <f t="shared" si="5"/>
        <v>14520987.750184618</v>
      </c>
      <c r="H9" s="463">
        <f>G9*(1+0.07)^-($B9-Assumptions!$C$6)</f>
        <v>7898455.2129764874</v>
      </c>
      <c r="L9" s="6" t="s">
        <v>134</v>
      </c>
      <c r="P9" s="568"/>
      <c r="Q9" s="568"/>
    </row>
    <row r="10" spans="2:23" ht="15" customHeight="1" x14ac:dyDescent="0.25">
      <c r="B10" s="54">
        <f t="shared" si="6"/>
        <v>2031</v>
      </c>
      <c r="C10" s="462">
        <f t="shared" si="1"/>
        <v>1465652.2437342107</v>
      </c>
      <c r="D10" s="462">
        <f t="shared" si="2"/>
        <v>10470541.438750625</v>
      </c>
      <c r="E10" s="462">
        <f t="shared" si="3"/>
        <v>491519.83266980946</v>
      </c>
      <c r="F10" s="462">
        <f t="shared" si="4"/>
        <v>2117794.3554189205</v>
      </c>
      <c r="G10" s="451">
        <f t="shared" si="5"/>
        <v>14545507.870573565</v>
      </c>
      <c r="H10" s="463">
        <f>G10*(1+0.07)^-($B10-Assumptions!$C$6)</f>
        <v>7394198.6297460385</v>
      </c>
      <c r="L10" s="59" t="s">
        <v>58</v>
      </c>
      <c r="M10" s="71" t="s">
        <v>64</v>
      </c>
      <c r="N10" s="71" t="s">
        <v>65</v>
      </c>
      <c r="O10" s="240"/>
      <c r="P10" s="35"/>
      <c r="Q10" s="35"/>
      <c r="U10" s="55"/>
    </row>
    <row r="11" spans="2:23" x14ac:dyDescent="0.25">
      <c r="B11" s="54">
        <f t="shared" si="6"/>
        <v>2032</v>
      </c>
      <c r="C11" s="462">
        <f t="shared" si="1"/>
        <v>1487850.3992479891</v>
      </c>
      <c r="D11" s="462">
        <f t="shared" si="2"/>
        <v>10629123.877500653</v>
      </c>
      <c r="E11" s="462">
        <f t="shared" si="3"/>
        <v>498964.18635626882</v>
      </c>
      <c r="F11" s="462">
        <f t="shared" si="4"/>
        <v>1954089.5278576016</v>
      </c>
      <c r="G11" s="451">
        <f t="shared" si="5"/>
        <v>14570027.990962513</v>
      </c>
      <c r="H11" s="463">
        <f>G11*(1+0.07)^-($B11-Assumptions!$C$6)</f>
        <v>6922115.3416717919</v>
      </c>
      <c r="L11" s="23">
        <v>2014</v>
      </c>
      <c r="M11" s="165">
        <v>107855</v>
      </c>
      <c r="N11" s="165">
        <v>151620</v>
      </c>
      <c r="O11" s="241"/>
      <c r="P11" s="304"/>
      <c r="Q11" s="242"/>
      <c r="R11" s="89"/>
    </row>
    <row r="12" spans="2:23" x14ac:dyDescent="0.25">
      <c r="B12" s="54">
        <f t="shared" si="6"/>
        <v>2033</v>
      </c>
      <c r="C12" s="462">
        <f t="shared" si="1"/>
        <v>1510048.5547617674</v>
      </c>
      <c r="D12" s="462">
        <f t="shared" si="2"/>
        <v>10787706.316250741</v>
      </c>
      <c r="E12" s="462">
        <f t="shared" si="3"/>
        <v>506408.54004272819</v>
      </c>
      <c r="F12" s="462">
        <f t="shared" si="4"/>
        <v>1790384.7002962828</v>
      </c>
      <c r="G12" s="451">
        <f t="shared" si="5"/>
        <v>14594548.11135152</v>
      </c>
      <c r="H12" s="463">
        <f>G12*(1+0.07)^-($B12-Assumptions!$C$6)</f>
        <v>6480153.9011543607</v>
      </c>
      <c r="L12" s="23">
        <v>2040</v>
      </c>
      <c r="M12" s="165">
        <v>165054</v>
      </c>
      <c r="N12" s="165">
        <v>181215</v>
      </c>
      <c r="O12" s="241"/>
      <c r="P12" s="208"/>
      <c r="Q12" s="208"/>
    </row>
    <row r="13" spans="2:23" x14ac:dyDescent="0.25">
      <c r="B13" s="54">
        <f t="shared" si="6"/>
        <v>2034</v>
      </c>
      <c r="C13" s="462">
        <f t="shared" si="1"/>
        <v>1532246.7102755457</v>
      </c>
      <c r="D13" s="462">
        <f t="shared" si="2"/>
        <v>10946288.75500077</v>
      </c>
      <c r="E13" s="462">
        <f t="shared" si="3"/>
        <v>513852.89372918755</v>
      </c>
      <c r="F13" s="462">
        <f t="shared" si="4"/>
        <v>1626679.8727349639</v>
      </c>
      <c r="G13" s="451">
        <f t="shared" si="5"/>
        <v>14619068.231740467</v>
      </c>
      <c r="H13" s="463">
        <f>G13*(1+0.07)^-($B13-Assumptions!$C$6)</f>
        <v>6066393.5774290422</v>
      </c>
      <c r="L13" s="19"/>
      <c r="M13" s="83"/>
      <c r="N13" s="83"/>
      <c r="O13" s="243"/>
    </row>
    <row r="14" spans="2:23" x14ac:dyDescent="0.25">
      <c r="B14" s="54">
        <f t="shared" si="6"/>
        <v>2035</v>
      </c>
      <c r="C14" s="462">
        <f t="shared" si="1"/>
        <v>1554444.865789324</v>
      </c>
      <c r="D14" s="462">
        <f t="shared" si="2"/>
        <v>11104871.193750799</v>
      </c>
      <c r="E14" s="462">
        <f t="shared" si="3"/>
        <v>521297.24741564691</v>
      </c>
      <c r="F14" s="462">
        <f t="shared" si="4"/>
        <v>1462975.045173645</v>
      </c>
      <c r="G14" s="451">
        <f t="shared" si="5"/>
        <v>14643588.352129415</v>
      </c>
      <c r="H14" s="463">
        <f>G14*(1+0.07)^-($B14-Assumptions!$C$6)</f>
        <v>5679036.0333162649</v>
      </c>
      <c r="L14" s="6" t="s">
        <v>135</v>
      </c>
      <c r="O14" s="19"/>
      <c r="P14" s="568"/>
      <c r="Q14" s="568"/>
    </row>
    <row r="15" spans="2:23" x14ac:dyDescent="0.25">
      <c r="B15" s="54">
        <f t="shared" si="6"/>
        <v>2036</v>
      </c>
      <c r="C15" s="462">
        <f t="shared" si="1"/>
        <v>1576643.0213031024</v>
      </c>
      <c r="D15" s="462">
        <f t="shared" si="2"/>
        <v>11263453.632500827</v>
      </c>
      <c r="E15" s="462">
        <f t="shared" si="3"/>
        <v>528741.60110210627</v>
      </c>
      <c r="F15" s="462">
        <f t="shared" si="4"/>
        <v>1299270.2176123261</v>
      </c>
      <c r="G15" s="451">
        <f t="shared" si="5"/>
        <v>14668108.472518362</v>
      </c>
      <c r="H15" s="463">
        <f>G15*(1+0.07)^-($B15-Assumptions!$C$6)</f>
        <v>5316397.5315466523</v>
      </c>
      <c r="L15" s="59" t="s">
        <v>58</v>
      </c>
      <c r="M15" s="71" t="s">
        <v>64</v>
      </c>
      <c r="N15" s="71" t="s">
        <v>65</v>
      </c>
      <c r="O15" s="240"/>
      <c r="P15" s="19"/>
      <c r="Q15" s="19"/>
    </row>
    <row r="16" spans="2:23" x14ac:dyDescent="0.25">
      <c r="B16" s="54">
        <f t="shared" si="6"/>
        <v>2037</v>
      </c>
      <c r="C16" s="462">
        <f t="shared" si="1"/>
        <v>1598841.1768168733</v>
      </c>
      <c r="D16" s="462">
        <f t="shared" si="2"/>
        <v>11422036.071250856</v>
      </c>
      <c r="E16" s="462">
        <f t="shared" si="3"/>
        <v>536185.95478856564</v>
      </c>
      <c r="F16" s="462">
        <f t="shared" si="4"/>
        <v>1135565.3900510073</v>
      </c>
      <c r="G16" s="451">
        <f t="shared" si="5"/>
        <v>14692628.592907302</v>
      </c>
      <c r="H16" s="463">
        <f>G16*(1+0.07)^-($B16-Assumptions!$C$6)</f>
        <v>4976901.6369932489</v>
      </c>
      <c r="L16" s="23">
        <v>2014</v>
      </c>
      <c r="M16" s="165">
        <f>'Annualized Operations'!C5-M11</f>
        <v>3355319.6399999997</v>
      </c>
      <c r="N16" s="165">
        <f>'Annualized Operations'!F5-N11</f>
        <v>3333965.9000000004</v>
      </c>
      <c r="O16" s="241"/>
      <c r="P16" s="242"/>
      <c r="Q16" s="242"/>
      <c r="R16" s="89"/>
    </row>
    <row r="17" spans="1:18" x14ac:dyDescent="0.25">
      <c r="B17" s="54">
        <f t="shared" si="6"/>
        <v>2038</v>
      </c>
      <c r="C17" s="462">
        <f t="shared" si="1"/>
        <v>1621039.3323306516</v>
      </c>
      <c r="D17" s="462">
        <f t="shared" si="2"/>
        <v>11580618.510000885</v>
      </c>
      <c r="E17" s="462">
        <f t="shared" si="3"/>
        <v>543630.308475025</v>
      </c>
      <c r="F17" s="462">
        <f t="shared" si="4"/>
        <v>971860.5624896884</v>
      </c>
      <c r="G17" s="451">
        <f t="shared" si="5"/>
        <v>14717148.71329625</v>
      </c>
      <c r="H17" s="463">
        <f>G17*(1+0.07)^-($B17-Assumptions!$C$6)</f>
        <v>4659072.3832814237</v>
      </c>
      <c r="L17" s="23">
        <v>2040</v>
      </c>
      <c r="M17" s="165">
        <f>'Annualized Operations'!C6-M12</f>
        <v>3786325.27</v>
      </c>
      <c r="N17" s="165">
        <f>'Annualized Operations'!F6-N12</f>
        <v>3779053.8200000003</v>
      </c>
      <c r="O17" s="241"/>
      <c r="P17" s="244"/>
      <c r="Q17" s="244"/>
    </row>
    <row r="18" spans="1:18" x14ac:dyDescent="0.25">
      <c r="B18" s="54">
        <f t="shared" si="6"/>
        <v>2039</v>
      </c>
      <c r="C18" s="462">
        <f t="shared" si="1"/>
        <v>1643237.4878444299</v>
      </c>
      <c r="D18" s="462">
        <f t="shared" si="2"/>
        <v>11739200.948750973</v>
      </c>
      <c r="E18" s="462">
        <f t="shared" si="3"/>
        <v>551074.66216148436</v>
      </c>
      <c r="F18" s="462">
        <f t="shared" si="4"/>
        <v>808155.73492836952</v>
      </c>
      <c r="G18" s="451">
        <f t="shared" si="5"/>
        <v>14741668.833685257</v>
      </c>
      <c r="H18" s="463">
        <f>G18*(1+0.07)^-($B18-Assumptions!$C$6)</f>
        <v>4361527.874250168</v>
      </c>
    </row>
    <row r="19" spans="1:18" ht="18" customHeight="1" thickBot="1" x14ac:dyDescent="0.3">
      <c r="B19" s="54">
        <f t="shared" si="6"/>
        <v>2040</v>
      </c>
      <c r="C19" s="462">
        <f t="shared" si="1"/>
        <v>1665435.6433582082</v>
      </c>
      <c r="D19" s="462">
        <f t="shared" si="2"/>
        <v>11897783.387501001</v>
      </c>
      <c r="E19" s="462">
        <f t="shared" si="3"/>
        <v>558519.01584794372</v>
      </c>
      <c r="F19" s="462">
        <f t="shared" si="4"/>
        <v>644450.90736705065</v>
      </c>
      <c r="G19" s="451">
        <f t="shared" si="5"/>
        <v>14766188.954074204</v>
      </c>
      <c r="H19" s="463">
        <f>G19*(1+0.07)^-($B19-Assumptions!$C$6)</f>
        <v>4082974.2926141298</v>
      </c>
      <c r="L19" s="21" t="s">
        <v>692</v>
      </c>
      <c r="M19">
        <v>1</v>
      </c>
      <c r="N19">
        <v>2</v>
      </c>
      <c r="O19">
        <v>3</v>
      </c>
      <c r="P19">
        <v>4</v>
      </c>
      <c r="Q19">
        <v>5</v>
      </c>
      <c r="R19" s="138"/>
    </row>
    <row r="20" spans="1:18" ht="15.75" thickBot="1" x14ac:dyDescent="0.3">
      <c r="B20" s="54">
        <f t="shared" si="6"/>
        <v>2041</v>
      </c>
      <c r="C20" s="462">
        <f t="shared" si="1"/>
        <v>1687633.7988719866</v>
      </c>
      <c r="D20" s="462">
        <f t="shared" si="2"/>
        <v>12056365.82625103</v>
      </c>
      <c r="E20" s="462">
        <f t="shared" si="3"/>
        <v>565963.36953440309</v>
      </c>
      <c r="F20" s="462">
        <f t="shared" si="4"/>
        <v>480746.07980573177</v>
      </c>
      <c r="G20" s="451">
        <f t="shared" si="5"/>
        <v>14790709.074463151</v>
      </c>
      <c r="H20" s="463">
        <f>G20*(1+0.07)^-($B20-Assumptions!$C$6)</f>
        <v>3822200.2899328065</v>
      </c>
      <c r="L20" s="246" t="s">
        <v>74</v>
      </c>
      <c r="M20" s="247" t="s">
        <v>30</v>
      </c>
      <c r="N20" s="233" t="s">
        <v>31</v>
      </c>
      <c r="O20" s="233" t="s">
        <v>32</v>
      </c>
      <c r="P20" s="233" t="s">
        <v>33</v>
      </c>
      <c r="Q20" s="234" t="s">
        <v>62</v>
      </c>
      <c r="R20" s="208"/>
    </row>
    <row r="21" spans="1:18" ht="15" customHeight="1" x14ac:dyDescent="0.25">
      <c r="B21" s="54">
        <f t="shared" si="6"/>
        <v>2042</v>
      </c>
      <c r="C21" s="462">
        <f t="shared" si="1"/>
        <v>1709831.9543857649</v>
      </c>
      <c r="D21" s="462">
        <f t="shared" si="2"/>
        <v>12214948.265001059</v>
      </c>
      <c r="E21" s="462">
        <f t="shared" si="3"/>
        <v>573407.72322086245</v>
      </c>
      <c r="F21" s="462">
        <f>TREND($O$83:$O$84,$L$83:$L$84,$B20)</f>
        <v>480746.07980573177</v>
      </c>
      <c r="G21" s="451">
        <f t="shared" si="5"/>
        <v>14978934.022413418</v>
      </c>
      <c r="H21" s="463">
        <f>G21*(1+0.07)^-($B21-Assumptions!$C$6)</f>
        <v>3617608.5918568284</v>
      </c>
      <c r="K21" s="579" t="s">
        <v>143</v>
      </c>
      <c r="L21" s="257" t="s">
        <v>113</v>
      </c>
      <c r="M21" s="258">
        <f>COUNTIFS('Crash Data'!$T:$T,'Safety Benefits'!M$19,'Crash Data'!$A:$A,'Safety Benefits'!$R21)</f>
        <v>0</v>
      </c>
      <c r="N21" s="259">
        <f>COUNTIFS('Crash Data'!$T:$T,'Safety Benefits'!N$19,'Crash Data'!$A:$A,'Safety Benefits'!$R21)</f>
        <v>1</v>
      </c>
      <c r="O21" s="259">
        <f>COUNTIFS('Crash Data'!$T:$T,'Safety Benefits'!O$19,'Crash Data'!$A:$A,'Safety Benefits'!$R21)</f>
        <v>4</v>
      </c>
      <c r="P21" s="259">
        <f>COUNTIFS('Crash Data'!$T:$T,'Safety Benefits'!P$19,'Crash Data'!$A:$A,'Safety Benefits'!$R21)</f>
        <v>10</v>
      </c>
      <c r="Q21" s="260">
        <f>COUNTIFS('Crash Data'!$T:$T,'Safety Benefits'!Q$19,'Crash Data'!$A:$A,'Safety Benefits'!$R21)</f>
        <v>14</v>
      </c>
      <c r="R21" s="137">
        <v>2</v>
      </c>
    </row>
    <row r="22" spans="1:18" ht="14.25" customHeight="1" x14ac:dyDescent="0.25">
      <c r="B22" s="54">
        <f t="shared" si="6"/>
        <v>2043</v>
      </c>
      <c r="C22" s="462">
        <f t="shared" si="1"/>
        <v>1732030.1098995432</v>
      </c>
      <c r="D22" s="462">
        <f t="shared" si="2"/>
        <v>12373530.703751087</v>
      </c>
      <c r="E22" s="462">
        <f t="shared" si="3"/>
        <v>580852.07690732181</v>
      </c>
      <c r="F22" s="462">
        <f>TREND($O$83:$O$84,$L$83:$L$84,$B20)</f>
        <v>480746.07980573177</v>
      </c>
      <c r="G22" s="451">
        <f t="shared" si="5"/>
        <v>15167158.970363684</v>
      </c>
      <c r="H22" s="463">
        <f>G22*(1+0.07)^-($B22-Assumptions!$C$6)</f>
        <v>3423427.4579795673</v>
      </c>
      <c r="K22" s="579"/>
      <c r="L22" s="261" t="s">
        <v>114</v>
      </c>
      <c r="M22" s="262">
        <f>COUNTIFS('Crash Data'!$T:$T,'Safety Benefits'!M$19,'Crash Data'!$A:$A,'Safety Benefits'!$R22)</f>
        <v>0</v>
      </c>
      <c r="N22" s="263">
        <f>COUNTIFS('Crash Data'!$T:$T,'Safety Benefits'!N$19,'Crash Data'!$A:$A,'Safety Benefits'!$R22)</f>
        <v>0</v>
      </c>
      <c r="O22" s="263">
        <f>COUNTIFS('Crash Data'!$T:$T,'Safety Benefits'!O$19,'Crash Data'!$A:$A,'Safety Benefits'!$R22)</f>
        <v>0</v>
      </c>
      <c r="P22" s="263">
        <f>COUNTIFS('Crash Data'!$T:$T,'Safety Benefits'!P$19,'Crash Data'!$A:$A,'Safety Benefits'!$R22)</f>
        <v>0</v>
      </c>
      <c r="Q22" s="264">
        <f>COUNTIFS('Crash Data'!$T:$T,'Safety Benefits'!Q$19,'Crash Data'!$A:$A,'Safety Benefits'!$R22)</f>
        <v>1</v>
      </c>
      <c r="R22" s="137">
        <v>3</v>
      </c>
    </row>
    <row r="23" spans="1:18" x14ac:dyDescent="0.25">
      <c r="B23" s="54">
        <f t="shared" si="6"/>
        <v>2044</v>
      </c>
      <c r="C23" s="462">
        <f t="shared" si="1"/>
        <v>1754228.2654133216</v>
      </c>
      <c r="D23" s="462">
        <f t="shared" si="2"/>
        <v>12532113.142501116</v>
      </c>
      <c r="E23" s="462">
        <f t="shared" si="3"/>
        <v>588296.43059378117</v>
      </c>
      <c r="F23" s="462">
        <f>TREND($O$83:$O$84,$L$83:$L$84,$B20)</f>
        <v>480746.07980573177</v>
      </c>
      <c r="G23" s="451">
        <f t="shared" si="5"/>
        <v>15355383.91831395</v>
      </c>
      <c r="H23" s="463">
        <f>G23*(1+0.07)^-($B23-Assumptions!$C$6)</f>
        <v>3239170.380137519</v>
      </c>
      <c r="K23" s="579"/>
      <c r="L23" s="265" t="s">
        <v>149</v>
      </c>
      <c r="M23" s="266">
        <f>COUNTIFS('Crash Data'!$T:$T,'Safety Benefits'!M$19,'Crash Data'!$A:$A,'Safety Benefits'!$R23)</f>
        <v>0</v>
      </c>
      <c r="N23" s="267">
        <f>COUNTIFS('Crash Data'!$T:$T,'Safety Benefits'!N$19,'Crash Data'!$A:$A,'Safety Benefits'!$R23)</f>
        <v>0</v>
      </c>
      <c r="O23" s="267">
        <f>COUNTIFS('Crash Data'!$T:$T,'Safety Benefits'!O$19,'Crash Data'!$A:$A,'Safety Benefits'!$R23)</f>
        <v>0</v>
      </c>
      <c r="P23" s="267">
        <f>COUNTIFS('Crash Data'!$T:$T,'Safety Benefits'!P$19,'Crash Data'!$A:$A,'Safety Benefits'!$R23)</f>
        <v>0</v>
      </c>
      <c r="Q23" s="268">
        <f>COUNTIFS('Crash Data'!$T:$T,'Safety Benefits'!Q$19,'Crash Data'!$A:$A,'Safety Benefits'!$R23)</f>
        <v>0</v>
      </c>
      <c r="R23" s="137">
        <v>10</v>
      </c>
    </row>
    <row r="24" spans="1:18" x14ac:dyDescent="0.25">
      <c r="B24" s="54">
        <f>B23+1</f>
        <v>2045</v>
      </c>
      <c r="C24" s="462">
        <f t="shared" si="1"/>
        <v>1776426.4209270924</v>
      </c>
      <c r="D24" s="462">
        <f t="shared" si="2"/>
        <v>12690695.581251204</v>
      </c>
      <c r="E24" s="462">
        <f t="shared" si="3"/>
        <v>595740.78428024054</v>
      </c>
      <c r="F24" s="462">
        <f>TREND($O$83:$O$84,$L$83:$L$84,$B20)</f>
        <v>480746.07980573177</v>
      </c>
      <c r="G24" s="451">
        <f t="shared" si="5"/>
        <v>15543608.866264269</v>
      </c>
      <c r="H24" s="463">
        <f>G24*(1+0.07)^-($B24-Assumptions!$C$6)</f>
        <v>3064369.9497901434</v>
      </c>
      <c r="K24" s="579"/>
      <c r="L24" s="270" t="s">
        <v>115</v>
      </c>
      <c r="M24" s="271">
        <f>COUNTIFS('Crash Data'!$T:$T,'Safety Benefits'!M$19,'Crash Data'!$A:$A,'Safety Benefits'!$R24)</f>
        <v>0</v>
      </c>
      <c r="N24" s="272">
        <f>COUNTIFS('Crash Data'!$T:$T,'Safety Benefits'!N$19,'Crash Data'!$A:$A,'Safety Benefits'!$R24)</f>
        <v>0</v>
      </c>
      <c r="O24" s="272">
        <f>COUNTIFS('Crash Data'!$T:$T,'Safety Benefits'!O$19,'Crash Data'!$A:$A,'Safety Benefits'!$R24)</f>
        <v>1</v>
      </c>
      <c r="P24" s="272">
        <f>COUNTIFS('Crash Data'!$T:$T,'Safety Benefits'!P$19,'Crash Data'!$A:$A,'Safety Benefits'!$R24)</f>
        <v>4</v>
      </c>
      <c r="Q24" s="273">
        <f>COUNTIFS('Crash Data'!$T:$T,'Safety Benefits'!Q$19,'Crash Data'!$A:$A,'Safety Benefits'!$R24)</f>
        <v>10</v>
      </c>
      <c r="R24" s="137">
        <v>4</v>
      </c>
    </row>
    <row r="25" spans="1:18" ht="15.75" thickBot="1" x14ac:dyDescent="0.3">
      <c r="B25" s="132">
        <f>B24+1</f>
        <v>2046</v>
      </c>
      <c r="C25" s="464">
        <f t="shared" si="1"/>
        <v>1798624.5764408708</v>
      </c>
      <c r="D25" s="464">
        <f t="shared" si="2"/>
        <v>12849278.020001233</v>
      </c>
      <c r="E25" s="464">
        <f t="shared" si="3"/>
        <v>603185.1379666999</v>
      </c>
      <c r="F25" s="464">
        <f>TREND($O$83:$O$84,$L$83:$L$84,$B20)</f>
        <v>480746.07980573177</v>
      </c>
      <c r="G25" s="452">
        <f t="shared" si="5"/>
        <v>15731833.814214535</v>
      </c>
      <c r="H25" s="465">
        <f>G25*(1+0.07)^-($B25-Assumptions!$C$6)</f>
        <v>2898577.4411855852</v>
      </c>
      <c r="K25" s="579"/>
      <c r="L25" s="270" t="s">
        <v>150</v>
      </c>
      <c r="M25" s="271">
        <f>COUNTIFS('Crash Data'!$T:$T,'Safety Benefits'!M$19,'Crash Data'!$A:$A,'Safety Benefits'!$R25)</f>
        <v>0</v>
      </c>
      <c r="N25" s="272">
        <f>COUNTIFS('Crash Data'!$T:$T,'Safety Benefits'!N$19,'Crash Data'!$A:$A,'Safety Benefits'!$R25)</f>
        <v>0</v>
      </c>
      <c r="O25" s="272">
        <f>COUNTIFS('Crash Data'!$T:$T,'Safety Benefits'!O$19,'Crash Data'!$A:$A,'Safety Benefits'!$R25)</f>
        <v>0</v>
      </c>
      <c r="P25" s="272">
        <f>COUNTIFS('Crash Data'!$T:$T,'Safety Benefits'!P$19,'Crash Data'!$A:$A,'Safety Benefits'!$R25)</f>
        <v>0</v>
      </c>
      <c r="Q25" s="273">
        <f>COUNTIFS('Crash Data'!$T:$T,'Safety Benefits'!Q$19,'Crash Data'!$A:$A,'Safety Benefits'!$R25)</f>
        <v>2</v>
      </c>
      <c r="R25" s="137">
        <v>11</v>
      </c>
    </row>
    <row r="26" spans="1:18" ht="15.75" thickBot="1" x14ac:dyDescent="0.3">
      <c r="B26" s="4"/>
      <c r="C26" s="4"/>
      <c r="D26" s="4"/>
      <c r="E26" s="4"/>
      <c r="F26" s="4"/>
      <c r="G26" s="65" t="s">
        <v>2</v>
      </c>
      <c r="H26" s="91">
        <f>SUM(H6:H25)</f>
        <v>110978989.1413115</v>
      </c>
      <c r="K26" s="579"/>
      <c r="L26" s="270" t="s">
        <v>151</v>
      </c>
      <c r="M26" s="271">
        <f>COUNTIFS('Crash Data'!$T:$T,'Safety Benefits'!M$19,'Crash Data'!$A:$A,'Safety Benefits'!$R26)</f>
        <v>0</v>
      </c>
      <c r="N26" s="272">
        <f>COUNTIFS('Crash Data'!$T:$T,'Safety Benefits'!N$19,'Crash Data'!$A:$A,'Safety Benefits'!$R26)</f>
        <v>0</v>
      </c>
      <c r="O26" s="272">
        <f>COUNTIFS('Crash Data'!$T:$T,'Safety Benefits'!O$19,'Crash Data'!$A:$A,'Safety Benefits'!$R26)</f>
        <v>0</v>
      </c>
      <c r="P26" s="272">
        <f>COUNTIFS('Crash Data'!$T:$T,'Safety Benefits'!P$19,'Crash Data'!$A:$A,'Safety Benefits'!$R26)</f>
        <v>0</v>
      </c>
      <c r="Q26" s="273">
        <f>COUNTIFS('Crash Data'!$T:$T,'Safety Benefits'!Q$19,'Crash Data'!$A:$A,'Safety Benefits'!$R26)</f>
        <v>0</v>
      </c>
      <c r="R26" s="137">
        <v>12</v>
      </c>
    </row>
    <row r="27" spans="1:18" x14ac:dyDescent="0.25">
      <c r="K27" s="579"/>
      <c r="L27" s="275" t="s">
        <v>116</v>
      </c>
      <c r="M27" s="276">
        <f>COUNTIFS('Crash Data'!$T:$T,'Safety Benefits'!M$19,'Crash Data'!$A:$A,'Safety Benefits'!$R27)</f>
        <v>0</v>
      </c>
      <c r="N27" s="277">
        <f>COUNTIFS('Crash Data'!$T:$T,'Safety Benefits'!N$19,'Crash Data'!$A:$A,'Safety Benefits'!$R27)</f>
        <v>0</v>
      </c>
      <c r="O27" s="277">
        <f>COUNTIFS('Crash Data'!$T:$T,'Safety Benefits'!O$19,'Crash Data'!$A:$A,'Safety Benefits'!$R27)</f>
        <v>3</v>
      </c>
      <c r="P27" s="277">
        <f>COUNTIFS('Crash Data'!$T:$T,'Safety Benefits'!P$19,'Crash Data'!$A:$A,'Safety Benefits'!$R27)</f>
        <v>4</v>
      </c>
      <c r="Q27" s="278">
        <f>COUNTIFS('Crash Data'!$T:$T,'Safety Benefits'!Q$19,'Crash Data'!$A:$A,'Safety Benefits'!$R27)</f>
        <v>18</v>
      </c>
      <c r="R27" s="137">
        <v>7</v>
      </c>
    </row>
    <row r="28" spans="1:18" ht="15.75" thickBot="1" x14ac:dyDescent="0.3">
      <c r="B28" s="6" t="s">
        <v>3</v>
      </c>
      <c r="J28" s="89"/>
      <c r="K28" s="579"/>
      <c r="L28" s="279" t="s">
        <v>117</v>
      </c>
      <c r="M28" s="280">
        <f>COUNTIFS('Crash Data'!$T:$T,'Safety Benefits'!M$19,'Crash Data'!$A:$A,'Safety Benefits'!$R28)</f>
        <v>0</v>
      </c>
      <c r="N28" s="281">
        <f>COUNTIFS('Crash Data'!$T:$T,'Safety Benefits'!N$19,'Crash Data'!$A:$A,'Safety Benefits'!$R28)</f>
        <v>0</v>
      </c>
      <c r="O28" s="281">
        <f>COUNTIFS('Crash Data'!$T:$T,'Safety Benefits'!O$19,'Crash Data'!$A:$A,'Safety Benefits'!$R28)</f>
        <v>1</v>
      </c>
      <c r="P28" s="281">
        <f>COUNTIFS('Crash Data'!$T:$T,'Safety Benefits'!P$19,'Crash Data'!$A:$A,'Safety Benefits'!$R28)</f>
        <v>0</v>
      </c>
      <c r="Q28" s="282">
        <f>COUNTIFS('Crash Data'!$T:$T,'Safety Benefits'!Q$19,'Crash Data'!$A:$A,'Safety Benefits'!$R28)</f>
        <v>3</v>
      </c>
      <c r="R28" s="137">
        <v>9</v>
      </c>
    </row>
    <row r="29" spans="1:18" ht="15" customHeight="1" x14ac:dyDescent="0.25">
      <c r="A29" s="7" t="s">
        <v>17</v>
      </c>
      <c r="B29" t="s">
        <v>706</v>
      </c>
      <c r="K29" s="579" t="s">
        <v>144</v>
      </c>
      <c r="L29" s="269" t="s">
        <v>118</v>
      </c>
      <c r="M29" s="258">
        <f>COUNTIFS('Crash Data'!$T:$T,'Safety Benefits'!M$19,'Crash Data'!$A:$A,'Safety Benefits'!$R29)</f>
        <v>0</v>
      </c>
      <c r="N29" s="259">
        <f>COUNTIFS('Crash Data'!$T:$T,'Safety Benefits'!N$19,'Crash Data'!$A:$A,'Safety Benefits'!$R29)</f>
        <v>0</v>
      </c>
      <c r="O29" s="259">
        <f>COUNTIFS('Crash Data'!$T:$T,'Safety Benefits'!O$19,'Crash Data'!$A:$A,'Safety Benefits'!$R29)</f>
        <v>10</v>
      </c>
      <c r="P29" s="259">
        <f>COUNTIFS('Crash Data'!$T:$T,'Safety Benefits'!P$19,'Crash Data'!$A:$A,'Safety Benefits'!$R29)</f>
        <v>13</v>
      </c>
      <c r="Q29" s="260">
        <f>COUNTIFS('Crash Data'!$T:$T,'Safety Benefits'!Q$19,'Crash Data'!$A:$A,'Safety Benefits'!$R29)</f>
        <v>52</v>
      </c>
      <c r="R29" s="137">
        <v>13</v>
      </c>
    </row>
    <row r="30" spans="1:18" ht="18" customHeight="1" x14ac:dyDescent="0.25">
      <c r="J30" s="89"/>
      <c r="K30" s="579"/>
      <c r="L30" s="274" t="s">
        <v>119</v>
      </c>
      <c r="M30" s="272">
        <f>COUNTIFS('Crash Data'!$T:$T,'Safety Benefits'!M$19,'Crash Data'!$A:$A,'Safety Benefits'!$R30)</f>
        <v>2</v>
      </c>
      <c r="N30" s="272">
        <f>COUNTIFS('Crash Data'!$T:$T,'Safety Benefits'!N$19,'Crash Data'!$A:$A,'Safety Benefits'!$R30)</f>
        <v>1</v>
      </c>
      <c r="O30" s="272">
        <f>COUNTIFS('Crash Data'!$T:$T,'Safety Benefits'!O$19,'Crash Data'!$A:$A,'Safety Benefits'!$R30)</f>
        <v>5</v>
      </c>
      <c r="P30" s="272">
        <f>COUNTIFS('Crash Data'!$T:$T,'Safety Benefits'!P$19,'Crash Data'!$A:$A,'Safety Benefits'!$R30)</f>
        <v>4</v>
      </c>
      <c r="Q30" s="273">
        <f>COUNTIFS('Crash Data'!$T:$T,'Safety Benefits'!Q$19,'Crash Data'!$A:$A,'Safety Benefits'!$R30)</f>
        <v>17</v>
      </c>
      <c r="R30" s="137">
        <v>14</v>
      </c>
    </row>
    <row r="31" spans="1:18" ht="17.25" customHeight="1" thickBot="1" x14ac:dyDescent="0.3">
      <c r="A31" s="7" t="s">
        <v>17</v>
      </c>
      <c r="B31" s="559" t="s">
        <v>241</v>
      </c>
      <c r="C31" s="559"/>
      <c r="D31" s="559"/>
      <c r="E31" s="559"/>
      <c r="F31" s="559"/>
      <c r="G31" s="559"/>
      <c r="H31" s="559"/>
      <c r="I31" s="559"/>
      <c r="J31" s="559"/>
      <c r="K31" s="579"/>
      <c r="L31" s="283" t="s">
        <v>120</v>
      </c>
      <c r="M31" s="281">
        <f>COUNTIFS('Crash Data'!$T:$T,'Safety Benefits'!M$19,'Crash Data'!$A:$A,'Safety Benefits'!$R31)</f>
        <v>0</v>
      </c>
      <c r="N31" s="281">
        <f>COUNTIFS('Crash Data'!$T:$T,'Safety Benefits'!N$19,'Crash Data'!$A:$A,'Safety Benefits'!$R31)</f>
        <v>0</v>
      </c>
      <c r="O31" s="281">
        <f>COUNTIFS('Crash Data'!$T:$T,'Safety Benefits'!O$19,'Crash Data'!$A:$A,'Safety Benefits'!$R31)</f>
        <v>2</v>
      </c>
      <c r="P31" s="281">
        <f>COUNTIFS('Crash Data'!$T:$T,'Safety Benefits'!P$19,'Crash Data'!$A:$A,'Safety Benefits'!$R31)</f>
        <v>4</v>
      </c>
      <c r="Q31" s="282">
        <f>COUNTIFS('Crash Data'!$T:$T,'Safety Benefits'!Q$19,'Crash Data'!$A:$A,'Safety Benefits'!$R31)</f>
        <v>9</v>
      </c>
      <c r="R31" s="137">
        <v>15</v>
      </c>
    </row>
    <row r="32" spans="1:18" ht="18" customHeight="1" x14ac:dyDescent="0.25">
      <c r="A32" s="7"/>
      <c r="B32" s="559"/>
      <c r="C32" s="559"/>
      <c r="D32" s="559"/>
      <c r="E32" s="559"/>
      <c r="F32" s="559"/>
      <c r="G32" s="559"/>
      <c r="H32" s="559"/>
      <c r="I32" s="559"/>
      <c r="J32" s="559"/>
      <c r="K32" s="308"/>
      <c r="M32" s="137">
        <v>2</v>
      </c>
      <c r="N32" s="137">
        <v>3</v>
      </c>
      <c r="O32" s="137">
        <v>1</v>
      </c>
      <c r="P32" s="137">
        <v>5</v>
      </c>
      <c r="Q32" s="207">
        <f>SUM(M21:Q31)</f>
        <v>195</v>
      </c>
      <c r="R32" s="207"/>
    </row>
    <row r="33" spans="1:20" ht="18" customHeight="1" thickBot="1" x14ac:dyDescent="0.3">
      <c r="A33" s="7"/>
      <c r="B33" s="559"/>
      <c r="C33" s="559"/>
      <c r="D33" s="559"/>
      <c r="E33" s="559"/>
      <c r="F33" s="559"/>
      <c r="G33" s="559"/>
      <c r="H33" s="559"/>
      <c r="I33" s="559"/>
      <c r="J33" s="559"/>
      <c r="L33" s="6" t="s">
        <v>245</v>
      </c>
      <c r="R33" s="207"/>
    </row>
    <row r="34" spans="1:20" ht="15" customHeight="1" thickBot="1" x14ac:dyDescent="0.3">
      <c r="A34" s="7"/>
      <c r="B34" s="559"/>
      <c r="C34" s="559"/>
      <c r="D34" s="559"/>
      <c r="E34" s="559"/>
      <c r="F34" s="559"/>
      <c r="G34" s="559"/>
      <c r="H34" s="559"/>
      <c r="I34" s="559"/>
      <c r="J34" s="559"/>
      <c r="L34" s="188" t="s">
        <v>70</v>
      </c>
      <c r="M34" s="232" t="s">
        <v>30</v>
      </c>
      <c r="N34" s="233" t="s">
        <v>31</v>
      </c>
      <c r="O34" s="233" t="s">
        <v>32</v>
      </c>
      <c r="P34" s="233" t="s">
        <v>33</v>
      </c>
      <c r="Q34" s="234" t="s">
        <v>62</v>
      </c>
      <c r="R34" s="582" t="s">
        <v>94</v>
      </c>
      <c r="S34" s="583"/>
      <c r="T34" s="584"/>
    </row>
    <row r="35" spans="1:20" ht="15" customHeight="1" x14ac:dyDescent="0.25">
      <c r="A35" s="7"/>
      <c r="B35" s="559"/>
      <c r="C35" s="559"/>
      <c r="D35" s="559"/>
      <c r="E35" s="559"/>
      <c r="F35" s="559"/>
      <c r="G35" s="559"/>
      <c r="H35" s="559"/>
      <c r="I35" s="559"/>
      <c r="J35" s="559"/>
      <c r="L35" s="238" t="s">
        <v>157</v>
      </c>
      <c r="M35" s="235">
        <v>0.54900000000000004</v>
      </c>
      <c r="N35" s="235">
        <v>0.54900000000000004</v>
      </c>
      <c r="O35" s="235">
        <v>0.54900000000000004</v>
      </c>
      <c r="P35" s="235">
        <v>0.54900000000000004</v>
      </c>
      <c r="Q35" s="236">
        <v>0.69099999999999995</v>
      </c>
      <c r="R35" s="178" t="s">
        <v>82</v>
      </c>
      <c r="S35" s="141" t="s">
        <v>83</v>
      </c>
      <c r="T35" s="41"/>
    </row>
    <row r="36" spans="1:20" ht="15" customHeight="1" x14ac:dyDescent="0.25">
      <c r="A36" s="7"/>
      <c r="B36" s="20"/>
      <c r="C36" s="20"/>
      <c r="D36" s="20"/>
      <c r="E36" s="20"/>
      <c r="F36" s="20"/>
      <c r="G36" s="20"/>
      <c r="H36" s="20"/>
      <c r="K36" s="89"/>
      <c r="L36" s="239" t="s">
        <v>125</v>
      </c>
      <c r="M36" s="23">
        <v>0.61</v>
      </c>
      <c r="N36" s="23">
        <v>0.61</v>
      </c>
      <c r="O36" s="23">
        <v>0.61</v>
      </c>
      <c r="P36" s="23">
        <v>0.61</v>
      </c>
      <c r="Q36" s="179">
        <v>0.61</v>
      </c>
      <c r="R36" s="178" t="s">
        <v>124</v>
      </c>
      <c r="S36" s="41"/>
      <c r="T36" s="41"/>
    </row>
    <row r="37" spans="1:20" ht="15" customHeight="1" x14ac:dyDescent="0.25">
      <c r="A37" s="7" t="s">
        <v>16</v>
      </c>
      <c r="B37" s="559" t="s">
        <v>217</v>
      </c>
      <c r="C37" s="559"/>
      <c r="D37" s="559"/>
      <c r="E37" s="559"/>
      <c r="F37" s="559"/>
      <c r="G37" s="559"/>
      <c r="H37" s="559"/>
      <c r="I37" s="559"/>
      <c r="J37" s="559"/>
      <c r="L37" s="248" t="s">
        <v>152</v>
      </c>
      <c r="M37" s="23">
        <v>0.73</v>
      </c>
      <c r="N37" s="23">
        <v>0.73</v>
      </c>
      <c r="O37" s="23">
        <v>0.73</v>
      </c>
      <c r="P37" s="23">
        <v>0.73</v>
      </c>
      <c r="Q37" s="179">
        <v>0.73</v>
      </c>
      <c r="R37" s="249" t="s">
        <v>155</v>
      </c>
      <c r="S37" s="41"/>
      <c r="T37" s="41"/>
    </row>
    <row r="38" spans="1:20" ht="30" customHeight="1" x14ac:dyDescent="0.25">
      <c r="A38" s="7"/>
      <c r="B38" s="559"/>
      <c r="C38" s="559"/>
      <c r="D38" s="559"/>
      <c r="E38" s="559"/>
      <c r="F38" s="559"/>
      <c r="G38" s="559"/>
      <c r="H38" s="559"/>
      <c r="I38" s="559"/>
      <c r="J38" s="559"/>
      <c r="L38" s="248" t="s">
        <v>153</v>
      </c>
      <c r="M38" s="23">
        <v>0.74</v>
      </c>
      <c r="N38" s="23">
        <v>0.74</v>
      </c>
      <c r="O38" s="23">
        <v>0.74</v>
      </c>
      <c r="P38" s="23">
        <v>0.74</v>
      </c>
      <c r="Q38" s="179">
        <v>0.74</v>
      </c>
      <c r="R38" s="249" t="s">
        <v>155</v>
      </c>
      <c r="S38" s="41"/>
      <c r="T38" s="41"/>
    </row>
    <row r="39" spans="1:20" ht="29.25" customHeight="1" x14ac:dyDescent="0.25">
      <c r="B39" s="20"/>
      <c r="C39" s="20"/>
      <c r="D39" s="20"/>
      <c r="E39" s="20"/>
      <c r="F39" s="20"/>
      <c r="G39" s="20"/>
      <c r="H39" s="20"/>
      <c r="I39" s="20"/>
      <c r="J39" s="20"/>
      <c r="L39" s="248" t="s">
        <v>265</v>
      </c>
      <c r="M39" s="23">
        <v>0.92</v>
      </c>
      <c r="N39" s="23">
        <v>0.92</v>
      </c>
      <c r="O39" s="23">
        <v>0.92</v>
      </c>
      <c r="P39" s="23">
        <v>0.92</v>
      </c>
      <c r="Q39" s="179">
        <v>0.92</v>
      </c>
      <c r="R39" s="249" t="s">
        <v>155</v>
      </c>
      <c r="S39" s="41"/>
      <c r="T39" s="41"/>
    </row>
    <row r="40" spans="1:20" ht="32.25" customHeight="1" x14ac:dyDescent="0.25">
      <c r="A40" s="7" t="s">
        <v>108</v>
      </c>
      <c r="B40" s="559" t="s">
        <v>122</v>
      </c>
      <c r="C40" s="559"/>
      <c r="D40" s="559"/>
      <c r="E40" s="559"/>
      <c r="F40" s="559"/>
      <c r="G40" s="559"/>
      <c r="H40" s="559"/>
      <c r="I40" s="559"/>
      <c r="J40" s="559"/>
      <c r="L40" s="384" t="s">
        <v>159</v>
      </c>
      <c r="M40" s="385">
        <v>0.75</v>
      </c>
      <c r="N40" s="385">
        <v>0.75</v>
      </c>
      <c r="O40" s="385">
        <v>0.75</v>
      </c>
      <c r="P40" s="385">
        <v>0.75</v>
      </c>
      <c r="Q40" s="386">
        <v>0.75</v>
      </c>
      <c r="R40" s="249" t="s">
        <v>158</v>
      </c>
      <c r="S40" s="41"/>
      <c r="T40" s="41"/>
    </row>
    <row r="41" spans="1:20" ht="32.25" customHeight="1" x14ac:dyDescent="0.25">
      <c r="B41" s="20"/>
      <c r="C41" s="20"/>
      <c r="D41" s="20"/>
      <c r="E41" s="20"/>
      <c r="F41" s="20"/>
      <c r="G41" s="20"/>
      <c r="H41" s="20"/>
      <c r="I41" s="20"/>
      <c r="J41" s="20"/>
      <c r="L41" s="387" t="s">
        <v>266</v>
      </c>
      <c r="M41" s="388">
        <v>0.33299999999999996</v>
      </c>
      <c r="N41" s="388">
        <v>0.33299999999999996</v>
      </c>
      <c r="O41" s="388">
        <v>0.36399999999999999</v>
      </c>
      <c r="P41" s="388">
        <v>0.94100000000000006</v>
      </c>
      <c r="Q41" s="389">
        <v>1.3140000000000001</v>
      </c>
      <c r="R41" s="178" t="s">
        <v>216</v>
      </c>
      <c r="S41" s="41"/>
      <c r="T41" s="346"/>
    </row>
    <row r="42" spans="1:20" ht="32.25" customHeight="1" x14ac:dyDescent="0.25">
      <c r="A42" s="7" t="s">
        <v>109</v>
      </c>
      <c r="B42" s="526" t="s">
        <v>708</v>
      </c>
      <c r="C42" s="526"/>
      <c r="D42" s="526"/>
      <c r="E42" s="526"/>
      <c r="F42" s="526"/>
      <c r="G42" s="526"/>
      <c r="H42" s="526"/>
      <c r="I42" s="526"/>
      <c r="J42" s="526"/>
      <c r="L42" s="387" t="s">
        <v>214</v>
      </c>
      <c r="M42" s="388">
        <v>0.57999999999999996</v>
      </c>
      <c r="N42" s="388">
        <v>0.57999999999999996</v>
      </c>
      <c r="O42" s="388">
        <v>0.57999999999999996</v>
      </c>
      <c r="P42" s="388">
        <v>0.57999999999999996</v>
      </c>
      <c r="Q42" s="388">
        <v>0.57999999999999996</v>
      </c>
      <c r="R42" s="178" t="s">
        <v>215</v>
      </c>
      <c r="S42" s="41"/>
      <c r="T42" s="41"/>
    </row>
    <row r="43" spans="1:20" ht="32.25" customHeight="1" thickBot="1" x14ac:dyDescent="0.3">
      <c r="B43" s="526"/>
      <c r="C43" s="526"/>
      <c r="D43" s="526"/>
      <c r="E43" s="526"/>
      <c r="F43" s="526"/>
      <c r="G43" s="526"/>
      <c r="H43" s="526"/>
      <c r="I43" s="526"/>
      <c r="J43" s="526"/>
      <c r="L43" s="390" t="s">
        <v>146</v>
      </c>
      <c r="M43" s="391">
        <v>0.75600000000000001</v>
      </c>
      <c r="N43" s="391">
        <v>0.75600000000000001</v>
      </c>
      <c r="O43" s="391">
        <v>0.75600000000000001</v>
      </c>
      <c r="P43" s="391">
        <v>0.75600000000000001</v>
      </c>
      <c r="Q43" s="392">
        <v>0.75600000000000001</v>
      </c>
      <c r="R43" s="178" t="s">
        <v>145</v>
      </c>
      <c r="S43" s="41"/>
      <c r="T43" s="41"/>
    </row>
    <row r="44" spans="1:20" ht="32.25" customHeight="1" x14ac:dyDescent="0.25">
      <c r="B44" s="526"/>
      <c r="C44" s="526"/>
      <c r="D44" s="526"/>
      <c r="E44" s="526"/>
      <c r="F44" s="526"/>
      <c r="G44" s="526"/>
      <c r="H44" s="526"/>
      <c r="I44" s="526"/>
      <c r="J44" s="526"/>
      <c r="L44" s="393"/>
      <c r="M44" s="393"/>
      <c r="N44" s="393"/>
      <c r="O44" s="393"/>
      <c r="P44" s="393"/>
      <c r="Q44" s="393"/>
      <c r="S44" s="41"/>
      <c r="T44" s="41"/>
    </row>
    <row r="45" spans="1:20" ht="32.25" customHeight="1" thickBot="1" x14ac:dyDescent="0.3">
      <c r="B45" s="526"/>
      <c r="C45" s="526"/>
      <c r="D45" s="526"/>
      <c r="E45" s="526"/>
      <c r="F45" s="526"/>
      <c r="G45" s="526"/>
      <c r="H45" s="526"/>
      <c r="I45" s="526"/>
      <c r="J45" s="526"/>
      <c r="L45" s="21" t="s">
        <v>246</v>
      </c>
      <c r="M45" s="96"/>
      <c r="N45" s="19"/>
      <c r="R45" s="207"/>
      <c r="S45" s="41"/>
      <c r="T45" s="41"/>
    </row>
    <row r="46" spans="1:20" ht="32.25" customHeight="1" thickBot="1" x14ac:dyDescent="0.3">
      <c r="C46" s="167"/>
      <c r="D46" s="167"/>
      <c r="E46" s="167"/>
      <c r="F46" s="167"/>
      <c r="G46" s="167"/>
      <c r="H46" s="167"/>
      <c r="L46" s="182" t="s">
        <v>74</v>
      </c>
      <c r="M46" s="184">
        <v>2014</v>
      </c>
      <c r="N46" s="185">
        <v>2040</v>
      </c>
      <c r="O46" s="250" t="s">
        <v>95</v>
      </c>
      <c r="R46" s="207"/>
      <c r="S46" s="41"/>
      <c r="T46" s="41"/>
    </row>
    <row r="47" spans="1:20" ht="32.25" customHeight="1" x14ac:dyDescent="0.25">
      <c r="B47" s="167"/>
      <c r="C47" s="167"/>
      <c r="D47" s="167"/>
      <c r="E47" s="167"/>
      <c r="F47" s="167"/>
      <c r="G47" s="167"/>
      <c r="H47" s="167"/>
      <c r="K47" s="579" t="s">
        <v>143</v>
      </c>
      <c r="L47" s="257" t="s">
        <v>113</v>
      </c>
      <c r="M47" s="290" cm="1">
        <f t="array" ref="M47">(SUMPRODUCT(M21:Q21,$M$7:$Q$7,1-M35:Q35)+SUMPRODUCT(M21:Q21,$M$7:$Q$7,1-$M$36:$Q$36)+SUMPRODUCT(M21:Q21,$M$7:$Q$7,1-$M$37:$Q$37)+SUMPRODUCT(M21:Q21,$M$7:$Q$7,1-$M$39:$Q$39))/5</f>
        <v>481947.18</v>
      </c>
      <c r="N47" s="291">
        <f>M47*$M$12/$M$11/($L$12-$L$11)*($N$46-$M$46)</f>
        <v>737539.38016522187</v>
      </c>
      <c r="O47" s="292">
        <f t="shared" ref="O47:O57" si="7">(SUMPRODUCT(M21:Q21,$M$7:$Q$7))/5</f>
        <v>406260</v>
      </c>
      <c r="P47" s="208"/>
      <c r="Q47" s="33"/>
      <c r="R47" s="207"/>
      <c r="T47" s="41"/>
    </row>
    <row r="48" spans="1:20" ht="29.25" customHeight="1" x14ac:dyDescent="0.25">
      <c r="B48" s="167"/>
      <c r="C48" s="167"/>
      <c r="D48" s="167"/>
      <c r="E48" s="167"/>
      <c r="F48" s="167"/>
      <c r="G48" s="167"/>
      <c r="H48" s="167"/>
      <c r="K48" s="579"/>
      <c r="L48" s="261" t="s">
        <v>154</v>
      </c>
      <c r="M48" s="293" cm="1">
        <f t="array" ref="M48">(SUMPRODUCT(M22:Q22,$M$7:$Q$7,1-M35:Q35)+SUMPRODUCT($M22:$Q22,$M$7:$Q$7,1-M35:Q35)+SUMPRODUCT($M22:$Q22,$M$7:$Q$7,1-$M$36:$Q$36)+SUMPRODUCT($M22:$Q22,$M$7:$Q$7,1-$M$38:$Q$38)+SUMPRODUCT($M22:$Q22,$M$7:$Q$7,1-M41:Q41))/5</f>
        <v>915.84000000000015</v>
      </c>
      <c r="N48" s="294">
        <f t="shared" ref="N48:N57" si="8">M48*$M$12/$M$11/($L$12-$L$11)*($N$46-$M$46)</f>
        <v>1401.5396167076169</v>
      </c>
      <c r="O48" s="295">
        <f>(SUMPRODUCT(M22:Q22,$M$7:$Q$7))/5</f>
        <v>960</v>
      </c>
      <c r="P48" s="208"/>
      <c r="Q48" s="33"/>
      <c r="R48" s="207"/>
      <c r="S48" s="41"/>
      <c r="T48" s="41"/>
    </row>
    <row r="49" spans="1:20" ht="15" customHeight="1" x14ac:dyDescent="0.25">
      <c r="B49" s="167"/>
      <c r="C49" s="167"/>
      <c r="D49" s="167"/>
      <c r="E49" s="167"/>
      <c r="F49" s="167"/>
      <c r="G49" s="167"/>
      <c r="H49" s="167"/>
      <c r="K49" s="579"/>
      <c r="L49" s="265" t="s">
        <v>149</v>
      </c>
      <c r="M49" s="293" cm="1">
        <f t="array" ref="M49">(SUMPRODUCT(M23:Q23,$M$7:$Q$7,1-M35:Q35)+SUMPRODUCT($M23:$Q23,$M$7:$Q$7,1-M36:Q36)+SUMPRODUCT($M23:$Q23,$M$7:$Q$7,1-$M$36:$Q$36)+SUMPRODUCT($M23:$Q23,$M$7:$Q$7,1-$M$38:$Q$38)+SUMPRODUCT($M23:$Q23,$M$7:$Q$7,1-M41:Q41))/5</f>
        <v>0</v>
      </c>
      <c r="N49" s="294">
        <f t="shared" si="8"/>
        <v>0</v>
      </c>
      <c r="O49" s="295">
        <f t="shared" si="7"/>
        <v>0</v>
      </c>
      <c r="P49" s="208"/>
      <c r="Q49" s="33"/>
      <c r="R49" s="207"/>
    </row>
    <row r="50" spans="1:20" ht="15" customHeight="1" x14ac:dyDescent="0.25">
      <c r="B50" s="167"/>
      <c r="C50" s="167"/>
      <c r="D50" s="167"/>
      <c r="E50" s="167"/>
      <c r="F50" s="167"/>
      <c r="G50" s="167"/>
      <c r="H50" s="167"/>
      <c r="K50" s="579"/>
      <c r="L50" s="270" t="s">
        <v>115</v>
      </c>
      <c r="M50" s="298" cm="1">
        <f t="array" ref="M50">(SUMPRODUCT(M24:Q24,$M$7:$Q$7,1-M35:Q35)+SUMPRODUCT(M24:Q24,$M$7:$Q$7,1-$M$36:$Q$36)+SUMPRODUCT(M24:Q24,$M$7:$Q$7,1-$M$37:$Q$37)+SUMPRODUCT(M24:Q24,$M$7:$Q$7,1-$M$39:$Q$39))/5</f>
        <v>121476.54</v>
      </c>
      <c r="N50" s="299">
        <f t="shared" si="8"/>
        <v>185899.48387334848</v>
      </c>
      <c r="O50" s="300">
        <f t="shared" si="7"/>
        <v>103140</v>
      </c>
      <c r="P50" s="208"/>
      <c r="Q50" s="33"/>
      <c r="R50" s="138"/>
      <c r="T50" s="41"/>
    </row>
    <row r="51" spans="1:20" ht="21" customHeight="1" x14ac:dyDescent="0.25">
      <c r="B51" s="167"/>
      <c r="C51" s="167"/>
      <c r="D51" s="167"/>
      <c r="E51" s="167"/>
      <c r="F51" s="167"/>
      <c r="G51" s="167"/>
      <c r="H51" s="167"/>
      <c r="K51" s="579"/>
      <c r="L51" s="270" t="s">
        <v>150</v>
      </c>
      <c r="M51" s="298" cm="1">
        <f t="array" ref="M51">(SUMPRODUCT($M25:$Q25,$M$7:$Q$7,1-M35:Q35)+SUMPRODUCT($M25:$Q25,$M$7:$Q$7,1-$M$36:$Q$36)+SUMPRODUCT($M25:$Q25,$M$7:$Q$7,1-$M$38:$Q$38)+SUMPRODUCT($M25:$Q25,$M$7:$Q$7,1-M41:Q41))/5</f>
        <v>1238.4000000000001</v>
      </c>
      <c r="N51" s="299">
        <f t="shared" si="8"/>
        <v>1895.1636326549537</v>
      </c>
      <c r="O51" s="300">
        <f t="shared" si="7"/>
        <v>1920</v>
      </c>
      <c r="P51" s="208"/>
      <c r="Q51" s="33"/>
    </row>
    <row r="52" spans="1:20" ht="15" customHeight="1" x14ac:dyDescent="0.25">
      <c r="A52" s="7"/>
      <c r="B52" s="167"/>
      <c r="C52" s="167"/>
      <c r="D52" s="167"/>
      <c r="E52" s="167"/>
      <c r="F52" s="167"/>
      <c r="G52" s="167"/>
      <c r="H52" s="167"/>
      <c r="K52" s="579"/>
      <c r="L52" s="270" t="s">
        <v>151</v>
      </c>
      <c r="M52" s="298" cm="1">
        <f t="array" ref="M52">(SUMPRODUCT(M26:Q26,$M$7:$Q$7,1-M35:Q35)+SUMPRODUCT($M26:$Q26,$M$7:$Q$7,1-M36:Q36)+SUMPRODUCT($M26:$Q26,$M$7:$Q$7,1-$M$36:$Q$36)+SUMPRODUCT($M26:$Q26,$M$7:$Q$7,1-$M$38:$Q$38))+SUMPRODUCT($M26:$Q26,$M$7:$Q$7,1-M41:Q41)/5</f>
        <v>0</v>
      </c>
      <c r="N52" s="299">
        <f t="shared" si="8"/>
        <v>0</v>
      </c>
      <c r="O52" s="300">
        <f t="shared" si="7"/>
        <v>0</v>
      </c>
      <c r="P52" s="208"/>
      <c r="Q52" s="33"/>
    </row>
    <row r="53" spans="1:20" ht="18" customHeight="1" x14ac:dyDescent="0.25">
      <c r="B53" s="20"/>
      <c r="C53" s="20"/>
      <c r="D53" s="20"/>
      <c r="E53" s="20"/>
      <c r="F53" s="20"/>
      <c r="G53" s="20"/>
      <c r="H53" s="20"/>
      <c r="K53" s="579"/>
      <c r="L53" s="302" t="s">
        <v>116</v>
      </c>
      <c r="M53" s="284" cm="1">
        <f t="array" ref="M53">(SUMPRODUCT(M27:Q27,$M$7:$Q$7,1-M35:Q35)+SUMPRODUCT($M27:$Q27,$M$7:$Q$7,1-$M$36:$Q$36)+SUMPRODUCT($M27:$Q27,$M$7:$Q$7,1-$M$37:$Q$37)+SUMPRODUCT($M27:$Q27,$M$7:$Q$7,1-$M$39:$Q$39))/5</f>
        <v>202755.53999999998</v>
      </c>
      <c r="N53" s="285">
        <f t="shared" si="8"/>
        <v>310283.37025784614</v>
      </c>
      <c r="O53" s="286">
        <f t="shared" si="7"/>
        <v>172300</v>
      </c>
      <c r="P53" s="208"/>
      <c r="Q53" s="33"/>
    </row>
    <row r="54" spans="1:20" ht="19.5" customHeight="1" thickBot="1" x14ac:dyDescent="0.3">
      <c r="B54" s="20"/>
      <c r="C54" s="20"/>
      <c r="D54" s="20"/>
      <c r="E54" s="20"/>
      <c r="F54" s="20"/>
      <c r="G54" s="20"/>
      <c r="H54" s="20"/>
      <c r="K54" s="579"/>
      <c r="L54" s="279" t="s">
        <v>117</v>
      </c>
      <c r="M54" s="287" cm="1">
        <f t="array" ref="M54">(SUMPRODUCT($M28:$Q28,$M$7:$Q$7,1-$M$36:$Q$36)+SUMPRODUCT($M28:$Q28,$M$7:$Q$7,1-M43:Q43))/5</f>
        <v>21315.079999999998</v>
      </c>
      <c r="N54" s="288">
        <f t="shared" si="8"/>
        <v>32619.157334569561</v>
      </c>
      <c r="O54" s="289">
        <f t="shared" si="7"/>
        <v>33620</v>
      </c>
      <c r="P54" s="208"/>
      <c r="Q54" s="33"/>
    </row>
    <row r="55" spans="1:20" ht="18.75" customHeight="1" x14ac:dyDescent="0.25">
      <c r="A55" s="7"/>
      <c r="B55" s="167"/>
      <c r="C55" s="167"/>
      <c r="D55" s="167"/>
      <c r="E55" s="167"/>
      <c r="F55" s="167"/>
      <c r="G55" s="167"/>
      <c r="H55" s="167"/>
      <c r="K55" s="579" t="s">
        <v>144</v>
      </c>
      <c r="L55" s="296" t="s">
        <v>118</v>
      </c>
      <c r="M55" s="293" cm="1">
        <f t="array" ref="M55">(SUMPRODUCT($M29:$Q29,$M$7:$Q$7,1-$M$35:$Q$35)+SUMPRODUCT(M29:Q29,$M$7:$Q$7,1-$M$36:$Q$36)+SUMPRODUCT(M29:Q29,M7:Q7,1-M40:Q40))/5</f>
        <v>605420.57999999984</v>
      </c>
      <c r="N55" s="294">
        <f t="shared" si="8"/>
        <v>926494.72357628273</v>
      </c>
      <c r="O55" s="297">
        <f t="shared" si="7"/>
        <v>561420</v>
      </c>
      <c r="P55" s="208"/>
      <c r="Q55" s="33"/>
    </row>
    <row r="56" spans="1:20" ht="15" customHeight="1" x14ac:dyDescent="0.25">
      <c r="B56" s="167"/>
      <c r="C56" s="167"/>
      <c r="D56" s="167"/>
      <c r="E56" s="167"/>
      <c r="F56" s="167"/>
      <c r="G56" s="167"/>
      <c r="H56" s="167"/>
      <c r="K56" s="579"/>
      <c r="L56" s="274" t="s">
        <v>119</v>
      </c>
      <c r="M56" s="298" cm="1">
        <f t="array" ref="M56">(SUMPRODUCT($M30:$Q30,$M$7:$Q$7,1-$M$35:$Q$35)+SUMPRODUCT(M30:Q30,$M$7:$Q$7,1-$M$36:$Q$36)+SUMPRODUCT(M30:Q30,M7:Q7,1-M40:Q40)+SUMPRODUCT(M30:Q30,M7:Q7,1-M42:Q42))/5</f>
        <v>7651925.040000001</v>
      </c>
      <c r="N56" s="299">
        <f t="shared" si="8"/>
        <v>11709988.739994995</v>
      </c>
      <c r="O56" s="301">
        <f t="shared" si="7"/>
        <v>5065680</v>
      </c>
      <c r="P56" s="208"/>
      <c r="Q56" s="33"/>
    </row>
    <row r="57" spans="1:20" ht="18.75" customHeight="1" thickBot="1" x14ac:dyDescent="0.3">
      <c r="B57" s="167"/>
      <c r="C57" s="167"/>
      <c r="D57" s="167"/>
      <c r="E57" s="167"/>
      <c r="F57" s="167"/>
      <c r="G57" s="167"/>
      <c r="H57" s="167"/>
      <c r="K57" s="579"/>
      <c r="L57" s="283" t="s">
        <v>120</v>
      </c>
      <c r="M57" s="306" cm="1">
        <f t="array" ref="M57">(SUMPRODUCT(M31:Q31,$M$7:$Q$7,1-$M$36:$Q$36)+SUMPRODUCT(M31:Q31,M7:Q7,1-M40:Q40)+SUMPRODUCT(M31:Q31,M7:Q7,1-M42:Q42))/5</f>
        <v>140895.20000000001</v>
      </c>
      <c r="N57" s="307">
        <f t="shared" si="8"/>
        <v>215616.48825552827</v>
      </c>
      <c r="O57" s="289">
        <f t="shared" si="7"/>
        <v>132920</v>
      </c>
      <c r="P57" s="208"/>
      <c r="Q57" s="33"/>
    </row>
    <row r="58" spans="1:20" ht="18" customHeight="1" x14ac:dyDescent="0.25">
      <c r="B58" s="167"/>
      <c r="C58" s="167"/>
      <c r="D58" s="167"/>
      <c r="E58" s="167"/>
      <c r="F58" s="167"/>
      <c r="G58" s="167"/>
      <c r="H58" s="167"/>
      <c r="K58" s="310"/>
      <c r="L58" s="309"/>
      <c r="M58" s="32"/>
      <c r="N58" s="32"/>
      <c r="O58" s="237"/>
      <c r="P58" s="208"/>
      <c r="Q58" s="33"/>
    </row>
    <row r="59" spans="1:20" ht="15" customHeight="1" thickBot="1" x14ac:dyDescent="0.3">
      <c r="B59" s="167"/>
      <c r="C59" s="167"/>
      <c r="D59" s="167"/>
      <c r="E59" s="167"/>
      <c r="F59" s="167"/>
      <c r="G59" s="167"/>
      <c r="H59" s="167"/>
      <c r="J59" s="89"/>
      <c r="K59" s="310"/>
      <c r="L59" s="21" t="s">
        <v>136</v>
      </c>
      <c r="M59" s="32"/>
      <c r="N59" s="32"/>
      <c r="P59" s="208"/>
      <c r="Q59" s="33"/>
    </row>
    <row r="60" spans="1:20" ht="15" customHeight="1" thickBot="1" x14ac:dyDescent="0.3">
      <c r="A60" s="7"/>
      <c r="B60" s="167"/>
      <c r="C60" s="167"/>
      <c r="D60" s="167"/>
      <c r="E60" s="167"/>
      <c r="F60" s="167"/>
      <c r="G60" s="167"/>
      <c r="H60" s="167"/>
      <c r="K60" s="308"/>
      <c r="L60" s="183" t="s">
        <v>74</v>
      </c>
      <c r="M60" s="184">
        <v>2014</v>
      </c>
      <c r="N60" s="185">
        <v>2040</v>
      </c>
      <c r="P60" s="208"/>
      <c r="Q60" s="33"/>
    </row>
    <row r="61" spans="1:20" ht="15" customHeight="1" x14ac:dyDescent="0.25">
      <c r="L61" s="269" t="s">
        <v>118</v>
      </c>
      <c r="M61" s="251">
        <f>SUM(M47:M49)+M55</f>
        <v>1088283.5999999999</v>
      </c>
      <c r="N61" s="143">
        <f>SUM(N47:N49)+N55</f>
        <v>1665435.6433582122</v>
      </c>
      <c r="P61" s="208"/>
      <c r="Q61" s="33"/>
    </row>
    <row r="62" spans="1:20" ht="15.75" customHeight="1" x14ac:dyDescent="0.25">
      <c r="K62" s="89"/>
      <c r="L62" s="274" t="s">
        <v>119</v>
      </c>
      <c r="M62" s="252">
        <f>SUM(M50:M52)+M56</f>
        <v>7774639.9800000014</v>
      </c>
      <c r="N62" s="253">
        <f>SUM(N50:N52)+N56</f>
        <v>11897783.387500999</v>
      </c>
      <c r="P62" s="208"/>
      <c r="Q62" s="33"/>
      <c r="R62" s="209"/>
    </row>
    <row r="63" spans="1:20" ht="15" customHeight="1" thickBot="1" x14ac:dyDescent="0.3">
      <c r="K63" s="89"/>
      <c r="L63" s="283" t="s">
        <v>120</v>
      </c>
      <c r="M63" s="254">
        <f>SUM(M53:M54)+M57</f>
        <v>364965.81999999995</v>
      </c>
      <c r="N63" s="131">
        <f>SUM(N53:N54)+N57</f>
        <v>558519.01584794396</v>
      </c>
      <c r="P63" s="208"/>
      <c r="Q63" s="33"/>
      <c r="R63" s="209"/>
    </row>
    <row r="64" spans="1:20" x14ac:dyDescent="0.25">
      <c r="K64" s="89"/>
      <c r="P64" s="208"/>
      <c r="Q64" s="33"/>
      <c r="R64" s="209"/>
    </row>
    <row r="65" spans="2:18" ht="18.75" customHeight="1" thickBot="1" x14ac:dyDescent="0.3">
      <c r="K65" s="89"/>
      <c r="L65" s="6" t="s">
        <v>247</v>
      </c>
      <c r="P65" s="208"/>
      <c r="Q65" s="33"/>
      <c r="R65" s="209"/>
    </row>
    <row r="66" spans="2:18" ht="17.25" customHeight="1" thickBot="1" x14ac:dyDescent="0.3">
      <c r="K66" s="89"/>
      <c r="L66" s="188"/>
      <c r="M66" s="580" t="s">
        <v>84</v>
      </c>
      <c r="N66" s="581"/>
      <c r="P66" s="208"/>
      <c r="Q66" s="33"/>
      <c r="R66" s="209"/>
    </row>
    <row r="67" spans="2:18" ht="15" customHeight="1" thickBot="1" x14ac:dyDescent="0.3">
      <c r="J67" s="89"/>
      <c r="K67" s="89"/>
      <c r="L67" s="182" t="s">
        <v>69</v>
      </c>
      <c r="M67" s="181" t="s">
        <v>25</v>
      </c>
      <c r="N67" s="185" t="s">
        <v>26</v>
      </c>
      <c r="O67" s="187" t="s">
        <v>96</v>
      </c>
      <c r="P67" s="208"/>
      <c r="Q67" s="33"/>
      <c r="R67" s="209"/>
    </row>
    <row r="68" spans="2:18" x14ac:dyDescent="0.25">
      <c r="J68" s="89"/>
      <c r="L68" s="431" t="s">
        <v>85</v>
      </c>
      <c r="M68" s="432">
        <v>6.1960717446341487E-3</v>
      </c>
      <c r="N68" s="433">
        <v>5.9698275874448528E-3</v>
      </c>
      <c r="O68" s="255">
        <f>M7</f>
        <v>11800000</v>
      </c>
      <c r="P68" s="208"/>
      <c r="Q68" s="33"/>
      <c r="R68" s="209"/>
    </row>
    <row r="69" spans="2:18" x14ac:dyDescent="0.25">
      <c r="J69" s="89"/>
      <c r="L69" s="434" t="s">
        <v>31</v>
      </c>
      <c r="M69" s="435">
        <v>2.7716333345579821E-2</v>
      </c>
      <c r="N69" s="436">
        <v>2.7126591365750869E-2</v>
      </c>
      <c r="O69" s="255">
        <f>N7</f>
        <v>564300</v>
      </c>
      <c r="P69" s="208"/>
      <c r="Q69" s="33"/>
      <c r="R69" s="209"/>
    </row>
    <row r="70" spans="2:18" ht="15" customHeight="1" x14ac:dyDescent="0.25">
      <c r="J70" s="89"/>
      <c r="L70" s="434" t="s">
        <v>32</v>
      </c>
      <c r="M70" s="435">
        <v>0.16213060043570146</v>
      </c>
      <c r="N70" s="436">
        <v>0.16196882469558335</v>
      </c>
      <c r="O70" s="255">
        <f>O7</f>
        <v>153700</v>
      </c>
      <c r="P70" s="208"/>
      <c r="Q70" s="33"/>
      <c r="R70" s="209"/>
    </row>
    <row r="71" spans="2:18" x14ac:dyDescent="0.25">
      <c r="B71" s="20"/>
      <c r="C71" s="20"/>
      <c r="D71" s="20"/>
      <c r="E71" s="20"/>
      <c r="F71" s="20"/>
      <c r="G71" s="20"/>
      <c r="H71" s="20"/>
      <c r="L71" s="434" t="s">
        <v>33</v>
      </c>
      <c r="M71" s="435">
        <v>0.48931685036344463</v>
      </c>
      <c r="N71" s="436">
        <v>0.49009265694990983</v>
      </c>
      <c r="O71" s="255">
        <f>P7</f>
        <v>78500</v>
      </c>
      <c r="P71" s="208"/>
      <c r="Q71" s="33"/>
      <c r="R71" s="209"/>
    </row>
    <row r="72" spans="2:18" ht="15.75" thickBot="1" x14ac:dyDescent="0.3">
      <c r="B72" s="20"/>
      <c r="C72" s="20"/>
      <c r="D72" s="20"/>
      <c r="E72" s="20"/>
      <c r="F72" s="20"/>
      <c r="G72" s="20"/>
      <c r="H72" s="20"/>
      <c r="L72" s="437" t="s">
        <v>62</v>
      </c>
      <c r="M72" s="438">
        <v>2.0380325360376994</v>
      </c>
      <c r="N72" s="439">
        <v>2.0330139568681096</v>
      </c>
      <c r="O72" s="256">
        <f>Q7</f>
        <v>4800</v>
      </c>
      <c r="P72" s="208"/>
      <c r="Q72" s="33"/>
      <c r="R72" s="209"/>
    </row>
    <row r="73" spans="2:18" x14ac:dyDescent="0.25">
      <c r="B73" s="20"/>
      <c r="C73" s="20"/>
      <c r="D73" s="20"/>
      <c r="E73" s="20"/>
      <c r="F73" s="20"/>
      <c r="G73" s="20"/>
      <c r="H73" s="20"/>
      <c r="L73" s="440"/>
      <c r="M73" s="569" t="s">
        <v>86</v>
      </c>
      <c r="N73" s="570"/>
      <c r="P73" s="208"/>
      <c r="Q73" s="33"/>
      <c r="R73" s="209"/>
    </row>
    <row r="74" spans="2:18" ht="15.75" thickBot="1" x14ac:dyDescent="0.3">
      <c r="B74" s="20"/>
      <c r="C74" s="20"/>
      <c r="D74" s="20"/>
      <c r="E74" s="20"/>
      <c r="F74" s="20"/>
      <c r="G74" s="20"/>
      <c r="H74" s="20"/>
      <c r="L74" s="441" t="s">
        <v>69</v>
      </c>
      <c r="M74" s="442" t="s">
        <v>25</v>
      </c>
      <c r="N74" s="443" t="s">
        <v>26</v>
      </c>
      <c r="R74" s="209"/>
    </row>
    <row r="75" spans="2:18" x14ac:dyDescent="0.25">
      <c r="B75" s="20"/>
      <c r="C75" s="20"/>
      <c r="D75" s="20"/>
      <c r="E75" s="20"/>
      <c r="F75" s="20"/>
      <c r="G75" s="20"/>
      <c r="H75" s="20"/>
      <c r="L75" s="431" t="s">
        <v>85</v>
      </c>
      <c r="M75" s="444">
        <v>6.1460921552072244E-3</v>
      </c>
      <c r="N75" s="445">
        <v>6.1255855051353201E-3</v>
      </c>
      <c r="R75" s="209"/>
    </row>
    <row r="76" spans="2:18" x14ac:dyDescent="0.25">
      <c r="B76" s="20"/>
      <c r="C76" s="20"/>
      <c r="D76" s="20"/>
      <c r="E76" s="20"/>
      <c r="F76" s="20"/>
      <c r="G76" s="20"/>
      <c r="H76" s="20"/>
      <c r="L76" s="434" t="s">
        <v>31</v>
      </c>
      <c r="M76" s="446">
        <v>2.7714754603969646E-2</v>
      </c>
      <c r="N76" s="436">
        <v>2.7701413315009648E-2</v>
      </c>
      <c r="R76" s="209"/>
    </row>
    <row r="77" spans="2:18" x14ac:dyDescent="0.25">
      <c r="B77" s="20"/>
      <c r="C77" s="20"/>
      <c r="D77" s="20"/>
      <c r="E77" s="20"/>
      <c r="F77" s="20"/>
      <c r="G77" s="20"/>
      <c r="H77" s="20"/>
      <c r="L77" s="434" t="s">
        <v>32</v>
      </c>
      <c r="M77" s="446">
        <v>0.16441974917157431</v>
      </c>
      <c r="N77" s="436">
        <v>0.16460409591511843</v>
      </c>
      <c r="R77" s="209"/>
    </row>
    <row r="78" spans="2:18" x14ac:dyDescent="0.25">
      <c r="B78" s="20"/>
      <c r="C78" s="20"/>
      <c r="D78" s="20"/>
      <c r="E78" s="20"/>
      <c r="F78" s="20"/>
      <c r="G78" s="20"/>
      <c r="H78" s="20"/>
      <c r="L78" s="434" t="s">
        <v>33</v>
      </c>
      <c r="M78" s="446">
        <v>0.49741489617782275</v>
      </c>
      <c r="N78" s="436">
        <v>0.49809738985630458</v>
      </c>
      <c r="R78" s="209"/>
    </row>
    <row r="79" spans="2:18" ht="15.75" thickBot="1" x14ac:dyDescent="0.3">
      <c r="B79" s="20"/>
      <c r="C79" s="20"/>
      <c r="D79" s="20"/>
      <c r="E79" s="20"/>
      <c r="F79" s="20"/>
      <c r="G79" s="20"/>
      <c r="H79" s="20"/>
      <c r="K79" s="89"/>
      <c r="L79" s="437" t="s">
        <v>62</v>
      </c>
      <c r="M79" s="447">
        <v>2.060789190435806</v>
      </c>
      <c r="N79" s="439">
        <v>2.0634590795335983</v>
      </c>
      <c r="R79" s="209"/>
    </row>
    <row r="80" spans="2:18" x14ac:dyDescent="0.25">
      <c r="B80" s="20"/>
      <c r="C80" s="20"/>
      <c r="D80" s="20"/>
      <c r="E80" s="20"/>
      <c r="F80" s="20"/>
      <c r="G80" s="20"/>
      <c r="H80" s="20"/>
      <c r="L80" s="6"/>
      <c r="M80" s="72"/>
      <c r="N80" s="72"/>
      <c r="R80" s="209"/>
    </row>
    <row r="81" spans="2:19" ht="15.75" thickBot="1" x14ac:dyDescent="0.3">
      <c r="B81" s="20"/>
      <c r="C81" s="20"/>
      <c r="D81" s="20"/>
      <c r="E81" s="20"/>
      <c r="F81" s="20"/>
      <c r="G81" s="20"/>
      <c r="H81" s="20"/>
      <c r="L81" s="177" t="s">
        <v>137</v>
      </c>
      <c r="R81" s="209"/>
    </row>
    <row r="82" spans="2:19" ht="15.75" thickBot="1" x14ac:dyDescent="0.3">
      <c r="B82" s="20"/>
      <c r="C82" s="20"/>
      <c r="D82" s="20"/>
      <c r="E82" s="20"/>
      <c r="F82" s="20"/>
      <c r="G82" s="20"/>
      <c r="H82" s="20"/>
      <c r="L82" s="184" t="s">
        <v>75</v>
      </c>
      <c r="M82" s="180" t="s">
        <v>25</v>
      </c>
      <c r="N82" s="180" t="s">
        <v>26</v>
      </c>
      <c r="O82" s="185" t="s">
        <v>104</v>
      </c>
      <c r="R82" s="209"/>
    </row>
    <row r="83" spans="2:19" x14ac:dyDescent="0.25">
      <c r="B83" s="20"/>
      <c r="C83" s="20"/>
      <c r="D83" s="20"/>
      <c r="E83" s="20"/>
      <c r="F83" s="20"/>
      <c r="G83" s="20"/>
      <c r="H83" s="20"/>
      <c r="L83" s="189">
        <v>2014</v>
      </c>
      <c r="M83" s="251">
        <f>SUMPRODUCT($O$68:$O$72,$M$68:$M$72)*M16/10^6*365</f>
        <v>198237626.44659749</v>
      </c>
      <c r="N83" s="251">
        <f>SUMPRODUCT($O$68:$O$72,$N$68:$N$72)*N16/10^6*365</f>
        <v>193336850.02263629</v>
      </c>
      <c r="O83" s="143">
        <f>M83-N83</f>
        <v>4900776.4239611924</v>
      </c>
      <c r="R83" s="209"/>
    </row>
    <row r="84" spans="2:19" ht="15.75" thickBot="1" x14ac:dyDescent="0.3">
      <c r="B84" s="20"/>
      <c r="C84" s="20"/>
      <c r="D84" s="20"/>
      <c r="E84" s="20"/>
      <c r="F84" s="20"/>
      <c r="G84" s="20"/>
      <c r="H84" s="20"/>
      <c r="L84" s="186">
        <v>2040</v>
      </c>
      <c r="M84" s="254">
        <f>SUMPRODUCT($O$68:$O$72,$M$75:$M$79)*M17/10^6*365</f>
        <v>224401588.45138502</v>
      </c>
      <c r="N84" s="254">
        <f>SUMPRODUCT($O$68:$O$72,$N$75:$N$79)*N17/10^6*365</f>
        <v>223757137.544018</v>
      </c>
      <c r="O84" s="131">
        <f>M84-N84</f>
        <v>644450.90736702085</v>
      </c>
      <c r="R84" s="209"/>
    </row>
    <row r="85" spans="2:19" x14ac:dyDescent="0.25">
      <c r="B85" s="20"/>
      <c r="C85" s="20"/>
      <c r="D85" s="20"/>
      <c r="E85" s="20"/>
      <c r="F85" s="20"/>
      <c r="G85" s="20"/>
      <c r="H85" s="20"/>
      <c r="R85" s="209"/>
    </row>
    <row r="86" spans="2:19" x14ac:dyDescent="0.25">
      <c r="B86" s="20"/>
      <c r="C86" s="20"/>
      <c r="D86" s="20"/>
      <c r="E86" s="20"/>
      <c r="F86" s="20"/>
      <c r="G86" s="20"/>
      <c r="H86" s="20"/>
      <c r="R86" s="209"/>
    </row>
    <row r="87" spans="2:19" x14ac:dyDescent="0.25">
      <c r="B87" s="20"/>
      <c r="C87" s="20"/>
      <c r="D87" s="20"/>
      <c r="E87" s="20"/>
      <c r="F87" s="20"/>
      <c r="G87" s="20"/>
      <c r="H87" s="20"/>
      <c r="P87" s="35"/>
      <c r="Q87" s="35"/>
      <c r="R87" s="209"/>
    </row>
    <row r="88" spans="2:19" x14ac:dyDescent="0.25">
      <c r="B88" s="20"/>
      <c r="C88" s="20"/>
      <c r="D88" s="20"/>
      <c r="E88" s="20"/>
      <c r="F88" s="20"/>
      <c r="G88" s="20"/>
      <c r="H88" s="20"/>
      <c r="R88" s="209"/>
    </row>
    <row r="89" spans="2:19" x14ac:dyDescent="0.25">
      <c r="B89" s="20"/>
      <c r="C89" s="20"/>
      <c r="D89" s="20"/>
      <c r="E89" s="20"/>
      <c r="F89" s="20"/>
      <c r="G89" s="20"/>
      <c r="H89" s="20"/>
    </row>
    <row r="90" spans="2:19" x14ac:dyDescent="0.25">
      <c r="B90" s="20"/>
      <c r="C90" s="20"/>
      <c r="D90" s="20"/>
      <c r="E90" s="20"/>
      <c r="F90" s="20"/>
      <c r="G90" s="20"/>
      <c r="H90" s="20"/>
    </row>
    <row r="91" spans="2:19" ht="20.25" customHeight="1" x14ac:dyDescent="0.25">
      <c r="B91" s="20"/>
      <c r="C91" s="20"/>
      <c r="D91" s="20"/>
      <c r="E91" s="20"/>
      <c r="F91" s="20"/>
      <c r="G91" s="20"/>
      <c r="H91" s="20"/>
      <c r="P91" s="6"/>
      <c r="Q91" s="6"/>
    </row>
    <row r="92" spans="2:19" ht="22.5" customHeight="1" x14ac:dyDescent="0.25">
      <c r="B92" s="20"/>
      <c r="C92" s="20"/>
      <c r="D92" s="20"/>
      <c r="E92" s="20"/>
      <c r="F92" s="20"/>
      <c r="G92" s="20"/>
      <c r="H92" s="20"/>
    </row>
    <row r="93" spans="2:19" ht="20.25" customHeight="1" x14ac:dyDescent="0.25">
      <c r="B93" s="20"/>
      <c r="C93" s="20"/>
      <c r="D93" s="20"/>
      <c r="E93" s="20"/>
      <c r="F93" s="20"/>
      <c r="G93" s="20"/>
      <c r="H93" s="20"/>
      <c r="M93" s="19"/>
      <c r="N93" s="19"/>
      <c r="S93" s="98"/>
    </row>
    <row r="94" spans="2:19" x14ac:dyDescent="0.25">
      <c r="B94" s="20"/>
      <c r="C94" s="20"/>
      <c r="D94" s="20"/>
      <c r="E94" s="20"/>
      <c r="F94" s="20"/>
      <c r="G94" s="20"/>
      <c r="H94" s="20"/>
      <c r="K94" s="89"/>
      <c r="P94" s="35"/>
      <c r="Q94" s="35"/>
      <c r="S94" s="98"/>
    </row>
    <row r="95" spans="2:19" x14ac:dyDescent="0.25">
      <c r="J95" s="89"/>
      <c r="P95" s="72"/>
      <c r="Q95" s="72"/>
    </row>
    <row r="96" spans="2:19" x14ac:dyDescent="0.25">
      <c r="J96" s="89"/>
      <c r="P96" s="72"/>
      <c r="Q96" s="72"/>
    </row>
    <row r="97" spans="10:19" x14ac:dyDescent="0.25">
      <c r="J97" s="89"/>
      <c r="P97" s="72"/>
      <c r="Q97" s="72"/>
    </row>
    <row r="98" spans="10:19" x14ac:dyDescent="0.25">
      <c r="J98" s="89"/>
      <c r="M98" s="19"/>
      <c r="N98" s="19"/>
      <c r="P98" s="6"/>
      <c r="Q98" s="6"/>
    </row>
    <row r="99" spans="10:19" x14ac:dyDescent="0.25">
      <c r="J99" s="89"/>
    </row>
    <row r="100" spans="10:19" x14ac:dyDescent="0.25">
      <c r="J100" s="89"/>
    </row>
    <row r="102" spans="10:19" x14ac:dyDescent="0.25">
      <c r="R102" s="35"/>
    </row>
    <row r="103" spans="10:19" x14ac:dyDescent="0.25">
      <c r="R103" s="6"/>
    </row>
    <row r="104" spans="10:19" x14ac:dyDescent="0.25">
      <c r="R104" s="6"/>
    </row>
    <row r="105" spans="10:19" x14ac:dyDescent="0.25">
      <c r="R105" s="6"/>
    </row>
    <row r="106" spans="10:19" x14ac:dyDescent="0.25">
      <c r="R106" s="6"/>
    </row>
    <row r="107" spans="10:19" x14ac:dyDescent="0.25">
      <c r="S107" s="35"/>
    </row>
    <row r="109" spans="10:19" x14ac:dyDescent="0.25">
      <c r="R109" s="35"/>
    </row>
    <row r="110" spans="10:19" x14ac:dyDescent="0.25">
      <c r="R110" s="6"/>
    </row>
    <row r="111" spans="10:19" x14ac:dyDescent="0.25">
      <c r="R111" s="6"/>
    </row>
    <row r="112" spans="10:19" x14ac:dyDescent="0.25">
      <c r="J112" s="89"/>
      <c r="R112" s="6"/>
    </row>
    <row r="113" spans="10:19" x14ac:dyDescent="0.25">
      <c r="R113" s="6"/>
    </row>
    <row r="114" spans="10:19" x14ac:dyDescent="0.25">
      <c r="S114" s="35"/>
    </row>
    <row r="127" spans="10:19" x14ac:dyDescent="0.25">
      <c r="J127" s="89"/>
    </row>
    <row r="129" spans="24:25" ht="15.75" customHeight="1" x14ac:dyDescent="0.25"/>
    <row r="131" spans="24:25" ht="15.75" customHeight="1" x14ac:dyDescent="0.25"/>
    <row r="142" spans="24:25" x14ac:dyDescent="0.25">
      <c r="X142" s="35"/>
    </row>
    <row r="144" spans="24:25" x14ac:dyDescent="0.25">
      <c r="Y144" s="98"/>
    </row>
    <row r="145" spans="25:26" x14ac:dyDescent="0.25">
      <c r="Y145" s="98"/>
    </row>
    <row r="146" spans="25:26" x14ac:dyDescent="0.25">
      <c r="Y146" s="98"/>
    </row>
    <row r="159" spans="25:26" x14ac:dyDescent="0.25">
      <c r="Z159" s="98"/>
    </row>
    <row r="160" spans="25:26" x14ac:dyDescent="0.25">
      <c r="Z160" s="98"/>
    </row>
    <row r="161" spans="26:26" x14ac:dyDescent="0.25">
      <c r="Z161" s="98"/>
    </row>
  </sheetData>
  <mergeCells count="20">
    <mergeCell ref="R34:T34"/>
    <mergeCell ref="K47:K54"/>
    <mergeCell ref="B31:J35"/>
    <mergeCell ref="B37:J38"/>
    <mergeCell ref="B40:J40"/>
    <mergeCell ref="B42:J45"/>
    <mergeCell ref="P14:Q14"/>
    <mergeCell ref="P9:Q9"/>
    <mergeCell ref="M73:N73"/>
    <mergeCell ref="B4:B5"/>
    <mergeCell ref="C4:C5"/>
    <mergeCell ref="D4:D5"/>
    <mergeCell ref="H4:H5"/>
    <mergeCell ref="E4:E5"/>
    <mergeCell ref="F4:F5"/>
    <mergeCell ref="G4:G5"/>
    <mergeCell ref="K21:K28"/>
    <mergeCell ref="K29:K31"/>
    <mergeCell ref="M66:N66"/>
    <mergeCell ref="K55:K57"/>
  </mergeCells>
  <phoneticPr fontId="34" type="noConversion"/>
  <hyperlinks>
    <hyperlink ref="R35" r:id="rId1" xr:uid="{00000000-0004-0000-0500-000003000000}"/>
    <hyperlink ref="S35" r:id="rId2" xr:uid="{00000000-0004-0000-0500-000004000000}"/>
    <hyperlink ref="R43" r:id="rId3" xr:uid="{66212C37-F794-48F0-9CDC-D146BAC2F902}"/>
    <hyperlink ref="R36" r:id="rId4" xr:uid="{8A1284AC-FE55-40E4-8FDE-7B9312045AF2}"/>
    <hyperlink ref="R41" r:id="rId5" display="http://www.cmfclearinghouse.org/detail.cfm?facid=5555" xr:uid="{C4DF892E-D13D-46DA-838A-7DEE1AD3D71C}"/>
  </hyperlinks>
  <pageMargins left="0.7" right="0.7" top="0.75" bottom="0.75" header="0.3" footer="0.3"/>
  <pageSetup scale="29" orientation="landscape" horizontalDpi="1200" verticalDpi="1200" r:id="rId6"/>
  <colBreaks count="2" manualBreakCount="2">
    <brk id="4" max="1048575" man="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463A-40E2-4F05-8F21-78290917353E}">
  <sheetPr>
    <tabColor rgb="FF00B050"/>
    <pageSetUpPr fitToPage="1"/>
  </sheetPr>
  <dimension ref="A1:AD69"/>
  <sheetViews>
    <sheetView view="pageBreakPreview" zoomScale="85" zoomScaleNormal="85" zoomScaleSheetLayoutView="85" workbookViewId="0">
      <selection activeCell="B34" sqref="B34"/>
    </sheetView>
  </sheetViews>
  <sheetFormatPr defaultRowHeight="15" x14ac:dyDescent="0.25"/>
  <cols>
    <col min="2" max="3" width="15.7109375" customWidth="1"/>
    <col min="4" max="5" width="18.5703125" customWidth="1"/>
    <col min="6" max="9" width="15.7109375" customWidth="1"/>
    <col min="10" max="10" width="16.140625" customWidth="1"/>
    <col min="11" max="15" width="15.7109375" customWidth="1"/>
    <col min="16" max="16" width="17.7109375" customWidth="1"/>
    <col min="17" max="17" width="15.7109375" customWidth="1"/>
    <col min="18" max="22" width="15.42578125" customWidth="1"/>
    <col min="23" max="23" width="21.85546875" customWidth="1"/>
    <col min="24" max="24" width="12.28515625" customWidth="1"/>
    <col min="25" max="25" width="19.140625" customWidth="1"/>
    <col min="26" max="26" width="13.85546875" customWidth="1"/>
    <col min="27" max="30" width="13.140625" customWidth="1"/>
  </cols>
  <sheetData>
    <row r="1" spans="2:30" ht="15.75" thickBot="1" x14ac:dyDescent="0.3">
      <c r="B1" s="6" t="s">
        <v>13</v>
      </c>
      <c r="C1" s="6"/>
      <c r="D1" s="6"/>
      <c r="E1" s="6"/>
    </row>
    <row r="2" spans="2:30" ht="15.75" thickBot="1" x14ac:dyDescent="0.3">
      <c r="C2" s="585" t="s">
        <v>138</v>
      </c>
      <c r="D2" s="586"/>
      <c r="E2" s="587"/>
      <c r="F2" s="556" t="s">
        <v>650</v>
      </c>
      <c r="G2" s="557"/>
      <c r="H2" s="557"/>
      <c r="I2" s="557"/>
      <c r="J2" s="557"/>
      <c r="K2" s="557"/>
      <c r="L2" s="557"/>
      <c r="M2" s="557"/>
      <c r="N2" s="557"/>
      <c r="O2" s="588" t="s">
        <v>651</v>
      </c>
      <c r="P2" s="581"/>
    </row>
    <row r="3" spans="2:30" ht="35.1" customHeight="1" x14ac:dyDescent="0.25">
      <c r="B3" s="589" t="s">
        <v>0</v>
      </c>
      <c r="C3" s="550" t="s">
        <v>160</v>
      </c>
      <c r="D3" s="565" t="s">
        <v>652</v>
      </c>
      <c r="E3" s="592" t="s">
        <v>653</v>
      </c>
      <c r="F3" s="550" t="s">
        <v>654</v>
      </c>
      <c r="G3" s="565" t="s">
        <v>655</v>
      </c>
      <c r="H3" s="563" t="s">
        <v>656</v>
      </c>
      <c r="I3" s="601" t="s">
        <v>657</v>
      </c>
      <c r="J3" s="565" t="s">
        <v>658</v>
      </c>
      <c r="K3" s="563" t="s">
        <v>659</v>
      </c>
      <c r="L3" s="601" t="s">
        <v>660</v>
      </c>
      <c r="M3" s="550" t="s">
        <v>661</v>
      </c>
      <c r="N3" s="599" t="s">
        <v>1</v>
      </c>
      <c r="O3" s="595" t="s">
        <v>132</v>
      </c>
      <c r="P3" s="597" t="s">
        <v>662</v>
      </c>
      <c r="R3" s="55"/>
    </row>
    <row r="4" spans="2:30" ht="35.1" customHeight="1" thickBot="1" x14ac:dyDescent="0.3">
      <c r="B4" s="590"/>
      <c r="C4" s="555"/>
      <c r="D4" s="591"/>
      <c r="E4" s="593"/>
      <c r="F4" s="555"/>
      <c r="G4" s="591"/>
      <c r="H4" s="594"/>
      <c r="I4" s="602"/>
      <c r="J4" s="591"/>
      <c r="K4" s="594"/>
      <c r="L4" s="602"/>
      <c r="M4" s="555"/>
      <c r="N4" s="600"/>
      <c r="O4" s="596"/>
      <c r="P4" s="598"/>
    </row>
    <row r="5" spans="2:30" ht="17.25" x14ac:dyDescent="0.25">
      <c r="B5" s="1">
        <f>Assumptions!$C$8</f>
        <v>2027</v>
      </c>
      <c r="C5" s="475">
        <f>($F5*V$7*'Travel Time Cost Savings'!$J$11+$F5*V$8*'Travel Time Cost Savings'!$J$12)/10^6</f>
        <v>2110.5147068110068</v>
      </c>
      <c r="D5" s="174">
        <f>-C5*_xlfn.XLOOKUP($B5,$R$13:$R$48,$V$13:$V$48)</f>
        <v>-128741.39711547141</v>
      </c>
      <c r="E5" s="175">
        <f>D5*(1+0.03)^-($B5-Assumptions!$C$6)</f>
        <v>-107818.89326766574</v>
      </c>
      <c r="F5" s="476">
        <f>_xlfn.XLOOKUP($B5,'Annualized Operations'!$B$13:$B$32,'Annualized Operations'!$G$13:$G$32)</f>
        <v>5712397.8250005245</v>
      </c>
      <c r="G5" s="212">
        <f>($F5*S$7*'Travel Time Cost Savings'!$J$11+$F5*S$8*'Travel Time Cost Savings'!$J$12)/10^6</f>
        <v>1.9079623796619656</v>
      </c>
      <c r="H5" s="213">
        <f>($F5*T$7*'Travel Time Cost Savings'!$J$11+$F5*T$8*'Travel Time Cost Savings'!$J$12)/10^6</f>
        <v>1.2703554613458656E-2</v>
      </c>
      <c r="I5" s="477">
        <f>($F5*U$7*'Travel Time Cost Savings'!$J$11+$F5*U$8*'Travel Time Cost Savings'!$J$12)/10^6</f>
        <v>4.1876957420381451E-2</v>
      </c>
      <c r="J5" s="211">
        <f>-G5*_xlfn.XLOOKUP($B5,$R$13:$R$48,$S$13:$S$48)</f>
        <v>-34152.526595949181</v>
      </c>
      <c r="K5" s="214">
        <f>-H5*_xlfn.XLOOKUP($B5,$R$13:$R$48,$T$13:$T$48)</f>
        <v>-618.66310967543654</v>
      </c>
      <c r="L5" s="175">
        <f>-I5*_xlfn.XLOOKUP($B5,$R$13:$R$48,$U$13:$U$48)</f>
        <v>-36248.694343082185</v>
      </c>
      <c r="M5" s="450">
        <f t="shared" ref="M5:M24" si="0">SUM(J5:L5)</f>
        <v>-71019.884048706794</v>
      </c>
      <c r="N5" s="176">
        <f>M5*(1+0.07)^-($B5-Assumptions!$C$6)</f>
        <v>-47323.547472206148</v>
      </c>
      <c r="O5" s="478">
        <f t="shared" ref="O5:P9" si="1">M5+D5</f>
        <v>-199761.28116417822</v>
      </c>
      <c r="P5" s="479">
        <f t="shared" si="1"/>
        <v>-155142.44073987188</v>
      </c>
      <c r="R5" s="210" t="s">
        <v>663</v>
      </c>
      <c r="S5" s="210"/>
      <c r="T5" s="210"/>
      <c r="U5" s="210"/>
      <c r="V5" s="210"/>
      <c r="X5" s="6" t="s">
        <v>664</v>
      </c>
    </row>
    <row r="6" spans="2:30" x14ac:dyDescent="0.25">
      <c r="B6" s="2">
        <f t="shared" ref="B6:B24" si="2">+B5+1</f>
        <v>2028</v>
      </c>
      <c r="C6" s="480">
        <f>($F6*V$7*'Travel Time Cost Savings'!$J$11+$F6*V$8*'Travel Time Cost Savings'!$J$12)/10^6</f>
        <v>2040.3819240177679</v>
      </c>
      <c r="D6" s="478">
        <f t="shared" ref="D6:D24" si="3">-C6*_xlfn.XLOOKUP($B6,$R$13:$R$48,$V$13:$V$48)</f>
        <v>-126503.67928910161</v>
      </c>
      <c r="E6" s="479">
        <f>D6*(1+0.03)^-($B6-Assumptions!$C$6)</f>
        <v>-102859.06778367054</v>
      </c>
      <c r="F6" s="481">
        <f>_xlfn.XLOOKUP($B6,'Annualized Operations'!$B$13:$B$32,'Annualized Operations'!$G$13:$G$32)</f>
        <v>5522573.8192276955</v>
      </c>
      <c r="G6" s="217">
        <f>($F6*S$7*'Travel Time Cost Savings'!$J$11+$F6*S$8*'Travel Time Cost Savings'!$J$12)/10^6</f>
        <v>1.844560447081883</v>
      </c>
      <c r="H6" s="218">
        <f>($F6*T$7*'Travel Time Cost Savings'!$J$11+$F6*T$8*'Travel Time Cost Savings'!$J$12)/10^6</f>
        <v>1.2281413211869487E-2</v>
      </c>
      <c r="I6" s="482">
        <f>($F6*U$7*'Travel Time Cost Savings'!$J$11+$F6*U$8*'Travel Time Cost Savings'!$J$12)/10^6</f>
        <v>4.0485378603457176E-2</v>
      </c>
      <c r="J6" s="219">
        <f t="shared" ref="J6:J24" si="4">-G6*_xlfn.XLOOKUP($B6,$R$13:$R$48,$S$13:$S$48)</f>
        <v>-33571.000136890274</v>
      </c>
      <c r="K6" s="220">
        <f t="shared" ref="K6:K24" si="5">-H6*_xlfn.XLOOKUP($B6,$R$13:$R$48,$T$13:$T$48)</f>
        <v>-607.92995398753965</v>
      </c>
      <c r="L6" s="120">
        <f t="shared" ref="L6:L24" si="6">-I6*_xlfn.XLOOKUP($B6,$R$13:$R$48,$U$13:$U$48)</f>
        <v>-35602.841943880238</v>
      </c>
      <c r="M6" s="451">
        <f t="shared" si="0"/>
        <v>-69781.772034758062</v>
      </c>
      <c r="N6" s="121">
        <f>M6*(1+0.07)^-($B6-Assumptions!$C$6)</f>
        <v>-43456.580522894961</v>
      </c>
      <c r="O6" s="119">
        <f t="shared" si="1"/>
        <v>-196285.45132385968</v>
      </c>
      <c r="P6" s="120">
        <f t="shared" si="1"/>
        <v>-146315.6483065655</v>
      </c>
      <c r="R6" s="59" t="s">
        <v>665</v>
      </c>
      <c r="S6" s="222" t="s">
        <v>141</v>
      </c>
      <c r="T6" s="222" t="s">
        <v>139</v>
      </c>
      <c r="U6" s="222" t="s">
        <v>142</v>
      </c>
      <c r="V6" s="222" t="s">
        <v>140</v>
      </c>
      <c r="X6" s="41" t="s">
        <v>666</v>
      </c>
      <c r="Y6" s="41" t="s">
        <v>667</v>
      </c>
      <c r="Z6" s="41" t="s">
        <v>668</v>
      </c>
      <c r="AA6" s="23" t="s">
        <v>141</v>
      </c>
      <c r="AB6" s="23" t="s">
        <v>139</v>
      </c>
      <c r="AC6" s="23" t="s">
        <v>142</v>
      </c>
      <c r="AD6" s="23" t="s">
        <v>140</v>
      </c>
    </row>
    <row r="7" spans="2:30" x14ac:dyDescent="0.25">
      <c r="B7" s="2">
        <f t="shared" si="2"/>
        <v>2029</v>
      </c>
      <c r="C7" s="480">
        <f>($F7*V$7*'Travel Time Cost Savings'!$J$11+$F7*V$8*'Travel Time Cost Savings'!$J$12)/10^6</f>
        <v>1970.2491412265547</v>
      </c>
      <c r="D7" s="478">
        <f t="shared" si="3"/>
        <v>-124125.69589727295</v>
      </c>
      <c r="E7" s="479">
        <f>D7*(1+0.03)^-($B7-Assumptions!$C$6)</f>
        <v>-97985.970556950677</v>
      </c>
      <c r="F7" s="481">
        <f>_xlfn.XLOOKUP($B7,'Annualized Operations'!$B$13:$B$32,'Annualized Operations'!$G$13:$G$32)</f>
        <v>5332749.81346035</v>
      </c>
      <c r="G7" s="217">
        <f>($F7*S$7*'Travel Time Cost Savings'!$J$11+$F7*S$8*'Travel Time Cost Savings'!$J$12)/10^6</f>
        <v>1.7811585145036317</v>
      </c>
      <c r="H7" s="218">
        <f>($F7*T$7*'Travel Time Cost Savings'!$J$11+$F7*T$8*'Travel Time Cost Savings'!$J$12)/10^6</f>
        <v>1.1859271810292516E-2</v>
      </c>
      <c r="I7" s="482">
        <f>($F7*U$7*'Travel Time Cost Savings'!$J$11+$F7*U$8*'Travel Time Cost Savings'!$J$12)/10^6</f>
        <v>3.9093799786573104E-2</v>
      </c>
      <c r="J7" s="219">
        <f t="shared" si="4"/>
        <v>-33129.548369767552</v>
      </c>
      <c r="K7" s="220">
        <f t="shared" si="5"/>
        <v>-597.70729923874285</v>
      </c>
      <c r="L7" s="120">
        <f t="shared" si="6"/>
        <v>-34926.400729324414</v>
      </c>
      <c r="M7" s="451">
        <f t="shared" si="0"/>
        <v>-68653.656398330699</v>
      </c>
      <c r="N7" s="121">
        <f>M7*(1+0.07)^-($B7-Assumptions!$C$6)</f>
        <v>-39957.053085508269</v>
      </c>
      <c r="O7" s="119">
        <f t="shared" si="1"/>
        <v>-192779.35229560366</v>
      </c>
      <c r="P7" s="120">
        <f t="shared" si="1"/>
        <v>-137943.02364245895</v>
      </c>
      <c r="R7" s="59" t="s">
        <v>669</v>
      </c>
      <c r="S7" s="483">
        <f>AA25</f>
        <v>0.22790983982547491</v>
      </c>
      <c r="T7" s="483">
        <f t="shared" ref="T7:V7" si="7">AB25</f>
        <v>2.0699004398994176E-3</v>
      </c>
      <c r="U7" s="483">
        <f t="shared" si="7"/>
        <v>5.8180715878192544E-3</v>
      </c>
      <c r="V7" s="483">
        <f t="shared" si="7"/>
        <v>317.22468262036</v>
      </c>
      <c r="X7" s="23">
        <v>11</v>
      </c>
      <c r="Y7" s="41" t="s">
        <v>670</v>
      </c>
      <c r="Z7" s="41" t="s">
        <v>671</v>
      </c>
      <c r="AA7" s="484">
        <v>0.73690802096518104</v>
      </c>
      <c r="AB7" s="484">
        <v>2.4081927794970298E-3</v>
      </c>
      <c r="AC7" s="484">
        <v>1.78605259703664E-2</v>
      </c>
      <c r="AD7" s="484">
        <v>362.51238716242</v>
      </c>
    </row>
    <row r="8" spans="2:30" x14ac:dyDescent="0.25">
      <c r="B8" s="2">
        <f t="shared" si="2"/>
        <v>2030</v>
      </c>
      <c r="C8" s="480">
        <f>($F8*V$7*'Travel Time Cost Savings'!$J$11+$F8*V$8*'Travel Time Cost Savings'!$J$12)/10^6</f>
        <v>1900.1163584343728</v>
      </c>
      <c r="D8" s="478">
        <f t="shared" si="3"/>
        <v>-123507.56329823424</v>
      </c>
      <c r="E8" s="479">
        <f>D8*(1+0.03)^-($B8-Assumptions!$C$6)</f>
        <v>-94658.263082756355</v>
      </c>
      <c r="F8" s="481">
        <f>_xlfn.XLOOKUP($B8,'Annualized Operations'!$B$13:$B$32,'Annualized Operations'!$G$13:$G$32)</f>
        <v>5142925.807690382</v>
      </c>
      <c r="G8" s="217">
        <f>($F8*S$7*'Travel Time Cost Savings'!$J$11+$F8*S$8*'Travel Time Cost Savings'!$J$12)/10^6</f>
        <v>1.7177565819245051</v>
      </c>
      <c r="H8" s="218">
        <f>($F8*T$7*'Travel Time Cost Savings'!$J$11+$F8*T$8*'Travel Time Cost Savings'!$J$12)/10^6</f>
        <v>1.1437130408709714E-2</v>
      </c>
      <c r="I8" s="482">
        <f>($F8*U$7*'Travel Time Cost Savings'!$J$11+$F8*U$8*'Travel Time Cost Savings'!$J$12)/10^6</f>
        <v>3.7702220969669804E-2</v>
      </c>
      <c r="J8" s="219">
        <f t="shared" si="4"/>
        <v>-32465.599398373146</v>
      </c>
      <c r="K8" s="220">
        <f t="shared" si="5"/>
        <v>-586.72478996680832</v>
      </c>
      <c r="L8" s="120">
        <f t="shared" si="6"/>
        <v>-34218.535752072312</v>
      </c>
      <c r="M8" s="451">
        <f t="shared" si="0"/>
        <v>-67270.859940412265</v>
      </c>
      <c r="N8" s="121">
        <f>M8*(1+0.07)^-($B8-Assumptions!$C$6)</f>
        <v>-36590.890614242482</v>
      </c>
      <c r="O8" s="119">
        <f t="shared" si="1"/>
        <v>-190778.4232386465</v>
      </c>
      <c r="P8" s="120">
        <f t="shared" si="1"/>
        <v>-131249.15369699884</v>
      </c>
      <c r="R8" s="59" t="s">
        <v>672</v>
      </c>
      <c r="S8" s="483">
        <f t="shared" ref="S8:V8" si="8">AA26</f>
        <v>2.099484306313415</v>
      </c>
      <c r="T8" s="483">
        <f t="shared" si="8"/>
        <v>4.7858028693373951E-3</v>
      </c>
      <c r="U8" s="483">
        <f t="shared" si="8"/>
        <v>3.2505287070740692E-2</v>
      </c>
      <c r="V8" s="483">
        <f t="shared" si="8"/>
        <v>1238.7315972924489</v>
      </c>
      <c r="X8" s="23">
        <v>21</v>
      </c>
      <c r="Y8" s="41" t="s">
        <v>673</v>
      </c>
      <c r="Z8" s="41" t="s">
        <v>671</v>
      </c>
      <c r="AA8" s="484">
        <v>3.7528759722247264E-2</v>
      </c>
      <c r="AB8" s="484">
        <v>1.6122938930079201E-3</v>
      </c>
      <c r="AC8" s="484">
        <v>1.1798384221972261E-3</v>
      </c>
      <c r="AD8" s="484">
        <v>243.79125643460799</v>
      </c>
    </row>
    <row r="9" spans="2:30" ht="15" customHeight="1" x14ac:dyDescent="0.25">
      <c r="B9" s="2">
        <f t="shared" si="2"/>
        <v>2031</v>
      </c>
      <c r="C9" s="480">
        <f>($F9*V$7*'Travel Time Cost Savings'!$J$11+$F9*V$8*'Travel Time Cost Savings'!$J$12)/10^6</f>
        <v>1829.9835756422788</v>
      </c>
      <c r="D9" s="478">
        <f t="shared" si="3"/>
        <v>-120778.91599239039</v>
      </c>
      <c r="E9" s="479">
        <f>D9*(1+0.03)^-($B9-Assumptions!$C$6)</f>
        <v>-89870.856437760449</v>
      </c>
      <c r="F9" s="481">
        <f>_xlfn.XLOOKUP($B9,'Annualized Operations'!$B$13:$B$32,'Annualized Operations'!$G$13:$G$32)</f>
        <v>4953101.8019206524</v>
      </c>
      <c r="G9" s="217">
        <f>($F9*S$7*'Travel Time Cost Savings'!$J$11+$F9*S$8*'Travel Time Cost Savings'!$J$12)/10^6</f>
        <v>1.6543546493454575</v>
      </c>
      <c r="H9" s="218">
        <f>($F9*T$7*'Travel Time Cost Savings'!$J$11+$F9*T$8*'Travel Time Cost Savings'!$J$12)/10^6</f>
        <v>1.101498900712744E-2</v>
      </c>
      <c r="I9" s="482">
        <f>($F9*U$7*'Travel Time Cost Savings'!$J$11+$F9*U$8*'Travel Time Cost Savings'!$J$12)/10^6</f>
        <v>3.631064215276826E-2</v>
      </c>
      <c r="J9" s="219">
        <f t="shared" si="4"/>
        <v>-31267.302872629149</v>
      </c>
      <c r="K9" s="220">
        <f t="shared" si="5"/>
        <v>-565.06893606563767</v>
      </c>
      <c r="L9" s="120">
        <f t="shared" si="6"/>
        <v>-32955.538817852474</v>
      </c>
      <c r="M9" s="451">
        <f t="shared" si="0"/>
        <v>-64787.910626547258</v>
      </c>
      <c r="N9" s="121">
        <f>M9*(1+0.07)^-($B9-Assumptions!$C$6)</f>
        <v>-32934.888505892661</v>
      </c>
      <c r="O9" s="119">
        <f t="shared" si="1"/>
        <v>-185566.82661893766</v>
      </c>
      <c r="P9" s="120">
        <f t="shared" si="1"/>
        <v>-122805.74494365312</v>
      </c>
      <c r="R9" s="6"/>
      <c r="S9" s="207"/>
      <c r="T9" s="485"/>
      <c r="U9" s="207"/>
      <c r="V9" s="486"/>
      <c r="X9" s="23">
        <v>31</v>
      </c>
      <c r="Y9" s="41" t="s">
        <v>673</v>
      </c>
      <c r="Z9" s="41" t="s">
        <v>671</v>
      </c>
      <c r="AA9" s="484">
        <v>5.602001301010253E-2</v>
      </c>
      <c r="AB9" s="484">
        <v>2.0534055761767299E-3</v>
      </c>
      <c r="AC9" s="484">
        <v>1.6834690354423085E-3</v>
      </c>
      <c r="AD9" s="484">
        <v>318.590574637288</v>
      </c>
    </row>
    <row r="10" spans="2:30" x14ac:dyDescent="0.25">
      <c r="B10" s="2">
        <f t="shared" si="2"/>
        <v>2032</v>
      </c>
      <c r="C10" s="480">
        <f>($F10*V$7*'Travel Time Cost Savings'!$J$11+$F10*V$8*'Travel Time Cost Savings'!$J$12)/10^6</f>
        <v>1759.8507928510655</v>
      </c>
      <c r="D10" s="478">
        <f t="shared" si="3"/>
        <v>-117910.00312102139</v>
      </c>
      <c r="E10" s="479">
        <f>D10*(1+0.03)^-($B10-Assumptions!$C$6)</f>
        <v>-85180.694978452317</v>
      </c>
      <c r="F10" s="481">
        <f>_xlfn.XLOOKUP($B10,'Annualized Operations'!$B$13:$B$32,'Annualized Operations'!$G$13:$G$32)</f>
        <v>4763277.796153307</v>
      </c>
      <c r="G10" s="217">
        <f>($F10*S$7*'Travel Time Cost Savings'!$J$11+$F10*S$8*'Travel Time Cost Savings'!$J$12)/10^6</f>
        <v>1.5909527167672068</v>
      </c>
      <c r="H10" s="218">
        <f>($F10*T$7*'Travel Time Cost Savings'!$J$11+$F10*T$8*'Travel Time Cost Savings'!$J$12)/10^6</f>
        <v>1.059284760555047E-2</v>
      </c>
      <c r="I10" s="482">
        <f>($F10*U$7*'Travel Time Cost Savings'!$J$11+$F10*U$8*'Travel Time Cost Savings'!$J$12)/10^6</f>
        <v>3.4919063335884189E-2</v>
      </c>
      <c r="J10" s="219">
        <f t="shared" si="4"/>
        <v>-30069.006346900209</v>
      </c>
      <c r="K10" s="220">
        <f t="shared" si="5"/>
        <v>-543.41308216473908</v>
      </c>
      <c r="L10" s="120">
        <f t="shared" si="6"/>
        <v>-31692.54188364849</v>
      </c>
      <c r="M10" s="451">
        <f t="shared" ref="M10:M15" si="9">SUM(J10:L10)</f>
        <v>-62304.961312713436</v>
      </c>
      <c r="N10" s="121">
        <f>M10*(1+0.07)^-($B10-Assumptions!$C$6)</f>
        <v>-29600.638298877428</v>
      </c>
      <c r="O10" s="119">
        <f t="shared" ref="O10:O15" si="10">M10+D10</f>
        <v>-180214.96443373483</v>
      </c>
      <c r="P10" s="120">
        <f t="shared" ref="P10:P15" si="11">N10+E10</f>
        <v>-114781.33327732974</v>
      </c>
      <c r="S10" s="19"/>
      <c r="T10" s="19"/>
      <c r="U10" s="19"/>
      <c r="V10" s="19"/>
      <c r="X10" s="23">
        <v>32</v>
      </c>
      <c r="Y10" s="41" t="s">
        <v>673</v>
      </c>
      <c r="Z10" s="41" t="s">
        <v>671</v>
      </c>
      <c r="AA10" s="484">
        <v>8.1182565604368817E-2</v>
      </c>
      <c r="AB10" s="484">
        <v>2.2057095109159902E-3</v>
      </c>
      <c r="AC10" s="484">
        <v>2.5484529232710825E-3</v>
      </c>
      <c r="AD10" s="484">
        <v>344.00451224712401</v>
      </c>
    </row>
    <row r="11" spans="2:30" ht="17.25" x14ac:dyDescent="0.25">
      <c r="B11" s="2">
        <f t="shared" si="2"/>
        <v>2033</v>
      </c>
      <c r="C11" s="480">
        <f>($F11*V$7*'Travel Time Cost Savings'!$J$11+$F11*V$8*'Travel Time Cost Savings'!$J$12)/10^6</f>
        <v>1689.7180100588837</v>
      </c>
      <c r="D11" s="478">
        <f t="shared" si="3"/>
        <v>-114900.8246840041</v>
      </c>
      <c r="E11" s="479">
        <f>D11*(1+0.03)^-($B11-Assumptions!$C$6)</f>
        <v>-80589.126650940612</v>
      </c>
      <c r="F11" s="481">
        <f>_xlfn.XLOOKUP($B11,'Annualized Operations'!$B$13:$B$32,'Annualized Operations'!$G$13:$G$32)</f>
        <v>4573453.7903833389</v>
      </c>
      <c r="G11" s="217">
        <f>($F11*S$7*'Travel Time Cost Savings'!$J$11+$F11*S$8*'Travel Time Cost Savings'!$J$12)/10^6</f>
        <v>1.5275507841880795</v>
      </c>
      <c r="H11" s="218">
        <f>($F11*T$7*'Travel Time Cost Savings'!$J$11+$F11*T$8*'Travel Time Cost Savings'!$J$12)/10^6</f>
        <v>1.0170706203967666E-2</v>
      </c>
      <c r="I11" s="482">
        <f>($F11*U$7*'Travel Time Cost Savings'!$J$11+$F11*U$8*'Travel Time Cost Savings'!$J$12)/10^6</f>
        <v>3.3527484518980889E-2</v>
      </c>
      <c r="J11" s="219">
        <f t="shared" si="4"/>
        <v>-28870.709821154702</v>
      </c>
      <c r="K11" s="220">
        <f t="shared" si="5"/>
        <v>-521.75722826354126</v>
      </c>
      <c r="L11" s="120">
        <f t="shared" si="6"/>
        <v>-30429.544949427054</v>
      </c>
      <c r="M11" s="451">
        <f t="shared" si="9"/>
        <v>-59822.011998845293</v>
      </c>
      <c r="N11" s="121">
        <f>M11*(1+0.07)^-($B11-Assumptions!$C$6)</f>
        <v>-26561.688753330072</v>
      </c>
      <c r="O11" s="119">
        <f t="shared" si="10"/>
        <v>-174722.83668284939</v>
      </c>
      <c r="P11" s="120">
        <f t="shared" si="11"/>
        <v>-107150.81540427069</v>
      </c>
      <c r="R11" s="6" t="s">
        <v>674</v>
      </c>
      <c r="X11" s="23">
        <v>41</v>
      </c>
      <c r="Y11" s="41" t="s">
        <v>675</v>
      </c>
      <c r="Z11" s="41" t="s">
        <v>676</v>
      </c>
      <c r="AA11" s="484">
        <v>2.237602310868759</v>
      </c>
      <c r="AB11" s="484">
        <v>5.5717265564873301E-3</v>
      </c>
      <c r="AC11" s="484">
        <v>1.658066855283262E-2</v>
      </c>
      <c r="AD11" s="484">
        <v>1406.7823013201701</v>
      </c>
    </row>
    <row r="12" spans="2:30" x14ac:dyDescent="0.25">
      <c r="B12" s="2">
        <f t="shared" si="2"/>
        <v>2034</v>
      </c>
      <c r="C12" s="480">
        <f>($F12*V$7*'Travel Time Cost Savings'!$J$11+$F12*V$8*'Travel Time Cost Savings'!$J$12)/10^6</f>
        <v>1619.5852272667016</v>
      </c>
      <c r="D12" s="478">
        <f t="shared" si="3"/>
        <v>-111751.38068140241</v>
      </c>
      <c r="E12" s="479">
        <f>D12*(1+0.03)^-($B12-Assumptions!$C$6)</f>
        <v>-76097.252421088706</v>
      </c>
      <c r="F12" s="481">
        <f>_xlfn.XLOOKUP($B12,'Annualized Operations'!$B$13:$B$32,'Annualized Operations'!$G$13:$G$32)</f>
        <v>4383629.7846133709</v>
      </c>
      <c r="G12" s="217">
        <f>($F12*S$7*'Travel Time Cost Savings'!$J$11+$F12*S$8*'Travel Time Cost Savings'!$J$12)/10^6</f>
        <v>1.4641488516089527</v>
      </c>
      <c r="H12" s="218">
        <f>($F12*T$7*'Travel Time Cost Savings'!$J$11+$F12*T$8*'Travel Time Cost Savings'!$J$12)/10^6</f>
        <v>9.7485648023848646E-3</v>
      </c>
      <c r="I12" s="482">
        <f>($F12*U$7*'Travel Time Cost Savings'!$J$11+$F12*U$8*'Travel Time Cost Savings'!$J$12)/10^6</f>
        <v>3.2135905702077597E-2</v>
      </c>
      <c r="J12" s="219">
        <f t="shared" si="4"/>
        <v>-27672.413295409206</v>
      </c>
      <c r="K12" s="220">
        <f t="shared" si="5"/>
        <v>-500.10137436234356</v>
      </c>
      <c r="L12" s="120">
        <f t="shared" si="6"/>
        <v>-29166.548015205626</v>
      </c>
      <c r="M12" s="451">
        <f t="shared" si="9"/>
        <v>-57339.06268497718</v>
      </c>
      <c r="N12" s="121">
        <f>M12*(1+0.07)^-($B12-Assumptions!$C$6)</f>
        <v>-23793.672489517805</v>
      </c>
      <c r="O12" s="119">
        <f t="shared" si="10"/>
        <v>-169090.44336637959</v>
      </c>
      <c r="P12" s="120">
        <f t="shared" si="11"/>
        <v>-99890.924910606511</v>
      </c>
      <c r="R12" s="223" t="s">
        <v>75</v>
      </c>
      <c r="S12" s="71" t="s">
        <v>141</v>
      </c>
      <c r="T12" s="71" t="s">
        <v>139</v>
      </c>
      <c r="U12" s="71" t="s">
        <v>142</v>
      </c>
      <c r="V12" s="71" t="s">
        <v>140</v>
      </c>
      <c r="X12" s="23">
        <v>42</v>
      </c>
      <c r="Y12" s="41" t="s">
        <v>675</v>
      </c>
      <c r="Z12" s="41" t="s">
        <v>676</v>
      </c>
      <c r="AA12" s="484">
        <v>1.9658170115512426</v>
      </c>
      <c r="AB12" s="484">
        <v>5.4889920561794897E-3</v>
      </c>
      <c r="AC12" s="484">
        <v>1.2308421676718551E-2</v>
      </c>
      <c r="AD12" s="484">
        <v>1391.9649569298599</v>
      </c>
    </row>
    <row r="13" spans="2:30" ht="15" customHeight="1" x14ac:dyDescent="0.25">
      <c r="B13" s="2">
        <f t="shared" si="2"/>
        <v>2035</v>
      </c>
      <c r="C13" s="480">
        <f>($F13*V$7*'Travel Time Cost Savings'!$J$11+$F13*V$8*'Travel Time Cost Savings'!$J$12)/10^6</f>
        <v>1549.4524444745198</v>
      </c>
      <c r="D13" s="478">
        <f t="shared" si="3"/>
        <v>-108461.67111321639</v>
      </c>
      <c r="E13" s="479">
        <f>D13*(1+0.03)^-($B13-Assumptions!$C$6)</f>
        <v>-71705.942021790339</v>
      </c>
      <c r="F13" s="481">
        <f>_xlfn.XLOOKUP($B13,'Annualized Operations'!$B$13:$B$32,'Annualized Operations'!$G$13:$G$32)</f>
        <v>4193805.7788434029</v>
      </c>
      <c r="G13" s="217">
        <f>($F13*S$7*'Travel Time Cost Savings'!$J$11+$F13*S$8*'Travel Time Cost Savings'!$J$12)/10^6</f>
        <v>1.4007469190298258</v>
      </c>
      <c r="H13" s="218">
        <f>($F13*T$7*'Travel Time Cost Savings'!$J$11+$F13*T$8*'Travel Time Cost Savings'!$J$12)/10^6</f>
        <v>9.3264234008020586E-3</v>
      </c>
      <c r="I13" s="482">
        <f>($F13*U$7*'Travel Time Cost Savings'!$J$11+$F13*U$8*'Travel Time Cost Savings'!$J$12)/10^6</f>
        <v>3.0744326885174297E-2</v>
      </c>
      <c r="J13" s="219">
        <f t="shared" si="4"/>
        <v>-26474.116769663709</v>
      </c>
      <c r="K13" s="220">
        <f t="shared" si="5"/>
        <v>-478.44552046114558</v>
      </c>
      <c r="L13" s="120">
        <f t="shared" si="6"/>
        <v>-27903.551080984191</v>
      </c>
      <c r="M13" s="451">
        <f t="shared" si="9"/>
        <v>-54856.113371109044</v>
      </c>
      <c r="N13" s="121">
        <f>M13*(1+0.07)^-($B13-Assumptions!$C$6)</f>
        <v>-21274.146540517097</v>
      </c>
      <c r="O13" s="119">
        <f t="shared" si="10"/>
        <v>-163317.78448432544</v>
      </c>
      <c r="P13" s="120">
        <f t="shared" si="11"/>
        <v>-92980.088562307443</v>
      </c>
      <c r="R13" s="224">
        <v>2022</v>
      </c>
      <c r="S13" s="487">
        <v>16600</v>
      </c>
      <c r="T13" s="487">
        <v>44300</v>
      </c>
      <c r="U13" s="487">
        <v>796700</v>
      </c>
      <c r="V13" s="487">
        <v>56</v>
      </c>
      <c r="X13" s="23">
        <v>43</v>
      </c>
      <c r="Y13" s="41" t="s">
        <v>675</v>
      </c>
      <c r="Z13" s="41" t="s">
        <v>676</v>
      </c>
      <c r="AA13" s="484">
        <v>1.9469017025302577</v>
      </c>
      <c r="AB13" s="484">
        <v>3.66910948950592E-3</v>
      </c>
      <c r="AC13" s="484">
        <v>5.5096995199883071E-2</v>
      </c>
      <c r="AD13" s="484">
        <v>1071.1129065416801</v>
      </c>
    </row>
    <row r="14" spans="2:30" x14ac:dyDescent="0.25">
      <c r="B14" s="2">
        <f t="shared" si="2"/>
        <v>2036</v>
      </c>
      <c r="C14" s="480">
        <f>($F14*V$7*'Travel Time Cost Savings'!$J$11+$F14*V$8*'Travel Time Cost Savings'!$J$12)/10^6</f>
        <v>1479.3196616833063</v>
      </c>
      <c r="D14" s="478">
        <f t="shared" si="3"/>
        <v>-106511.01564119806</v>
      </c>
      <c r="E14" s="479">
        <f>D14*(1+0.03)^-($B14-Assumptions!$C$6)</f>
        <v>-68365.367918661635</v>
      </c>
      <c r="F14" s="481">
        <f>_xlfn.XLOOKUP($B14,'Annualized Operations'!$B$13:$B$32,'Annualized Operations'!$G$13:$G$32)</f>
        <v>4003981.7730760574</v>
      </c>
      <c r="G14" s="217">
        <f>($F14*S$7*'Travel Time Cost Savings'!$J$11+$F14*S$8*'Travel Time Cost Savings'!$J$12)/10^6</f>
        <v>1.3373449864515745</v>
      </c>
      <c r="H14" s="218">
        <f>($F14*T$7*'Travel Time Cost Savings'!$J$11+$F14*T$8*'Travel Time Cost Savings'!$J$12)/10^6</f>
        <v>8.9042819992250881E-3</v>
      </c>
      <c r="I14" s="482">
        <f>($F14*U$7*'Travel Time Cost Savings'!$J$11+$F14*U$8*'Travel Time Cost Savings'!$J$12)/10^6</f>
        <v>2.9352748068290229E-2</v>
      </c>
      <c r="J14" s="219">
        <f t="shared" si="4"/>
        <v>-25275.820243934759</v>
      </c>
      <c r="K14" s="220">
        <f t="shared" si="5"/>
        <v>-456.78966656024704</v>
      </c>
      <c r="L14" s="120">
        <f t="shared" si="6"/>
        <v>-26640.55414678021</v>
      </c>
      <c r="M14" s="451">
        <f t="shared" si="9"/>
        <v>-52373.164057275215</v>
      </c>
      <c r="N14" s="121">
        <f>M14*(1+0.07)^-($B14-Assumptions!$C$6)</f>
        <v>-18982.4448486357</v>
      </c>
      <c r="O14" s="119">
        <f t="shared" si="10"/>
        <v>-158884.17969847328</v>
      </c>
      <c r="P14" s="120">
        <f t="shared" si="11"/>
        <v>-87347.812767297335</v>
      </c>
      <c r="R14" s="224">
        <v>2023</v>
      </c>
      <c r="S14" s="487">
        <v>16800</v>
      </c>
      <c r="T14" s="487">
        <v>45100</v>
      </c>
      <c r="U14" s="487">
        <v>810500</v>
      </c>
      <c r="V14" s="487">
        <v>57</v>
      </c>
      <c r="X14" s="23">
        <v>51</v>
      </c>
      <c r="Y14" s="41" t="s">
        <v>677</v>
      </c>
      <c r="Z14" s="41" t="s">
        <v>676</v>
      </c>
      <c r="AA14" s="484">
        <v>2.48942987946789</v>
      </c>
      <c r="AB14" s="484">
        <v>5.2833773025508703E-3</v>
      </c>
      <c r="AC14" s="484">
        <v>3.4321389281753531E-2</v>
      </c>
      <c r="AD14" s="484">
        <v>1427.83446247497</v>
      </c>
    </row>
    <row r="15" spans="2:30" x14ac:dyDescent="0.25">
      <c r="B15" s="2">
        <f t="shared" si="2"/>
        <v>2037</v>
      </c>
      <c r="C15" s="480">
        <f>($F15*V$7*'Travel Time Cost Savings'!$J$11+$F15*V$8*'Travel Time Cost Savings'!$J$12)/10^6</f>
        <v>1409.1868788911245</v>
      </c>
      <c r="D15" s="478">
        <f t="shared" si="3"/>
        <v>-102870.64215905209</v>
      </c>
      <c r="E15" s="479">
        <f>D15*(1+0.03)^-($B15-Assumptions!$C$6)</f>
        <v>-64105.583209864148</v>
      </c>
      <c r="F15" s="481">
        <f>_xlfn.XLOOKUP($B15,'Annualized Operations'!$B$13:$B$32,'Annualized Operations'!$G$13:$G$32)</f>
        <v>3814157.7673060894</v>
      </c>
      <c r="G15" s="217">
        <f>($F15*S$7*'Travel Time Cost Savings'!$J$11+$F15*S$8*'Travel Time Cost Savings'!$J$12)/10^6</f>
        <v>1.2739430538724477</v>
      </c>
      <c r="H15" s="218">
        <f>($F15*T$7*'Travel Time Cost Savings'!$J$11+$F15*T$8*'Travel Time Cost Savings'!$J$12)/10^6</f>
        <v>8.4821405976422855E-3</v>
      </c>
      <c r="I15" s="482">
        <f>($F15*U$7*'Travel Time Cost Savings'!$J$11+$F15*U$8*'Travel Time Cost Savings'!$J$12)/10^6</f>
        <v>2.796116925138693E-2</v>
      </c>
      <c r="J15" s="219">
        <f t="shared" si="4"/>
        <v>-24077.523718189263</v>
      </c>
      <c r="K15" s="220">
        <f t="shared" si="5"/>
        <v>-435.13381265904923</v>
      </c>
      <c r="L15" s="120">
        <f t="shared" si="6"/>
        <v>-25377.557212558779</v>
      </c>
      <c r="M15" s="451">
        <f t="shared" si="9"/>
        <v>-49890.214743407094</v>
      </c>
      <c r="N15" s="121">
        <f>M15*(1+0.07)^-($B15-Assumptions!$C$6)</f>
        <v>-16899.5418250939</v>
      </c>
      <c r="O15" s="119">
        <f t="shared" si="10"/>
        <v>-152760.85690245917</v>
      </c>
      <c r="P15" s="120">
        <f t="shared" si="11"/>
        <v>-81005.125034958051</v>
      </c>
      <c r="R15" s="224">
        <v>2024</v>
      </c>
      <c r="S15" s="487">
        <v>17000</v>
      </c>
      <c r="T15" s="487">
        <v>46000</v>
      </c>
      <c r="U15" s="487">
        <v>824500</v>
      </c>
      <c r="V15" s="487">
        <v>58</v>
      </c>
      <c r="X15" s="23">
        <v>52</v>
      </c>
      <c r="Y15" s="41" t="s">
        <v>677</v>
      </c>
      <c r="Z15" s="41" t="s">
        <v>676</v>
      </c>
      <c r="AA15" s="484">
        <v>0.95074648895471525</v>
      </c>
      <c r="AB15" s="484">
        <v>3.5321878667988801E-3</v>
      </c>
      <c r="AC15" s="484">
        <v>1.5158170819293781E-2</v>
      </c>
      <c r="AD15" s="484">
        <v>862.616489254057</v>
      </c>
    </row>
    <row r="16" spans="2:30" x14ac:dyDescent="0.25">
      <c r="B16" s="2">
        <f t="shared" si="2"/>
        <v>2038</v>
      </c>
      <c r="C16" s="480">
        <f>($F16*V$7*'Travel Time Cost Savings'!$J$11+$F16*V$8*'Travel Time Cost Savings'!$J$12)/10^6</f>
        <v>1339.0540960989422</v>
      </c>
      <c r="D16" s="478">
        <f t="shared" si="3"/>
        <v>-99090.003111321726</v>
      </c>
      <c r="E16" s="479">
        <f>D16*(1+0.03)^-($B16-Assumptions!$C$6)</f>
        <v>-59951.081501159191</v>
      </c>
      <c r="F16" s="481">
        <f>_xlfn.XLOOKUP($B16,'Annualized Operations'!$B$13:$B$32,'Annualized Operations'!$G$13:$G$32)</f>
        <v>3624333.7615361214</v>
      </c>
      <c r="G16" s="217">
        <f>($F16*S$7*'Travel Time Cost Savings'!$J$11+$F16*S$8*'Travel Time Cost Savings'!$J$12)/10^6</f>
        <v>1.2105411212933208</v>
      </c>
      <c r="H16" s="218">
        <f>($F16*T$7*'Travel Time Cost Savings'!$J$11+$F16*T$8*'Travel Time Cost Savings'!$J$12)/10^6</f>
        <v>8.0599991960594811E-3</v>
      </c>
      <c r="I16" s="482">
        <f>($F16*U$7*'Travel Time Cost Savings'!$J$11+$F16*U$8*'Travel Time Cost Savings'!$J$12)/10^6</f>
        <v>2.6569590434483637E-2</v>
      </c>
      <c r="J16" s="219">
        <f t="shared" si="4"/>
        <v>-22879.227192443763</v>
      </c>
      <c r="K16" s="220">
        <f t="shared" si="5"/>
        <v>-413.47795875785135</v>
      </c>
      <c r="L16" s="120">
        <f t="shared" si="6"/>
        <v>-24114.560278337351</v>
      </c>
      <c r="M16" s="451">
        <f t="shared" si="0"/>
        <v>-47407.265429538966</v>
      </c>
      <c r="N16" s="121">
        <f>M16*(1+0.07)^-($B16-Assumptions!$C$6)</f>
        <v>-15007.92615692658</v>
      </c>
      <c r="O16" s="119">
        <f t="shared" ref="O16:P24" si="12">M16+D16</f>
        <v>-146497.26854086068</v>
      </c>
      <c r="P16" s="120">
        <f t="shared" si="12"/>
        <v>-74959.007658085771</v>
      </c>
      <c r="R16" s="224">
        <v>2025</v>
      </c>
      <c r="S16" s="487">
        <v>17200</v>
      </c>
      <c r="T16" s="487">
        <v>46900</v>
      </c>
      <c r="U16" s="487">
        <v>838800</v>
      </c>
      <c r="V16" s="487">
        <v>59</v>
      </c>
      <c r="X16" s="23">
        <v>53</v>
      </c>
      <c r="Y16" s="41" t="s">
        <v>677</v>
      </c>
      <c r="Z16" s="41" t="s">
        <v>676</v>
      </c>
      <c r="AA16" s="484">
        <v>0.89067775827536644</v>
      </c>
      <c r="AB16" s="484">
        <v>3.4020765235606102E-3</v>
      </c>
      <c r="AC16" s="484">
        <v>1.349939126139434E-2</v>
      </c>
      <c r="AD16" s="484">
        <v>829.46088804247995</v>
      </c>
    </row>
    <row r="17" spans="1:30" x14ac:dyDescent="0.25">
      <c r="B17" s="2">
        <f t="shared" si="2"/>
        <v>2039</v>
      </c>
      <c r="C17" s="480">
        <f>($F17*V$7*'Travel Time Cost Savings'!$J$11+$F17*V$8*'Travel Time Cost Savings'!$J$12)/10^6</f>
        <v>1268.9213133078174</v>
      </c>
      <c r="D17" s="478">
        <f t="shared" si="3"/>
        <v>-95169.0984980863</v>
      </c>
      <c r="E17" s="479">
        <f>D17*(1+0.03)^-($B17-Assumptions!$C$6)</f>
        <v>-55901.815269478764</v>
      </c>
      <c r="F17" s="481">
        <f>_xlfn.XLOOKUP($B17,'Annualized Operations'!$B$13:$B$32,'Annualized Operations'!$G$13:$G$32)</f>
        <v>3434509.7557690144</v>
      </c>
      <c r="G17" s="217">
        <f>($F17*S$7*'Travel Time Cost Savings'!$J$11+$F17*S$8*'Travel Time Cost Savings'!$J$12)/10^6</f>
        <v>1.1471391887151492</v>
      </c>
      <c r="H17" s="218">
        <f>($F17*T$7*'Travel Time Cost Savings'!$J$11+$F17*T$8*'Travel Time Cost Savings'!$J$12)/10^6</f>
        <v>7.6378577944830398E-3</v>
      </c>
      <c r="I17" s="482">
        <f>($F17*U$7*'Travel Time Cost Savings'!$J$11+$F17*U$8*'Travel Time Cost Savings'!$J$12)/10^6</f>
        <v>2.5178011617601311E-2</v>
      </c>
      <c r="J17" s="219">
        <f t="shared" si="4"/>
        <v>-21680.930666716318</v>
      </c>
      <c r="K17" s="220">
        <f t="shared" si="5"/>
        <v>-391.82210485697993</v>
      </c>
      <c r="L17" s="120">
        <f t="shared" si="6"/>
        <v>-22851.563344134949</v>
      </c>
      <c r="M17" s="451">
        <f t="shared" si="0"/>
        <v>-44924.31611570825</v>
      </c>
      <c r="N17" s="121">
        <f>M17*(1+0.07)^-($B17-Assumptions!$C$6)</f>
        <v>-13291.484104062934</v>
      </c>
      <c r="O17" s="119">
        <f t="shared" si="12"/>
        <v>-140093.41461379454</v>
      </c>
      <c r="P17" s="120">
        <f t="shared" si="12"/>
        <v>-69193.299373541697</v>
      </c>
      <c r="R17" s="224">
        <v>2026</v>
      </c>
      <c r="S17" s="487">
        <v>17500</v>
      </c>
      <c r="T17" s="487">
        <v>47800</v>
      </c>
      <c r="U17" s="487">
        <v>852100</v>
      </c>
      <c r="V17" s="487">
        <v>60</v>
      </c>
      <c r="X17" s="23">
        <v>54</v>
      </c>
      <c r="Y17" s="41" t="s">
        <v>677</v>
      </c>
      <c r="Z17" s="41" t="s">
        <v>676</v>
      </c>
      <c r="AA17" s="484">
        <v>1.6481032166429217</v>
      </c>
      <c r="AB17" s="484">
        <v>6.0326542026046303E-3</v>
      </c>
      <c r="AC17" s="484">
        <v>4.2864875162321965E-2</v>
      </c>
      <c r="AD17" s="484">
        <v>1166.1048437433201</v>
      </c>
    </row>
    <row r="18" spans="1:30" x14ac:dyDescent="0.25">
      <c r="B18" s="2">
        <f t="shared" si="2"/>
        <v>2040</v>
      </c>
      <c r="C18" s="480">
        <f>($F18*V$7*'Travel Time Cost Savings'!$J$11+$F18*V$8*'Travel Time Cost Savings'!$J$12)/10^6</f>
        <v>1198.7885305156353</v>
      </c>
      <c r="D18" s="478">
        <f t="shared" si="3"/>
        <v>-91107.928319188286</v>
      </c>
      <c r="E18" s="479">
        <f>D18*(1+0.03)^-($B18-Assumptions!$C$6)</f>
        <v>-51957.578452215552</v>
      </c>
      <c r="F18" s="481">
        <f>_xlfn.XLOOKUP($B18,'Annualized Operations'!$B$13:$B$32,'Annualized Operations'!$G$13:$G$32)</f>
        <v>3244685.7499990463</v>
      </c>
      <c r="G18" s="217">
        <f>($F18*S$7*'Travel Time Cost Savings'!$J$11+$F18*S$8*'Travel Time Cost Savings'!$J$12)/10^6</f>
        <v>1.0837372561360223</v>
      </c>
      <c r="H18" s="218">
        <f>($F18*T$7*'Travel Time Cost Savings'!$J$11+$F18*T$8*'Travel Time Cost Savings'!$J$12)/10^6</f>
        <v>7.2157163929002363E-3</v>
      </c>
      <c r="I18" s="482">
        <f>($F18*U$7*'Travel Time Cost Savings'!$J$11+$F18*U$8*'Travel Time Cost Savings'!$J$12)/10^6</f>
        <v>2.3786432800698021E-2</v>
      </c>
      <c r="J18" s="219">
        <f t="shared" si="4"/>
        <v>-20482.634140970822</v>
      </c>
      <c r="K18" s="220">
        <f t="shared" si="5"/>
        <v>-370.16625095578212</v>
      </c>
      <c r="L18" s="120">
        <f t="shared" si="6"/>
        <v>-21588.566409913525</v>
      </c>
      <c r="M18" s="451">
        <f t="shared" si="0"/>
        <v>-42441.366801840129</v>
      </c>
      <c r="N18" s="121">
        <f>M18*(1+0.07)^-($B18-Assumptions!$C$6)</f>
        <v>-11735.391585078398</v>
      </c>
      <c r="O18" s="119">
        <f t="shared" si="12"/>
        <v>-133549.29512102841</v>
      </c>
      <c r="P18" s="120">
        <f t="shared" si="12"/>
        <v>-63692.970037293948</v>
      </c>
      <c r="R18" s="224">
        <v>2027</v>
      </c>
      <c r="S18" s="487">
        <v>17900</v>
      </c>
      <c r="T18" s="487">
        <v>48700</v>
      </c>
      <c r="U18" s="487">
        <v>865600</v>
      </c>
      <c r="V18" s="487">
        <v>61</v>
      </c>
      <c r="X18" s="23">
        <v>61</v>
      </c>
      <c r="Y18" s="41" t="s">
        <v>678</v>
      </c>
      <c r="Z18" s="41" t="s">
        <v>676</v>
      </c>
      <c r="AA18" s="484">
        <v>3.0234078113615883</v>
      </c>
      <c r="AB18" s="484">
        <v>4.9760807160904204E-3</v>
      </c>
      <c r="AC18" s="484">
        <v>4.3407648080982714E-2</v>
      </c>
      <c r="AD18" s="484">
        <v>1463.90880302132</v>
      </c>
    </row>
    <row r="19" spans="1:30" x14ac:dyDescent="0.25">
      <c r="B19" s="2">
        <f t="shared" si="2"/>
        <v>2041</v>
      </c>
      <c r="C19" s="480">
        <f>($F19*V$7*'Travel Time Cost Savings'!$J$11+$F19*V$8*'Travel Time Cost Savings'!$J$12)/10^6</f>
        <v>1128.655747723365</v>
      </c>
      <c r="D19" s="478">
        <f t="shared" si="3"/>
        <v>-88035.148322422479</v>
      </c>
      <c r="E19" s="479">
        <f>D19*(1+0.03)^-($B19-Assumptions!$C$6)</f>
        <v>-48742.927142323126</v>
      </c>
      <c r="F19" s="481">
        <f>_xlfn.XLOOKUP($B19,'Annualized Operations'!$B$13:$B$32,'Annualized Operations'!$G$13:$G$32)</f>
        <v>3054861.7442288399</v>
      </c>
      <c r="G19" s="217">
        <f>($F19*S$7*'Travel Time Cost Savings'!$J$11+$F19*S$8*'Travel Time Cost Savings'!$J$12)/10^6</f>
        <v>1.0203353235568158</v>
      </c>
      <c r="H19" s="218">
        <f>($F19*T$7*'Travel Time Cost Savings'!$J$11+$F19*T$8*'Travel Time Cost Savings'!$J$12)/10^6</f>
        <v>6.7935749913169028E-3</v>
      </c>
      <c r="I19" s="482">
        <f>($F19*U$7*'Travel Time Cost Savings'!$J$11+$F19*U$8*'Travel Time Cost Savings'!$J$12)/10^6</f>
        <v>2.239485398379297E-2</v>
      </c>
      <c r="J19" s="219">
        <f t="shared" si="4"/>
        <v>-19284.33761522382</v>
      </c>
      <c r="K19" s="220">
        <f t="shared" si="5"/>
        <v>-348.51039705455713</v>
      </c>
      <c r="L19" s="120">
        <f t="shared" si="6"/>
        <v>-20325.5694756905</v>
      </c>
      <c r="M19" s="451">
        <f t="shared" si="0"/>
        <v>-39958.41748796888</v>
      </c>
      <c r="N19" s="121">
        <f>M19*(1+0.07)^-($B19-Assumptions!$C$6)</f>
        <v>-10326.014401261171</v>
      </c>
      <c r="O19" s="119">
        <f t="shared" si="12"/>
        <v>-127993.56581039136</v>
      </c>
      <c r="P19" s="120">
        <f t="shared" si="12"/>
        <v>-59068.941543584297</v>
      </c>
      <c r="R19" s="224">
        <v>2028</v>
      </c>
      <c r="S19" s="487">
        <v>18200</v>
      </c>
      <c r="T19" s="487">
        <v>49500</v>
      </c>
      <c r="U19" s="487">
        <v>879400</v>
      </c>
      <c r="V19" s="487">
        <v>62</v>
      </c>
      <c r="X19" s="23">
        <v>62</v>
      </c>
      <c r="Y19" s="41" t="s">
        <v>678</v>
      </c>
      <c r="Z19" s="41" t="s">
        <v>676</v>
      </c>
      <c r="AA19" s="484">
        <v>3.7426725771679936</v>
      </c>
      <c r="AB19" s="484">
        <v>5.1160211102583997E-3</v>
      </c>
      <c r="AC19" s="484">
        <v>5.9310023601485649E-2</v>
      </c>
      <c r="AD19" s="484">
        <v>1528.79872430418</v>
      </c>
    </row>
    <row r="20" spans="1:30" x14ac:dyDescent="0.25">
      <c r="B20" s="2">
        <f t="shared" si="2"/>
        <v>2042</v>
      </c>
      <c r="C20" s="480">
        <f>($F20*V$7*'Travel Time Cost Savings'!$J$11+$F20*V$8*'Travel Time Cost Savings'!$J$12)/10^6</f>
        <v>1058.522964931183</v>
      </c>
      <c r="D20" s="478">
        <f t="shared" si="3"/>
        <v>-83623.314229563461</v>
      </c>
      <c r="E20" s="479">
        <f>D20*(1+0.03)^-($B20-Assumptions!$C$6)</f>
        <v>-44951.652013217892</v>
      </c>
      <c r="F20" s="481">
        <f>_xlfn.XLOOKUP($B20,'Annualized Operations'!$B$13:$B$32,'Annualized Operations'!$G$13:$G$32)</f>
        <v>2865037.7384588718</v>
      </c>
      <c r="G20" s="217">
        <f>($F20*S$7*'Travel Time Cost Savings'!$J$11+$F20*S$8*'Travel Time Cost Savings'!$J$12)/10^6</f>
        <v>0.9569333909776887</v>
      </c>
      <c r="H20" s="218">
        <f>($F20*T$7*'Travel Time Cost Savings'!$J$11+$F20*T$8*'Travel Time Cost Savings'!$J$12)/10^6</f>
        <v>6.3714335897340994E-3</v>
      </c>
      <c r="I20" s="482">
        <f>($F20*U$7*'Travel Time Cost Savings'!$J$11+$F20*U$8*'Travel Time Cost Savings'!$J$12)/10^6</f>
        <v>2.1003275166889674E-2</v>
      </c>
      <c r="J20" s="219">
        <f t="shared" si="4"/>
        <v>-18086.041089478316</v>
      </c>
      <c r="K20" s="220">
        <f t="shared" si="5"/>
        <v>-326.85454315335932</v>
      </c>
      <c r="L20" s="120">
        <f t="shared" si="6"/>
        <v>-19062.572541469068</v>
      </c>
      <c r="M20" s="451">
        <f t="shared" si="0"/>
        <v>-37475.468174100744</v>
      </c>
      <c r="N20" s="121">
        <f>M20*(1+0.07)^-($B20-Assumptions!$C$6)</f>
        <v>-9050.8159958261567</v>
      </c>
      <c r="O20" s="119">
        <f t="shared" si="12"/>
        <v>-121098.7824036642</v>
      </c>
      <c r="P20" s="120">
        <f t="shared" si="12"/>
        <v>-54002.468009044052</v>
      </c>
      <c r="R20" s="224">
        <v>2029</v>
      </c>
      <c r="S20" s="487">
        <v>18600</v>
      </c>
      <c r="T20" s="487">
        <v>50400</v>
      </c>
      <c r="U20" s="487">
        <v>893400</v>
      </c>
      <c r="V20" s="487">
        <v>63</v>
      </c>
    </row>
    <row r="21" spans="1:30" x14ac:dyDescent="0.25">
      <c r="B21" s="2">
        <f t="shared" si="2"/>
        <v>2043</v>
      </c>
      <c r="C21" s="480">
        <f>($F21*V$7*'Travel Time Cost Savings'!$J$11+$F21*V$8*'Travel Time Cost Savings'!$J$12)/10^6</f>
        <v>988.39018214005807</v>
      </c>
      <c r="D21" s="478">
        <f t="shared" si="3"/>
        <v>-79071.214571204648</v>
      </c>
      <c r="E21" s="479">
        <f>D21*(1+0.03)^-($B21-Assumptions!$C$6)</f>
        <v>-41266.673920389534</v>
      </c>
      <c r="F21" s="481">
        <f>_xlfn.XLOOKUP($B21,'Annualized Operations'!$B$13:$B$32,'Annualized Operations'!$G$13:$G$32)</f>
        <v>2675213.7326917648</v>
      </c>
      <c r="G21" s="217">
        <f>($F21*S$7*'Travel Time Cost Savings'!$J$11+$F21*S$8*'Travel Time Cost Savings'!$J$12)/10^6</f>
        <v>0.8935314583995172</v>
      </c>
      <c r="H21" s="218">
        <f>($F21*T$7*'Travel Time Cost Savings'!$J$11+$F21*T$8*'Travel Time Cost Savings'!$J$12)/10^6</f>
        <v>5.9492921881576588E-3</v>
      </c>
      <c r="I21" s="482">
        <f>($F21*U$7*'Travel Time Cost Savings'!$J$11+$F21*U$8*'Travel Time Cost Savings'!$J$12)/10^6</f>
        <v>1.9611696350007354E-2</v>
      </c>
      <c r="J21" s="219">
        <f t="shared" si="4"/>
        <v>-16887.744563750875</v>
      </c>
      <c r="K21" s="220">
        <f t="shared" si="5"/>
        <v>-305.1986892524879</v>
      </c>
      <c r="L21" s="120">
        <f t="shared" si="6"/>
        <v>-17799.575607266674</v>
      </c>
      <c r="M21" s="451">
        <f t="shared" si="0"/>
        <v>-34992.518860270036</v>
      </c>
      <c r="N21" s="121">
        <f>M21*(1+0.07)^-($B21-Assumptions!$C$6)</f>
        <v>-7898.2721895505947</v>
      </c>
      <c r="O21" s="119">
        <f t="shared" si="12"/>
        <v>-114063.73343147468</v>
      </c>
      <c r="P21" s="120">
        <f t="shared" si="12"/>
        <v>-49164.946109940131</v>
      </c>
      <c r="R21" s="224">
        <v>2030</v>
      </c>
      <c r="S21" s="487">
        <v>18900</v>
      </c>
      <c r="T21" s="487">
        <v>51300</v>
      </c>
      <c r="U21" s="487">
        <v>907600</v>
      </c>
      <c r="V21" s="487">
        <v>65</v>
      </c>
    </row>
    <row r="22" spans="1:30" x14ac:dyDescent="0.25">
      <c r="B22" s="2">
        <f t="shared" si="2"/>
        <v>2044</v>
      </c>
      <c r="C22" s="480">
        <f>($F22*V$7*'Travel Time Cost Savings'!$J$11+$F22*V$8*'Travel Time Cost Savings'!$J$12)/10^6</f>
        <v>918.25739934787612</v>
      </c>
      <c r="D22" s="478">
        <f t="shared" si="3"/>
        <v>-74378.849347177966</v>
      </c>
      <c r="E22" s="479">
        <f>D22*(1+0.03)^-($B22-Assumptions!$C$6)</f>
        <v>-37687.149221910455</v>
      </c>
      <c r="F22" s="481">
        <f>_xlfn.XLOOKUP($B22,'Annualized Operations'!$B$13:$B$32,'Annualized Operations'!$G$13:$G$32)</f>
        <v>2485389.7269217968</v>
      </c>
      <c r="G22" s="217">
        <f>($F22*S$7*'Travel Time Cost Savings'!$J$11+$F22*S$8*'Travel Time Cost Savings'!$J$12)/10^6</f>
        <v>0.83012952582039035</v>
      </c>
      <c r="H22" s="218">
        <f>($F22*T$7*'Travel Time Cost Savings'!$J$11+$F22*T$8*'Travel Time Cost Savings'!$J$12)/10^6</f>
        <v>5.5271507865748554E-3</v>
      </c>
      <c r="I22" s="482">
        <f>($F22*U$7*'Travel Time Cost Savings'!$J$11+$F22*U$8*'Travel Time Cost Savings'!$J$12)/10^6</f>
        <v>1.8220117533104058E-2</v>
      </c>
      <c r="J22" s="219">
        <f t="shared" si="4"/>
        <v>-15689.448038005377</v>
      </c>
      <c r="K22" s="220">
        <f t="shared" si="5"/>
        <v>-283.54283535129008</v>
      </c>
      <c r="L22" s="120">
        <f t="shared" si="6"/>
        <v>-16536.578673045242</v>
      </c>
      <c r="M22" s="451">
        <f t="shared" si="0"/>
        <v>-32509.569546401908</v>
      </c>
      <c r="N22" s="121">
        <f>M22*(1+0.07)^-($B22-Assumptions!$C$6)</f>
        <v>-6857.7923747079039</v>
      </c>
      <c r="O22" s="119">
        <f t="shared" si="12"/>
        <v>-106888.41889357987</v>
      </c>
      <c r="P22" s="120">
        <f t="shared" si="12"/>
        <v>-44544.941596618359</v>
      </c>
      <c r="R22" s="224">
        <v>2031</v>
      </c>
      <c r="S22" s="487">
        <v>18900</v>
      </c>
      <c r="T22" s="487">
        <v>51300</v>
      </c>
      <c r="U22" s="487">
        <v>907600</v>
      </c>
      <c r="V22" s="487">
        <v>66</v>
      </c>
    </row>
    <row r="23" spans="1:30" x14ac:dyDescent="0.25">
      <c r="B23" s="2">
        <f t="shared" si="2"/>
        <v>2045</v>
      </c>
      <c r="C23" s="480">
        <f>($F23*V$7*'Travel Time Cost Savings'!$J$11+$F23*V$8*'Travel Time Cost Savings'!$J$12)/10^6</f>
        <v>848.12461655569382</v>
      </c>
      <c r="D23" s="478">
        <f t="shared" si="3"/>
        <v>-69546.218557566899</v>
      </c>
      <c r="E23" s="479">
        <f>D23*(1+0.03)^-($B23-Assumptions!$C$6)</f>
        <v>-34212.131143308012</v>
      </c>
      <c r="F23" s="481">
        <f>_xlfn.XLOOKUP($B23,'Annualized Operations'!$B$13:$B$32,'Annualized Operations'!$G$13:$G$32)</f>
        <v>2295565.7211518288</v>
      </c>
      <c r="G23" s="217">
        <f>($F23*S$7*'Travel Time Cost Savings'!$J$11+$F23*S$8*'Travel Time Cost Savings'!$J$12)/10^6</f>
        <v>0.76672759324126338</v>
      </c>
      <c r="H23" s="218">
        <f>($F23*T$7*'Travel Time Cost Savings'!$J$11+$F23*T$8*'Travel Time Cost Savings'!$J$12)/10^6</f>
        <v>5.105009384992051E-3</v>
      </c>
      <c r="I23" s="482">
        <f>($F23*U$7*'Travel Time Cost Savings'!$J$11+$F23*U$8*'Travel Time Cost Savings'!$J$12)/10^6</f>
        <v>1.6828538716200762E-2</v>
      </c>
      <c r="J23" s="219">
        <f t="shared" si="4"/>
        <v>-14491.151512259878</v>
      </c>
      <c r="K23" s="220">
        <f t="shared" si="5"/>
        <v>-261.88698145009221</v>
      </c>
      <c r="L23" s="120">
        <f t="shared" si="6"/>
        <v>-15273.581738823812</v>
      </c>
      <c r="M23" s="451">
        <f t="shared" si="0"/>
        <v>-30026.62023253378</v>
      </c>
      <c r="N23" s="121">
        <f>M23*(1+0.07)^-($B23-Assumptions!$C$6)</f>
        <v>-5919.646687330177</v>
      </c>
      <c r="O23" s="119">
        <f t="shared" si="12"/>
        <v>-99572.838790100679</v>
      </c>
      <c r="P23" s="120">
        <f t="shared" si="12"/>
        <v>-40131.777830638188</v>
      </c>
      <c r="R23" s="224">
        <v>2032</v>
      </c>
      <c r="S23" s="487">
        <v>18900</v>
      </c>
      <c r="T23" s="487">
        <v>51300</v>
      </c>
      <c r="U23" s="487">
        <v>907600</v>
      </c>
      <c r="V23" s="487">
        <v>67</v>
      </c>
    </row>
    <row r="24" spans="1:30" ht="15" customHeight="1" thickBot="1" x14ac:dyDescent="0.3">
      <c r="B24" s="3">
        <f t="shared" si="2"/>
        <v>2046</v>
      </c>
      <c r="C24" s="488">
        <f>($F24*V$7*'Travel Time Cost Savings'!$J$11+$F24*V$8*'Travel Time Cost Savings'!$J$12)/10^6</f>
        <v>777.99183376448082</v>
      </c>
      <c r="D24" s="122">
        <f t="shared" si="3"/>
        <v>-65351.31403621639</v>
      </c>
      <c r="E24" s="123">
        <f>D24*(1+0.03)^-($B24-Assumptions!$C$6)</f>
        <v>-31212.151542264619</v>
      </c>
      <c r="F24" s="489">
        <f>_xlfn.XLOOKUP($B24,'Annualized Operations'!$B$13:$B$32,'Annualized Operations'!$G$13:$G$32)</f>
        <v>2105741.7153844833</v>
      </c>
      <c r="G24" s="226">
        <f>($F24*S$7*'Travel Time Cost Savings'!$J$11+$F24*S$8*'Travel Time Cost Savings'!$J$12)/10^6</f>
        <v>0.70332566066301228</v>
      </c>
      <c r="H24" s="227">
        <f>($F24*T$7*'Travel Time Cost Savings'!$J$11+$F24*T$8*'Travel Time Cost Savings'!$J$12)/10^6</f>
        <v>4.6828679834150806E-3</v>
      </c>
      <c r="I24" s="490">
        <f>($F24*U$7*'Travel Time Cost Savings'!$J$11+$F24*U$8*'Travel Time Cost Savings'!$J$12)/10^6</f>
        <v>1.5436959899316691E-2</v>
      </c>
      <c r="J24" s="228">
        <f t="shared" si="4"/>
        <v>-13292.854986530932</v>
      </c>
      <c r="K24" s="229">
        <f t="shared" si="5"/>
        <v>-240.23112754919364</v>
      </c>
      <c r="L24" s="123">
        <f t="shared" si="6"/>
        <v>-14010.584804619828</v>
      </c>
      <c r="M24" s="452">
        <f t="shared" si="0"/>
        <v>-27543.670918699954</v>
      </c>
      <c r="N24" s="124">
        <f>M24*(1+0.07)^-($B24-Assumptions!$C$6)</f>
        <v>-5074.8987127136952</v>
      </c>
      <c r="O24" s="122">
        <f t="shared" si="12"/>
        <v>-92894.984954916348</v>
      </c>
      <c r="P24" s="123">
        <f t="shared" si="12"/>
        <v>-36287.050254978312</v>
      </c>
      <c r="R24" s="224">
        <v>2033</v>
      </c>
      <c r="S24" s="487">
        <v>18900</v>
      </c>
      <c r="T24" s="487">
        <v>51300</v>
      </c>
      <c r="U24" s="487">
        <v>907600</v>
      </c>
      <c r="V24" s="487">
        <v>68</v>
      </c>
      <c r="Z24" s="59" t="s">
        <v>665</v>
      </c>
      <c r="AA24" s="222" t="s">
        <v>141</v>
      </c>
      <c r="AB24" s="222" t="s">
        <v>139</v>
      </c>
      <c r="AC24" s="222" t="s">
        <v>142</v>
      </c>
      <c r="AD24" s="222" t="s">
        <v>140</v>
      </c>
    </row>
    <row r="25" spans="1:30" x14ac:dyDescent="0.25">
      <c r="B25" s="4"/>
      <c r="C25" s="491">
        <f>SUM(C10:C24)</f>
        <v>19033.819699610656</v>
      </c>
      <c r="D25" s="65" t="s">
        <v>2</v>
      </c>
      <c r="E25" s="231">
        <f>SUM(E10:E24)</f>
        <v>-851927.12740706478</v>
      </c>
      <c r="F25" s="492"/>
      <c r="G25" s="493">
        <f>SUM(G10:G24)</f>
        <v>17.207087830721267</v>
      </c>
      <c r="H25" s="493">
        <f>SUM(H10:H24)</f>
        <v>0.11456786691720584</v>
      </c>
      <c r="I25" s="493">
        <f>SUM(I10:I24)</f>
        <v>0.3776701742638886</v>
      </c>
      <c r="J25" s="4"/>
      <c r="K25" s="4"/>
      <c r="L25" s="4"/>
      <c r="M25" s="65" t="s">
        <v>2</v>
      </c>
      <c r="N25" s="231">
        <f>SUM(N5:N24)</f>
        <v>-422537.33516417409</v>
      </c>
      <c r="O25" s="231">
        <f>SUM(O5:O24)</f>
        <v>-3046814.7027692581</v>
      </c>
      <c r="P25" s="231">
        <f>SUM(P5:P24)</f>
        <v>-1767657.5137000424</v>
      </c>
      <c r="R25" s="224">
        <v>2034</v>
      </c>
      <c r="S25" s="487">
        <v>18900</v>
      </c>
      <c r="T25" s="487">
        <v>51300</v>
      </c>
      <c r="U25" s="487">
        <v>907600</v>
      </c>
      <c r="V25" s="487">
        <v>69</v>
      </c>
      <c r="Z25" s="59" t="s">
        <v>669</v>
      </c>
      <c r="AA25" s="483">
        <f>AVERAGE(AA7:AA10)</f>
        <v>0.22790983982547491</v>
      </c>
      <c r="AB25" s="483">
        <f t="shared" ref="AB25:AD25" si="13">AVERAGE(AB7:AB10)</f>
        <v>2.0699004398994176E-3</v>
      </c>
      <c r="AC25" s="483">
        <f t="shared" si="13"/>
        <v>5.8180715878192544E-3</v>
      </c>
      <c r="AD25" s="483">
        <f t="shared" si="13"/>
        <v>317.22468262036</v>
      </c>
    </row>
    <row r="26" spans="1:30" x14ac:dyDescent="0.25">
      <c r="G26" s="57">
        <f>G25*1000</f>
        <v>17207.087830721266</v>
      </c>
      <c r="H26" s="57">
        <f t="shared" ref="H26:I26" si="14">H25*1000</f>
        <v>114.56786691720585</v>
      </c>
      <c r="I26" s="57">
        <f t="shared" si="14"/>
        <v>377.67017426388861</v>
      </c>
      <c r="R26" s="224">
        <v>2035</v>
      </c>
      <c r="S26" s="487">
        <v>18900</v>
      </c>
      <c r="T26" s="487">
        <v>51300</v>
      </c>
      <c r="U26" s="487">
        <v>907600</v>
      </c>
      <c r="V26" s="487">
        <v>70</v>
      </c>
      <c r="Z26" s="59" t="s">
        <v>672</v>
      </c>
      <c r="AA26" s="483">
        <f>AVERAGE(AA11:AA19)</f>
        <v>2.099484306313415</v>
      </c>
      <c r="AB26" s="483">
        <f t="shared" ref="AB26:AD26" si="15">AVERAGE(AB11:AB19)</f>
        <v>4.7858028693373951E-3</v>
      </c>
      <c r="AC26" s="483">
        <f t="shared" si="15"/>
        <v>3.2505287070740692E-2</v>
      </c>
      <c r="AD26" s="483">
        <f t="shared" si="15"/>
        <v>1238.7315972924489</v>
      </c>
    </row>
    <row r="27" spans="1:30" x14ac:dyDescent="0.25">
      <c r="B27" s="6" t="s">
        <v>3</v>
      </c>
      <c r="C27" s="6"/>
      <c r="D27" s="6"/>
      <c r="E27" s="6"/>
      <c r="R27" s="224">
        <v>2036</v>
      </c>
      <c r="S27" s="487">
        <v>18900</v>
      </c>
      <c r="T27" s="487">
        <v>51300</v>
      </c>
      <c r="U27" s="487">
        <v>907600</v>
      </c>
      <c r="V27" s="487">
        <v>72</v>
      </c>
    </row>
    <row r="28" spans="1:30" ht="15" customHeight="1" x14ac:dyDescent="0.25">
      <c r="A28" s="7" t="s">
        <v>17</v>
      </c>
      <c r="B28" s="559" t="s">
        <v>679</v>
      </c>
      <c r="C28" s="559"/>
      <c r="D28" s="559"/>
      <c r="E28" s="559"/>
      <c r="F28" s="559"/>
      <c r="G28" s="559"/>
      <c r="H28" s="559"/>
      <c r="I28" s="559"/>
      <c r="J28" s="559"/>
      <c r="K28" s="559"/>
      <c r="L28" s="559"/>
      <c r="M28" s="559"/>
      <c r="R28" s="224">
        <v>2037</v>
      </c>
      <c r="S28" s="487">
        <v>18900</v>
      </c>
      <c r="T28" s="487">
        <v>51300</v>
      </c>
      <c r="U28" s="487">
        <v>907600</v>
      </c>
      <c r="V28" s="487">
        <v>73</v>
      </c>
    </row>
    <row r="29" spans="1:30" x14ac:dyDescent="0.25">
      <c r="B29" s="559"/>
      <c r="C29" s="559"/>
      <c r="D29" s="559"/>
      <c r="E29" s="559"/>
      <c r="F29" s="559"/>
      <c r="G29" s="559"/>
      <c r="H29" s="559"/>
      <c r="I29" s="559"/>
      <c r="J29" s="559"/>
      <c r="K29" s="559"/>
      <c r="L29" s="559"/>
      <c r="M29" s="559"/>
      <c r="R29" s="224">
        <v>2038</v>
      </c>
      <c r="S29" s="487">
        <v>18900</v>
      </c>
      <c r="T29" s="487">
        <v>51300</v>
      </c>
      <c r="U29" s="487">
        <v>907600</v>
      </c>
      <c r="V29" s="487">
        <v>74</v>
      </c>
    </row>
    <row r="30" spans="1:30" x14ac:dyDescent="0.25">
      <c r="B30" s="559"/>
      <c r="C30" s="559"/>
      <c r="D30" s="559"/>
      <c r="E30" s="559"/>
      <c r="F30" s="559"/>
      <c r="G30" s="559"/>
      <c r="H30" s="559"/>
      <c r="I30" s="559"/>
      <c r="J30" s="559"/>
      <c r="K30" s="559"/>
      <c r="L30" s="559"/>
      <c r="M30" s="559"/>
      <c r="R30" s="224">
        <v>2039</v>
      </c>
      <c r="S30" s="487">
        <v>18900</v>
      </c>
      <c r="T30" s="487">
        <v>51300</v>
      </c>
      <c r="U30" s="487">
        <v>907600</v>
      </c>
      <c r="V30" s="487">
        <v>75</v>
      </c>
    </row>
    <row r="31" spans="1:30" x14ac:dyDescent="0.25">
      <c r="B31" s="6"/>
      <c r="C31" s="6"/>
      <c r="D31" s="6"/>
      <c r="E31" s="6"/>
      <c r="R31" s="224">
        <v>2040</v>
      </c>
      <c r="S31" s="487">
        <v>18900</v>
      </c>
      <c r="T31" s="487">
        <v>51300</v>
      </c>
      <c r="U31" s="487">
        <v>907600</v>
      </c>
      <c r="V31" s="487">
        <v>76</v>
      </c>
    </row>
    <row r="32" spans="1:30" x14ac:dyDescent="0.25">
      <c r="A32" s="7" t="s">
        <v>16</v>
      </c>
      <c r="B32" s="559" t="s">
        <v>709</v>
      </c>
      <c r="C32" s="559"/>
      <c r="D32" s="559"/>
      <c r="E32" s="559"/>
      <c r="F32" s="559"/>
      <c r="G32" s="559"/>
      <c r="H32" s="559"/>
      <c r="I32" s="559"/>
      <c r="J32" s="559"/>
      <c r="K32" s="559"/>
      <c r="L32" s="559"/>
      <c r="M32" s="559"/>
      <c r="R32" s="224">
        <v>2041</v>
      </c>
      <c r="S32" s="487">
        <v>18900</v>
      </c>
      <c r="T32" s="487">
        <v>51300</v>
      </c>
      <c r="U32" s="487">
        <v>907600</v>
      </c>
      <c r="V32" s="487">
        <v>78</v>
      </c>
    </row>
    <row r="33" spans="1:22" x14ac:dyDescent="0.25">
      <c r="B33" s="559"/>
      <c r="C33" s="559"/>
      <c r="D33" s="559"/>
      <c r="E33" s="559"/>
      <c r="F33" s="559"/>
      <c r="G33" s="559"/>
      <c r="H33" s="559"/>
      <c r="I33" s="559"/>
      <c r="J33" s="559"/>
      <c r="K33" s="559"/>
      <c r="L33" s="559"/>
      <c r="M33" s="559"/>
      <c r="R33" s="224">
        <v>2042</v>
      </c>
      <c r="S33" s="487">
        <v>18900</v>
      </c>
      <c r="T33" s="487">
        <v>51300</v>
      </c>
      <c r="U33" s="487">
        <v>907600</v>
      </c>
      <c r="V33" s="487">
        <v>79</v>
      </c>
    </row>
    <row r="34" spans="1:22" x14ac:dyDescent="0.25">
      <c r="A34" s="7"/>
      <c r="B34" s="39"/>
      <c r="C34" s="39"/>
      <c r="D34" s="39"/>
      <c r="E34" s="39"/>
      <c r="F34" s="20"/>
      <c r="G34" s="18"/>
      <c r="H34" s="18"/>
      <c r="I34" s="20"/>
      <c r="R34" s="224">
        <v>2043</v>
      </c>
      <c r="S34" s="487">
        <v>18900</v>
      </c>
      <c r="T34" s="487">
        <v>51300</v>
      </c>
      <c r="U34" s="487">
        <v>907600</v>
      </c>
      <c r="V34" s="487">
        <v>80</v>
      </c>
    </row>
    <row r="35" spans="1:22" x14ac:dyDescent="0.25">
      <c r="A35" s="7"/>
      <c r="Q35" s="18"/>
      <c r="R35" s="224">
        <v>2044</v>
      </c>
      <c r="S35" s="487">
        <v>18900</v>
      </c>
      <c r="T35" s="487">
        <v>51300</v>
      </c>
      <c r="U35" s="487">
        <v>907600</v>
      </c>
      <c r="V35" s="487">
        <v>81</v>
      </c>
    </row>
    <row r="36" spans="1:22" x14ac:dyDescent="0.25">
      <c r="Q36" s="18"/>
      <c r="R36" s="224">
        <v>2045</v>
      </c>
      <c r="S36" s="487">
        <v>18900</v>
      </c>
      <c r="T36" s="487">
        <v>51300</v>
      </c>
      <c r="U36" s="487">
        <v>907600</v>
      </c>
      <c r="V36" s="487">
        <v>82</v>
      </c>
    </row>
    <row r="37" spans="1:22" x14ac:dyDescent="0.25">
      <c r="A37" s="7"/>
      <c r="R37" s="224">
        <v>2046</v>
      </c>
      <c r="S37" s="487">
        <v>18900</v>
      </c>
      <c r="T37" s="487">
        <v>51300</v>
      </c>
      <c r="U37" s="487">
        <v>907600</v>
      </c>
      <c r="V37" s="487">
        <v>84</v>
      </c>
    </row>
    <row r="38" spans="1:22" ht="15" customHeight="1" x14ac:dyDescent="0.25">
      <c r="A38" s="7"/>
      <c r="B38" s="88"/>
      <c r="C38" s="88"/>
      <c r="D38" s="88"/>
      <c r="E38" s="88"/>
      <c r="F38" s="88"/>
      <c r="G38" s="88"/>
      <c r="H38" s="88"/>
      <c r="I38" s="88"/>
      <c r="R38" s="224">
        <v>2047</v>
      </c>
      <c r="S38" s="487">
        <v>18900</v>
      </c>
      <c r="T38" s="487">
        <v>51300</v>
      </c>
      <c r="U38" s="487">
        <v>907600</v>
      </c>
      <c r="V38" s="487">
        <v>85</v>
      </c>
    </row>
    <row r="39" spans="1:22" x14ac:dyDescent="0.25">
      <c r="A39" s="7"/>
      <c r="B39" s="88"/>
      <c r="C39" s="88"/>
      <c r="D39" s="88"/>
      <c r="E39" s="88"/>
      <c r="F39" s="88"/>
      <c r="G39" s="88"/>
      <c r="H39" s="88"/>
      <c r="I39" s="88"/>
      <c r="R39" s="224">
        <v>2048</v>
      </c>
      <c r="S39" s="487">
        <v>18900</v>
      </c>
      <c r="T39" s="487">
        <v>51300</v>
      </c>
      <c r="U39" s="487">
        <v>907600</v>
      </c>
      <c r="V39" s="487">
        <v>86</v>
      </c>
    </row>
    <row r="40" spans="1:22" x14ac:dyDescent="0.25">
      <c r="A40" s="7"/>
      <c r="B40" s="88"/>
      <c r="C40" s="88"/>
      <c r="D40" s="88"/>
      <c r="E40" s="88"/>
      <c r="F40" s="88"/>
      <c r="G40" s="88"/>
      <c r="H40" s="88"/>
      <c r="I40" s="88"/>
      <c r="R40" s="224">
        <v>2049</v>
      </c>
      <c r="S40" s="487">
        <v>18900</v>
      </c>
      <c r="T40" s="487">
        <v>51300</v>
      </c>
      <c r="U40" s="487">
        <v>907600</v>
      </c>
      <c r="V40" s="487">
        <v>87</v>
      </c>
    </row>
    <row r="41" spans="1:22" x14ac:dyDescent="0.25">
      <c r="A41" s="7"/>
      <c r="B41" s="88"/>
      <c r="C41" s="88"/>
      <c r="D41" s="88"/>
      <c r="E41" s="88"/>
      <c r="F41" s="88"/>
      <c r="G41" s="88"/>
      <c r="H41" s="88"/>
      <c r="I41" s="88"/>
      <c r="R41" s="224">
        <v>2050</v>
      </c>
      <c r="S41" s="487">
        <v>18900</v>
      </c>
      <c r="T41" s="487">
        <v>51300</v>
      </c>
      <c r="U41" s="487">
        <v>907600</v>
      </c>
      <c r="V41" s="487">
        <v>88</v>
      </c>
    </row>
    <row r="42" spans="1:22" ht="15" customHeight="1" x14ac:dyDescent="0.25">
      <c r="A42" s="7"/>
      <c r="B42" s="88"/>
      <c r="C42" s="88"/>
      <c r="D42" s="88"/>
      <c r="E42" s="88"/>
      <c r="F42" s="88"/>
      <c r="G42" s="88"/>
      <c r="H42" s="88"/>
      <c r="I42" s="88"/>
      <c r="R42" s="224">
        <v>2051</v>
      </c>
      <c r="S42" s="487">
        <v>18900</v>
      </c>
      <c r="T42" s="487">
        <v>51300</v>
      </c>
      <c r="U42" s="487">
        <v>907600</v>
      </c>
      <c r="V42" s="487">
        <v>89</v>
      </c>
    </row>
    <row r="43" spans="1:22" ht="15.75" customHeight="1" x14ac:dyDescent="0.25">
      <c r="A43" s="7"/>
      <c r="B43" s="39"/>
      <c r="C43" s="39"/>
      <c r="D43" s="494" t="s">
        <v>680</v>
      </c>
      <c r="E43" s="495" t="s">
        <v>681</v>
      </c>
      <c r="F43" s="20"/>
      <c r="G43" s="20"/>
      <c r="H43" s="20"/>
      <c r="I43" s="20"/>
      <c r="N43" s="496"/>
      <c r="O43" s="496"/>
      <c r="P43" s="496"/>
      <c r="R43" s="224">
        <v>2052</v>
      </c>
      <c r="S43" s="487">
        <v>18900</v>
      </c>
      <c r="T43" s="487">
        <v>51300</v>
      </c>
      <c r="U43" s="487">
        <v>907600</v>
      </c>
      <c r="V43" s="487">
        <v>90</v>
      </c>
    </row>
    <row r="44" spans="1:22" x14ac:dyDescent="0.25">
      <c r="B44" s="39"/>
      <c r="C44" s="39"/>
      <c r="D44" s="497" t="s">
        <v>682</v>
      </c>
      <c r="E44" s="498">
        <f>C25</f>
        <v>19033.819699610656</v>
      </c>
      <c r="F44" s="20"/>
      <c r="G44" s="20"/>
      <c r="H44" s="20"/>
      <c r="I44" s="20"/>
      <c r="N44" s="496"/>
      <c r="O44" s="496"/>
      <c r="P44" s="496"/>
      <c r="R44" s="224">
        <v>2053</v>
      </c>
      <c r="S44" s="487">
        <v>18900</v>
      </c>
      <c r="T44" s="487">
        <v>51300</v>
      </c>
      <c r="U44" s="487">
        <v>907600</v>
      </c>
      <c r="V44" s="487">
        <v>91</v>
      </c>
    </row>
    <row r="45" spans="1:22" ht="15" customHeight="1" x14ac:dyDescent="0.25">
      <c r="B45" s="39"/>
      <c r="C45" s="39"/>
      <c r="D45" s="497" t="s">
        <v>683</v>
      </c>
      <c r="E45" s="498">
        <f>G26</f>
        <v>17207.087830721266</v>
      </c>
      <c r="F45" s="20"/>
      <c r="G45" s="20"/>
      <c r="H45" s="20"/>
      <c r="I45" s="20"/>
      <c r="J45" s="89"/>
      <c r="L45" s="18"/>
      <c r="M45" s="18"/>
      <c r="N45" s="496"/>
      <c r="O45" s="496"/>
      <c r="P45" s="496"/>
      <c r="R45" s="517">
        <v>2054</v>
      </c>
      <c r="S45" s="518">
        <f t="shared" ref="S45:V51" si="16">S44</f>
        <v>18900</v>
      </c>
      <c r="T45" s="518">
        <f t="shared" si="16"/>
        <v>51300</v>
      </c>
      <c r="U45" s="518">
        <f t="shared" si="16"/>
        <v>907600</v>
      </c>
      <c r="V45" s="518">
        <f t="shared" si="16"/>
        <v>91</v>
      </c>
    </row>
    <row r="46" spans="1:22" x14ac:dyDescent="0.25">
      <c r="B46" s="39"/>
      <c r="C46" s="39"/>
      <c r="D46" s="497" t="s">
        <v>684</v>
      </c>
      <c r="E46" s="498">
        <f>H26</f>
        <v>114.56786691720585</v>
      </c>
      <c r="F46" s="20"/>
      <c r="G46" s="20"/>
      <c r="H46" s="20"/>
      <c r="I46" s="20"/>
      <c r="J46" s="89"/>
      <c r="L46" s="18"/>
      <c r="M46" s="18"/>
      <c r="R46" s="517">
        <v>2055</v>
      </c>
      <c r="S46" s="518">
        <f t="shared" si="16"/>
        <v>18900</v>
      </c>
      <c r="T46" s="518">
        <f t="shared" si="16"/>
        <v>51300</v>
      </c>
      <c r="U46" s="518">
        <f t="shared" si="16"/>
        <v>907600</v>
      </c>
      <c r="V46" s="518">
        <f t="shared" si="16"/>
        <v>91</v>
      </c>
    </row>
    <row r="47" spans="1:22" x14ac:dyDescent="0.25">
      <c r="A47" s="7"/>
      <c r="B47" s="39"/>
      <c r="C47" s="39"/>
      <c r="D47" s="499" t="s">
        <v>685</v>
      </c>
      <c r="E47" s="500">
        <f>I26</f>
        <v>377.67017426388861</v>
      </c>
      <c r="F47" s="20"/>
      <c r="G47" s="20"/>
      <c r="H47" s="20"/>
      <c r="I47" s="20"/>
      <c r="L47" s="18"/>
      <c r="M47" s="18"/>
      <c r="R47" s="517">
        <v>2056</v>
      </c>
      <c r="S47" s="518">
        <f t="shared" si="16"/>
        <v>18900</v>
      </c>
      <c r="T47" s="518">
        <f t="shared" si="16"/>
        <v>51300</v>
      </c>
      <c r="U47" s="518">
        <f t="shared" si="16"/>
        <v>907600</v>
      </c>
      <c r="V47" s="518">
        <f t="shared" si="16"/>
        <v>91</v>
      </c>
    </row>
    <row r="48" spans="1:22" x14ac:dyDescent="0.25">
      <c r="B48" s="39"/>
      <c r="C48" s="39"/>
      <c r="D48" s="39"/>
      <c r="E48" s="39"/>
      <c r="F48" s="20"/>
      <c r="G48" s="20"/>
      <c r="H48" s="20"/>
      <c r="I48" s="20"/>
      <c r="L48" s="18"/>
      <c r="M48" s="18"/>
      <c r="R48" s="517">
        <v>2057</v>
      </c>
      <c r="S48" s="518">
        <f t="shared" si="16"/>
        <v>18900</v>
      </c>
      <c r="T48" s="518">
        <f t="shared" si="16"/>
        <v>51300</v>
      </c>
      <c r="U48" s="518">
        <f t="shared" si="16"/>
        <v>907600</v>
      </c>
      <c r="V48" s="518">
        <f t="shared" si="16"/>
        <v>91</v>
      </c>
    </row>
    <row r="49" spans="1:22" x14ac:dyDescent="0.25">
      <c r="B49" s="39"/>
      <c r="C49" s="39"/>
      <c r="D49" s="39"/>
      <c r="E49" s="39"/>
      <c r="F49" s="20"/>
      <c r="G49" s="20"/>
      <c r="H49" s="20"/>
      <c r="I49" s="20"/>
      <c r="J49" s="18"/>
      <c r="K49" s="18"/>
      <c r="L49" s="18"/>
      <c r="M49" s="18"/>
      <c r="R49" s="517">
        <v>2058</v>
      </c>
      <c r="S49" s="518">
        <f t="shared" si="16"/>
        <v>18900</v>
      </c>
      <c r="T49" s="518">
        <f t="shared" si="16"/>
        <v>51300</v>
      </c>
      <c r="U49" s="518">
        <f t="shared" si="16"/>
        <v>907600</v>
      </c>
      <c r="V49" s="518">
        <f t="shared" si="16"/>
        <v>91</v>
      </c>
    </row>
    <row r="50" spans="1:22" x14ac:dyDescent="0.25">
      <c r="B50" s="39"/>
      <c r="C50" s="39"/>
      <c r="D50" s="39"/>
      <c r="E50" s="39"/>
      <c r="F50" s="20"/>
      <c r="G50" s="20"/>
      <c r="H50" s="20"/>
      <c r="I50" s="20"/>
      <c r="K50" s="18"/>
      <c r="L50" s="18"/>
      <c r="M50" s="18"/>
      <c r="R50" s="517">
        <v>2059</v>
      </c>
      <c r="S50" s="518">
        <f t="shared" si="16"/>
        <v>18900</v>
      </c>
      <c r="T50" s="518">
        <f t="shared" si="16"/>
        <v>51300</v>
      </c>
      <c r="U50" s="518">
        <f t="shared" si="16"/>
        <v>907600</v>
      </c>
      <c r="V50" s="518">
        <f t="shared" si="16"/>
        <v>91</v>
      </c>
    </row>
    <row r="51" spans="1:22" x14ac:dyDescent="0.25">
      <c r="B51" s="39"/>
      <c r="C51" s="39"/>
      <c r="D51" s="39"/>
      <c r="E51" s="39"/>
      <c r="F51" s="20"/>
      <c r="G51" s="20"/>
      <c r="H51" s="20"/>
      <c r="I51" s="20"/>
      <c r="J51" s="20"/>
      <c r="L51" s="18"/>
      <c r="M51" s="18"/>
      <c r="R51" s="517">
        <v>2060</v>
      </c>
      <c r="S51" s="518">
        <f t="shared" si="16"/>
        <v>18900</v>
      </c>
      <c r="T51" s="518">
        <f t="shared" si="16"/>
        <v>51300</v>
      </c>
      <c r="U51" s="518">
        <f t="shared" si="16"/>
        <v>907600</v>
      </c>
      <c r="V51" s="518">
        <f t="shared" si="16"/>
        <v>91</v>
      </c>
    </row>
    <row r="52" spans="1:22" x14ac:dyDescent="0.25">
      <c r="B52" s="39"/>
      <c r="C52" s="39"/>
      <c r="D52" s="39"/>
      <c r="E52" s="39"/>
      <c r="F52" s="20"/>
      <c r="G52" s="20"/>
      <c r="H52" s="20"/>
      <c r="I52" s="20"/>
      <c r="J52" s="20"/>
      <c r="R52" s="224"/>
      <c r="S52" s="487"/>
      <c r="T52" s="487"/>
      <c r="U52" s="487"/>
      <c r="V52" s="487"/>
    </row>
    <row r="53" spans="1:22" x14ac:dyDescent="0.25">
      <c r="B53" s="39"/>
      <c r="C53" s="39"/>
      <c r="D53" s="39"/>
      <c r="E53" s="39"/>
      <c r="F53" s="20"/>
      <c r="G53" s="20"/>
      <c r="H53" s="20"/>
      <c r="I53" s="20"/>
      <c r="J53" s="20"/>
      <c r="K53" s="20"/>
    </row>
    <row r="54" spans="1:22" x14ac:dyDescent="0.25">
      <c r="B54" s="39"/>
      <c r="C54" s="39"/>
      <c r="D54" s="39"/>
      <c r="E54" s="39"/>
      <c r="F54" s="20"/>
      <c r="G54" s="20"/>
      <c r="H54" s="20"/>
      <c r="I54" s="20"/>
      <c r="J54" s="20"/>
      <c r="K54" s="20"/>
    </row>
    <row r="55" spans="1:22" x14ac:dyDescent="0.25">
      <c r="A55" s="7"/>
      <c r="B55" s="39"/>
      <c r="C55" s="39"/>
      <c r="D55" s="39"/>
      <c r="E55" s="39"/>
      <c r="F55" s="20"/>
      <c r="G55" s="20"/>
      <c r="H55" s="20"/>
      <c r="I55" s="20"/>
      <c r="J55" s="20"/>
      <c r="K55" s="20"/>
    </row>
    <row r="56" spans="1:22" x14ac:dyDescent="0.25">
      <c r="J56" s="20"/>
      <c r="K56" s="20"/>
    </row>
    <row r="57" spans="1:22" x14ac:dyDescent="0.25">
      <c r="F57" s="18"/>
      <c r="I57" s="18"/>
      <c r="J57" s="20"/>
      <c r="K57" s="20"/>
    </row>
    <row r="58" spans="1:22" x14ac:dyDescent="0.25">
      <c r="B58" s="18"/>
      <c r="C58" s="18"/>
      <c r="D58" s="18"/>
      <c r="E58" s="18"/>
      <c r="F58" s="18"/>
      <c r="I58" s="18"/>
      <c r="J58" s="20"/>
      <c r="K58" s="20"/>
    </row>
    <row r="59" spans="1:22" x14ac:dyDescent="0.25">
      <c r="J59" s="20"/>
      <c r="K59" s="20"/>
    </row>
    <row r="60" spans="1:22" x14ac:dyDescent="0.25">
      <c r="A60" s="7"/>
      <c r="B60" s="20"/>
      <c r="C60" s="20"/>
      <c r="D60" s="20"/>
      <c r="E60" s="20"/>
      <c r="F60" s="20"/>
      <c r="G60" s="20"/>
      <c r="H60" s="20"/>
      <c r="I60" s="20"/>
      <c r="J60" s="20"/>
      <c r="K60" s="20"/>
    </row>
    <row r="61" spans="1:22" x14ac:dyDescent="0.25">
      <c r="B61" s="20"/>
      <c r="C61" s="20"/>
      <c r="D61" s="20"/>
      <c r="E61" s="20"/>
      <c r="F61" s="20"/>
      <c r="G61" s="20"/>
      <c r="H61" s="20"/>
      <c r="J61" s="20"/>
      <c r="K61" s="20"/>
    </row>
    <row r="62" spans="1:22" x14ac:dyDescent="0.25">
      <c r="J62" s="20"/>
      <c r="K62" s="20"/>
    </row>
    <row r="63" spans="1:22" x14ac:dyDescent="0.25">
      <c r="A63" s="7"/>
      <c r="J63" s="20"/>
      <c r="K63" s="20"/>
    </row>
    <row r="64" spans="1:22" x14ac:dyDescent="0.25">
      <c r="J64" s="20"/>
      <c r="K64" s="20"/>
    </row>
    <row r="66" spans="10:12" x14ac:dyDescent="0.25">
      <c r="J66" s="18"/>
    </row>
    <row r="67" spans="10:12" x14ac:dyDescent="0.25">
      <c r="J67" s="18"/>
      <c r="L67" s="20"/>
    </row>
    <row r="69" spans="10:12" x14ac:dyDescent="0.25">
      <c r="J69" s="20"/>
      <c r="K69" s="20"/>
    </row>
  </sheetData>
  <mergeCells count="20">
    <mergeCell ref="B28:M30"/>
    <mergeCell ref="B32:M33"/>
    <mergeCell ref="I3:I4"/>
    <mergeCell ref="J3:J4"/>
    <mergeCell ref="K3:K4"/>
    <mergeCell ref="L3:L4"/>
    <mergeCell ref="M3:M4"/>
    <mergeCell ref="C2:E2"/>
    <mergeCell ref="F2:N2"/>
    <mergeCell ref="O2:P2"/>
    <mergeCell ref="B3:B4"/>
    <mergeCell ref="C3:C4"/>
    <mergeCell ref="D3:D4"/>
    <mergeCell ref="E3:E4"/>
    <mergeCell ref="F3:F4"/>
    <mergeCell ref="G3:G4"/>
    <mergeCell ref="H3:H4"/>
    <mergeCell ref="O3:O4"/>
    <mergeCell ref="P3:P4"/>
    <mergeCell ref="N3:N4"/>
  </mergeCells>
  <pageMargins left="0.25" right="0.25" top="0.75" bottom="0.75" header="0.3" footer="0.3"/>
  <pageSetup paperSize="3"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201ED-1344-449E-BDDA-FC589D241AD5}">
  <sheetPr>
    <tabColor rgb="FF00B050"/>
  </sheetPr>
  <dimension ref="A1:AD65"/>
  <sheetViews>
    <sheetView view="pageBreakPreview" topLeftCell="A31" zoomScale="90" zoomScaleNormal="100" zoomScaleSheetLayoutView="90" workbookViewId="0">
      <selection activeCell="B58" sqref="B58"/>
    </sheetView>
  </sheetViews>
  <sheetFormatPr defaultColWidth="9.140625" defaultRowHeight="15" x14ac:dyDescent="0.25"/>
  <cols>
    <col min="1" max="1" width="9.140625" style="7"/>
    <col min="2" max="2" width="10.140625" customWidth="1"/>
    <col min="3" max="5" width="11.42578125" customWidth="1"/>
    <col min="6" max="6" width="12.42578125" customWidth="1"/>
    <col min="7" max="7" width="13.7109375" style="19" bestFit="1" customWidth="1"/>
    <col min="8" max="8" width="11.42578125" style="19" customWidth="1"/>
    <col min="9" max="9" width="12.42578125" customWidth="1"/>
    <col min="10" max="10" width="18.42578125" customWidth="1"/>
    <col min="11" max="11" width="15.28515625" customWidth="1"/>
    <col min="12" max="12" width="14" customWidth="1"/>
    <col min="13" max="13" width="14.5703125" customWidth="1"/>
    <col min="15" max="15" width="24" customWidth="1"/>
    <col min="16" max="16" width="16.7109375" customWidth="1"/>
    <col min="17" max="17" width="12.140625" customWidth="1"/>
    <col min="18" max="18" width="12.42578125" customWidth="1"/>
    <col min="19" max="19" width="16.42578125" customWidth="1"/>
    <col min="20" max="20" width="33" customWidth="1"/>
    <col min="21" max="21" width="16" customWidth="1"/>
    <col min="22" max="22" width="18.140625" customWidth="1"/>
    <col min="23" max="23" width="17.7109375" customWidth="1"/>
    <col min="24" max="24" width="30.5703125" customWidth="1"/>
  </cols>
  <sheetData>
    <row r="1" spans="2:23" ht="16.5" customHeight="1" x14ac:dyDescent="0.25">
      <c r="B1" s="89">
        <v>1</v>
      </c>
      <c r="C1">
        <v>3</v>
      </c>
      <c r="E1">
        <v>4</v>
      </c>
      <c r="F1">
        <v>6</v>
      </c>
      <c r="G1" s="19">
        <v>8</v>
      </c>
      <c r="H1" s="19">
        <v>9</v>
      </c>
      <c r="I1">
        <v>10</v>
      </c>
      <c r="K1">
        <v>11</v>
      </c>
      <c r="L1">
        <v>12</v>
      </c>
      <c r="M1">
        <v>13</v>
      </c>
    </row>
    <row r="2" spans="2:23" ht="16.5" customHeight="1" x14ac:dyDescent="0.35">
      <c r="B2" s="6" t="s">
        <v>232</v>
      </c>
      <c r="H2" s="343"/>
    </row>
    <row r="3" spans="2:23" ht="15.75" thickBot="1" x14ac:dyDescent="0.3">
      <c r="I3" s="89"/>
      <c r="J3" s="89"/>
    </row>
    <row r="4" spans="2:23" ht="15.75" thickBot="1" x14ac:dyDescent="0.3">
      <c r="C4" s="556" t="s">
        <v>238</v>
      </c>
      <c r="D4" s="558"/>
      <c r="E4" s="556" t="s">
        <v>239</v>
      </c>
      <c r="F4" s="558"/>
      <c r="G4" s="588" t="s">
        <v>240</v>
      </c>
      <c r="H4" s="580"/>
      <c r="I4" s="580"/>
      <c r="J4" s="580"/>
      <c r="K4" s="581"/>
      <c r="L4" s="557" t="s">
        <v>2</v>
      </c>
      <c r="M4" s="558"/>
      <c r="O4" s="41" t="s">
        <v>161</v>
      </c>
      <c r="P4" s="23">
        <f>Assumptions!C6</f>
        <v>2021</v>
      </c>
    </row>
    <row r="5" spans="2:23" ht="18" customHeight="1" x14ac:dyDescent="0.25">
      <c r="B5" s="630" t="s">
        <v>0</v>
      </c>
      <c r="C5" s="632" t="s">
        <v>162</v>
      </c>
      <c r="D5" s="615" t="s">
        <v>164</v>
      </c>
      <c r="E5" s="632" t="s">
        <v>163</v>
      </c>
      <c r="F5" s="615" t="s">
        <v>165</v>
      </c>
      <c r="G5" s="617" t="s">
        <v>234</v>
      </c>
      <c r="H5" s="619" t="s">
        <v>224</v>
      </c>
      <c r="I5" s="619" t="s">
        <v>233</v>
      </c>
      <c r="J5" s="619" t="s">
        <v>235</v>
      </c>
      <c r="K5" s="635" t="s">
        <v>236</v>
      </c>
      <c r="L5" s="637" t="s">
        <v>166</v>
      </c>
      <c r="M5" s="639" t="s">
        <v>1</v>
      </c>
      <c r="O5" s="41" t="s">
        <v>226</v>
      </c>
      <c r="P5" s="372">
        <v>7.48</v>
      </c>
      <c r="Q5" s="89"/>
    </row>
    <row r="6" spans="2:23" ht="18.75" customHeight="1" thickBot="1" x14ac:dyDescent="0.3">
      <c r="B6" s="631"/>
      <c r="C6" s="633"/>
      <c r="D6" s="616"/>
      <c r="E6" s="633"/>
      <c r="F6" s="616"/>
      <c r="G6" s="618"/>
      <c r="H6" s="620"/>
      <c r="I6" s="620"/>
      <c r="J6" s="620"/>
      <c r="K6" s="636"/>
      <c r="L6" s="638"/>
      <c r="M6" s="640"/>
    </row>
    <row r="7" spans="2:23" ht="18.75" customHeight="1" x14ac:dyDescent="0.25">
      <c r="B7" s="53">
        <f>Assumptions!$C$8</f>
        <v>2027</v>
      </c>
      <c r="C7" s="415">
        <f t="shared" ref="C7:C26" si="0">$Q$22*(1+$R$14)^(B7-2019)</f>
        <v>14.236595559674722</v>
      </c>
      <c r="D7" s="416">
        <f t="shared" ref="D7:D26" si="1">$R$22*(1+$R$14)^(B7-2019)</f>
        <v>36.201628708887149</v>
      </c>
      <c r="E7" s="415">
        <f t="shared" ref="E7:E26" si="2">$Q$29*(1+$R$14)^(B7-2019)</f>
        <v>6.8502666134177028</v>
      </c>
      <c r="F7" s="416">
        <f t="shared" ref="F7:F26" si="3">$R$29*(1+$R$14)^(B7-2019)</f>
        <v>17.419249388405021</v>
      </c>
      <c r="G7" s="412">
        <f t="shared" ref="G7:G26" si="4">(C7*$R$37)*$R$33*$R$34*$R$35*$R$36*$Q$59</f>
        <v>18376.825333957091</v>
      </c>
      <c r="H7" s="375">
        <f>(E7*$R$41)+(F7*$R$42)*$R$40</f>
        <v>32466.251448583491</v>
      </c>
      <c r="I7" s="375">
        <f t="shared" ref="I7:I26" si="5">F7*$R$45*$R$46*$Q$58</f>
        <v>63136.069408274001</v>
      </c>
      <c r="J7" s="375">
        <f t="shared" ref="J7:J26" si="6">(E7*$R$50)+(F7*$R$51)*$R$49*$R$18</f>
        <v>18699.905753173942</v>
      </c>
      <c r="K7" s="377">
        <f>E7*$R$18*$Q$55*$Q$54*$Q$58</f>
        <v>564.06499599537119</v>
      </c>
      <c r="L7" s="376">
        <f t="shared" ref="L7:L26" si="7">SUM(G7:K7)</f>
        <v>133243.11693998391</v>
      </c>
      <c r="M7" s="377">
        <f t="shared" ref="M7:M26" si="8">$L7*(1+0.07)^-($B7-$P$4)</f>
        <v>88785.514850032516</v>
      </c>
      <c r="O7" s="6" t="s">
        <v>223</v>
      </c>
      <c r="R7" s="89"/>
    </row>
    <row r="8" spans="2:23" x14ac:dyDescent="0.25">
      <c r="B8" s="54">
        <f>B7+1</f>
        <v>2028</v>
      </c>
      <c r="C8" s="417">
        <f t="shared" si="0"/>
        <v>14.663693426464963</v>
      </c>
      <c r="D8" s="418">
        <f t="shared" si="1"/>
        <v>37.287677570153761</v>
      </c>
      <c r="E8" s="417">
        <f t="shared" si="2"/>
        <v>7.055774611820234</v>
      </c>
      <c r="F8" s="418">
        <f t="shared" si="3"/>
        <v>17.94182687005717</v>
      </c>
      <c r="G8" s="413">
        <f t="shared" si="4"/>
        <v>18928.1300939758</v>
      </c>
      <c r="H8" s="378">
        <f t="shared" ref="H8:H26" si="9">(E8*$R$41)+(F8*$R$42)*$R$40</f>
        <v>33440.238992040991</v>
      </c>
      <c r="I8" s="378">
        <f t="shared" si="5"/>
        <v>65030.151490522221</v>
      </c>
      <c r="J8" s="378">
        <f t="shared" si="6"/>
        <v>19260.902925769158</v>
      </c>
      <c r="K8" s="380">
        <f t="shared" ref="K8:K26" si="10">E8*$R$18*$Q$55*$Q$54*$Q$58</f>
        <v>580.98694587523232</v>
      </c>
      <c r="L8" s="379">
        <f t="shared" si="7"/>
        <v>137240.41044818339</v>
      </c>
      <c r="M8" s="380">
        <f t="shared" si="8"/>
        <v>85466.430182741547</v>
      </c>
      <c r="O8" s="622" t="s">
        <v>167</v>
      </c>
      <c r="P8" s="622"/>
      <c r="Q8" s="320" t="s">
        <v>168</v>
      </c>
      <c r="R8" s="321"/>
      <c r="S8" s="19"/>
      <c r="T8" s="19"/>
    </row>
    <row r="9" spans="2:23" x14ac:dyDescent="0.25">
      <c r="B9" s="54">
        <f t="shared" ref="B9:B24" si="11">B8+1</f>
        <v>2029</v>
      </c>
      <c r="C9" s="417">
        <f t="shared" si="0"/>
        <v>15.103604229258913</v>
      </c>
      <c r="D9" s="418">
        <f t="shared" si="1"/>
        <v>38.40630789725838</v>
      </c>
      <c r="E9" s="417">
        <f t="shared" si="2"/>
        <v>7.2674478501748405</v>
      </c>
      <c r="F9" s="418">
        <f t="shared" si="3"/>
        <v>18.480081676158886</v>
      </c>
      <c r="G9" s="413">
        <f t="shared" si="4"/>
        <v>19495.973996795077</v>
      </c>
      <c r="H9" s="378">
        <f t="shared" si="9"/>
        <v>34443.446161802225</v>
      </c>
      <c r="I9" s="378">
        <f t="shared" si="5"/>
        <v>66981.056035237896</v>
      </c>
      <c r="J9" s="378">
        <f t="shared" si="6"/>
        <v>19838.730013542234</v>
      </c>
      <c r="K9" s="380">
        <f t="shared" si="10"/>
        <v>598.41655425148929</v>
      </c>
      <c r="L9" s="379">
        <f t="shared" si="7"/>
        <v>141357.62276162891</v>
      </c>
      <c r="M9" s="380">
        <f t="shared" si="8"/>
        <v>82271.423446938134</v>
      </c>
      <c r="O9" s="611" t="s">
        <v>169</v>
      </c>
      <c r="P9" s="611"/>
      <c r="Q9" s="352">
        <v>2546.9395717059633</v>
      </c>
      <c r="R9" s="348"/>
      <c r="S9" s="322"/>
      <c r="T9" s="322"/>
    </row>
    <row r="10" spans="2:23" x14ac:dyDescent="0.25">
      <c r="B10" s="54">
        <f t="shared" si="11"/>
        <v>2030</v>
      </c>
      <c r="C10" s="417">
        <f t="shared" si="0"/>
        <v>15.55671235613668</v>
      </c>
      <c r="D10" s="418">
        <f t="shared" si="1"/>
        <v>39.558497134176129</v>
      </c>
      <c r="E10" s="417">
        <f t="shared" si="2"/>
        <v>7.4854712856800862</v>
      </c>
      <c r="F10" s="418">
        <f t="shared" si="3"/>
        <v>19.034484126443655</v>
      </c>
      <c r="G10" s="413">
        <f t="shared" si="4"/>
        <v>20080.853216698928</v>
      </c>
      <c r="H10" s="378">
        <f t="shared" si="9"/>
        <v>35476.74954665629</v>
      </c>
      <c r="I10" s="378">
        <f t="shared" si="5"/>
        <v>68990.487716295029</v>
      </c>
      <c r="J10" s="378">
        <f t="shared" si="6"/>
        <v>20433.891913948504</v>
      </c>
      <c r="K10" s="380">
        <f t="shared" si="10"/>
        <v>616.36905087903403</v>
      </c>
      <c r="L10" s="379">
        <f t="shared" si="7"/>
        <v>145598.35144447777</v>
      </c>
      <c r="M10" s="380">
        <f t="shared" si="8"/>
        <v>79195.856215276886</v>
      </c>
      <c r="O10" s="611" t="s">
        <v>170</v>
      </c>
      <c r="P10" s="611"/>
      <c r="Q10" s="352">
        <v>2495.9241858032178</v>
      </c>
      <c r="R10" s="322"/>
      <c r="S10" s="322"/>
      <c r="T10" s="322"/>
    </row>
    <row r="11" spans="2:23" x14ac:dyDescent="0.25">
      <c r="B11" s="54">
        <f t="shared" si="11"/>
        <v>2031</v>
      </c>
      <c r="C11" s="417">
        <f t="shared" si="0"/>
        <v>16.023413726820777</v>
      </c>
      <c r="D11" s="418">
        <f t="shared" si="1"/>
        <v>40.745252048201408</v>
      </c>
      <c r="E11" s="417">
        <f t="shared" si="2"/>
        <v>7.7100354242504876</v>
      </c>
      <c r="F11" s="418">
        <f t="shared" si="3"/>
        <v>19.605518650236959</v>
      </c>
      <c r="G11" s="413">
        <f t="shared" si="4"/>
        <v>20683.278813199897</v>
      </c>
      <c r="H11" s="378">
        <f t="shared" si="9"/>
        <v>36541.052033055981</v>
      </c>
      <c r="I11" s="378">
        <f t="shared" si="5"/>
        <v>71060.202347783867</v>
      </c>
      <c r="J11" s="378">
        <f>(E11*$R$50)+(F11*$R$51)*$R$49*$R$18</f>
        <v>21046.908671366957</v>
      </c>
      <c r="K11" s="380">
        <f t="shared" si="10"/>
        <v>634.86012240540481</v>
      </c>
      <c r="L11" s="379">
        <f t="shared" si="7"/>
        <v>149966.3019878121</v>
      </c>
      <c r="M11" s="380">
        <f t="shared" si="8"/>
        <v>76235.263459565598</v>
      </c>
      <c r="O11" s="611" t="s">
        <v>171</v>
      </c>
      <c r="P11" s="611"/>
      <c r="Q11" s="352">
        <v>4949.9563968988632</v>
      </c>
      <c r="R11" s="322"/>
      <c r="S11" s="89"/>
      <c r="T11" s="322"/>
    </row>
    <row r="12" spans="2:23" x14ac:dyDescent="0.25">
      <c r="B12" s="54">
        <f t="shared" si="11"/>
        <v>2032</v>
      </c>
      <c r="C12" s="417">
        <f t="shared" si="0"/>
        <v>16.504116138625402</v>
      </c>
      <c r="D12" s="418">
        <f t="shared" si="1"/>
        <v>41.967609609647447</v>
      </c>
      <c r="E12" s="417">
        <f t="shared" si="2"/>
        <v>7.9413364869780017</v>
      </c>
      <c r="F12" s="418">
        <f t="shared" si="3"/>
        <v>20.193684209744067</v>
      </c>
      <c r="G12" s="413">
        <f t="shared" si="4"/>
        <v>21303.77717759589</v>
      </c>
      <c r="H12" s="378">
        <f t="shared" si="9"/>
        <v>37637.283594047651</v>
      </c>
      <c r="I12" s="378">
        <f t="shared" si="5"/>
        <v>73192.008418217374</v>
      </c>
      <c r="J12" s="378">
        <f t="shared" si="6"/>
        <v>21678.315931507961</v>
      </c>
      <c r="K12" s="380">
        <f t="shared" si="10"/>
        <v>653.90592607756685</v>
      </c>
      <c r="L12" s="379">
        <f t="shared" si="7"/>
        <v>154465.29104744646</v>
      </c>
      <c r="M12" s="380">
        <f t="shared" si="8"/>
        <v>73385.34706855379</v>
      </c>
      <c r="S12" s="89"/>
    </row>
    <row r="13" spans="2:23" x14ac:dyDescent="0.25">
      <c r="B13" s="54">
        <f t="shared" si="11"/>
        <v>2033</v>
      </c>
      <c r="C13" s="417">
        <f t="shared" si="0"/>
        <v>16.999239622784167</v>
      </c>
      <c r="D13" s="418">
        <f t="shared" si="1"/>
        <v>43.226637897936875</v>
      </c>
      <c r="E13" s="417">
        <f t="shared" si="2"/>
        <v>8.1795765815873427</v>
      </c>
      <c r="F13" s="418">
        <f t="shared" si="3"/>
        <v>20.799494736036394</v>
      </c>
      <c r="G13" s="413">
        <f t="shared" si="4"/>
        <v>21942.890492923772</v>
      </c>
      <c r="H13" s="378">
        <f t="shared" si="9"/>
        <v>38766.402101869091</v>
      </c>
      <c r="I13" s="378">
        <f t="shared" si="5"/>
        <v>75387.768670763908</v>
      </c>
      <c r="J13" s="378">
        <f t="shared" si="6"/>
        <v>22328.665409453206</v>
      </c>
      <c r="K13" s="380">
        <f t="shared" si="10"/>
        <v>673.52310385989404</v>
      </c>
      <c r="L13" s="379">
        <f t="shared" si="7"/>
        <v>159099.24977886988</v>
      </c>
      <c r="M13" s="380">
        <f t="shared" si="8"/>
        <v>70641.969608047133</v>
      </c>
      <c r="O13" s="6" t="s">
        <v>267</v>
      </c>
    </row>
    <row r="14" spans="2:23" ht="17.25" x14ac:dyDescent="0.25">
      <c r="B14" s="54">
        <f t="shared" si="11"/>
        <v>2034</v>
      </c>
      <c r="C14" s="417">
        <f t="shared" si="0"/>
        <v>17.509216811467692</v>
      </c>
      <c r="D14" s="418">
        <f t="shared" si="1"/>
        <v>44.523437034874988</v>
      </c>
      <c r="E14" s="417">
        <f t="shared" si="2"/>
        <v>8.4249638790349639</v>
      </c>
      <c r="F14" s="418">
        <f t="shared" si="3"/>
        <v>21.423479578117487</v>
      </c>
      <c r="G14" s="413">
        <f t="shared" si="4"/>
        <v>22601.17720771148</v>
      </c>
      <c r="H14" s="378">
        <f t="shared" si="9"/>
        <v>39929.394164925165</v>
      </c>
      <c r="I14" s="378">
        <f t="shared" si="5"/>
        <v>77649.401730886835</v>
      </c>
      <c r="J14" s="378">
        <f t="shared" si="6"/>
        <v>22998.525371736803</v>
      </c>
      <c r="K14" s="380">
        <f t="shared" si="10"/>
        <v>693.72879697569101</v>
      </c>
      <c r="L14" s="379">
        <f t="shared" si="7"/>
        <v>163872.22727223596</v>
      </c>
      <c r="M14" s="380">
        <f t="shared" si="8"/>
        <v>68001.148314288352</v>
      </c>
      <c r="O14" s="605" t="s">
        <v>172</v>
      </c>
      <c r="P14" s="605"/>
      <c r="Q14" s="605"/>
      <c r="R14" s="323">
        <v>0.03</v>
      </c>
      <c r="S14" s="89"/>
      <c r="U14" s="48"/>
      <c r="V14" s="48"/>
      <c r="W14" s="48"/>
    </row>
    <row r="15" spans="2:23" ht="17.25" x14ac:dyDescent="0.25">
      <c r="B15" s="54">
        <f t="shared" si="11"/>
        <v>2035</v>
      </c>
      <c r="C15" s="417">
        <f t="shared" si="0"/>
        <v>18.034493315811719</v>
      </c>
      <c r="D15" s="418">
        <f t="shared" si="1"/>
        <v>45.859140145921224</v>
      </c>
      <c r="E15" s="417">
        <f t="shared" si="2"/>
        <v>8.6777127954060109</v>
      </c>
      <c r="F15" s="418">
        <f t="shared" si="3"/>
        <v>22.066183965461004</v>
      </c>
      <c r="G15" s="413">
        <f t="shared" si="4"/>
        <v>23279.212523942824</v>
      </c>
      <c r="H15" s="378">
        <f t="shared" si="9"/>
        <v>41127.275989872898</v>
      </c>
      <c r="I15" s="378">
        <f t="shared" si="5"/>
        <v>79978.883782813413</v>
      </c>
      <c r="J15" s="378">
        <f t="shared" si="6"/>
        <v>23688.481132888901</v>
      </c>
      <c r="K15" s="380">
        <f t="shared" si="10"/>
        <v>714.54066088496154</v>
      </c>
      <c r="L15" s="379">
        <f t="shared" si="7"/>
        <v>168788.39409040299</v>
      </c>
      <c r="M15" s="380">
        <f t="shared" si="8"/>
        <v>65459.049311885035</v>
      </c>
      <c r="O15" s="605" t="s">
        <v>222</v>
      </c>
      <c r="P15" s="605"/>
      <c r="Q15" s="605"/>
      <c r="R15" s="363">
        <f>3211/SUM(Q9:Q11)</f>
        <v>0.32133071048852613</v>
      </c>
      <c r="S15" s="89"/>
      <c r="U15" s="365"/>
      <c r="V15" s="365"/>
      <c r="W15" s="365"/>
    </row>
    <row r="16" spans="2:23" ht="17.25" x14ac:dyDescent="0.25">
      <c r="B16" s="54">
        <f t="shared" si="11"/>
        <v>2036</v>
      </c>
      <c r="C16" s="417">
        <f t="shared" si="0"/>
        <v>18.575528115286069</v>
      </c>
      <c r="D16" s="418">
        <f t="shared" si="1"/>
        <v>47.234914350298865</v>
      </c>
      <c r="E16" s="417">
        <f t="shared" si="2"/>
        <v>8.9380441792681911</v>
      </c>
      <c r="F16" s="418">
        <f t="shared" si="3"/>
        <v>22.728169484424836</v>
      </c>
      <c r="G16" s="413">
        <f t="shared" si="4"/>
        <v>23977.588899661107</v>
      </c>
      <c r="H16" s="378">
        <f>(E16*$R$41)+(F16*$R$42)*$R$40</f>
        <v>42361.09426956909</v>
      </c>
      <c r="I16" s="378">
        <f t="shared" si="5"/>
        <v>82378.250296297818</v>
      </c>
      <c r="J16" s="378">
        <f>(E16*$R$50)+(F16*$R$51)*$R$49*$R$18</f>
        <v>24399.135566875568</v>
      </c>
      <c r="K16" s="380">
        <f t="shared" si="10"/>
        <v>735.97688071151038</v>
      </c>
      <c r="L16" s="379">
        <f t="shared" si="7"/>
        <v>173852.04591311509</v>
      </c>
      <c r="M16" s="380">
        <f t="shared" si="8"/>
        <v>63011.982047889323</v>
      </c>
      <c r="O16" s="605" t="s">
        <v>173</v>
      </c>
      <c r="P16" s="605"/>
      <c r="Q16" s="605"/>
      <c r="R16" s="363">
        <v>7.0000000000000001E-3</v>
      </c>
      <c r="S16" s="89"/>
      <c r="U16" s="365"/>
      <c r="V16" s="365"/>
      <c r="W16" s="365"/>
    </row>
    <row r="17" spans="2:29" ht="17.25" x14ac:dyDescent="0.25">
      <c r="B17" s="54">
        <f t="shared" si="11"/>
        <v>2037</v>
      </c>
      <c r="C17" s="417">
        <f t="shared" si="0"/>
        <v>19.132793958744653</v>
      </c>
      <c r="D17" s="418">
        <f t="shared" si="1"/>
        <v>48.651961780807831</v>
      </c>
      <c r="E17" s="417">
        <f t="shared" si="2"/>
        <v>9.2061855046462373</v>
      </c>
      <c r="F17" s="418">
        <f t="shared" si="3"/>
        <v>23.410014568957582</v>
      </c>
      <c r="G17" s="413">
        <f>(C17*$R$37)*$R$33*$R$34*$R$35*$R$36*$Q$59</f>
        <v>24696.916566650943</v>
      </c>
      <c r="H17" s="378">
        <f t="shared" si="9"/>
        <v>43631.927097656167</v>
      </c>
      <c r="I17" s="378">
        <f t="shared" si="5"/>
        <v>84849.597805186757</v>
      </c>
      <c r="J17" s="378">
        <f t="shared" si="6"/>
        <v>25131.109633881832</v>
      </c>
      <c r="K17" s="380">
        <f t="shared" si="10"/>
        <v>758.05618713285571</v>
      </c>
      <c r="L17" s="379">
        <f t="shared" si="7"/>
        <v>179067.60729050857</v>
      </c>
      <c r="M17" s="380">
        <f t="shared" si="8"/>
        <v>60656.393933949556</v>
      </c>
      <c r="O17" s="605" t="s">
        <v>174</v>
      </c>
      <c r="P17" s="605"/>
      <c r="Q17" s="605"/>
      <c r="R17" s="353">
        <v>0.5</v>
      </c>
      <c r="S17" s="324"/>
      <c r="X17" s="325" t="s">
        <v>175</v>
      </c>
    </row>
    <row r="18" spans="2:29" ht="17.25" customHeight="1" x14ac:dyDescent="0.25">
      <c r="B18" s="54">
        <f t="shared" si="11"/>
        <v>2038</v>
      </c>
      <c r="C18" s="417">
        <f t="shared" si="0"/>
        <v>19.706777777506993</v>
      </c>
      <c r="D18" s="418">
        <f t="shared" si="1"/>
        <v>50.111520634232065</v>
      </c>
      <c r="E18" s="417">
        <f t="shared" si="2"/>
        <v>9.4823710697856249</v>
      </c>
      <c r="F18" s="418">
        <f t="shared" si="3"/>
        <v>24.112315006026307</v>
      </c>
      <c r="G18" s="413">
        <f t="shared" si="4"/>
        <v>25437.824063650471</v>
      </c>
      <c r="H18" s="378">
        <f t="shared" si="9"/>
        <v>44940.884910585846</v>
      </c>
      <c r="I18" s="378">
        <f t="shared" si="5"/>
        <v>87395.08573934235</v>
      </c>
      <c r="J18" s="378">
        <f t="shared" si="6"/>
        <v>25885.04292289829</v>
      </c>
      <c r="K18" s="380">
        <f t="shared" si="10"/>
        <v>780.79787274684145</v>
      </c>
      <c r="L18" s="379">
        <f t="shared" si="7"/>
        <v>184439.63550922376</v>
      </c>
      <c r="M18" s="380">
        <f t="shared" si="8"/>
        <v>58388.865188755168</v>
      </c>
      <c r="O18" s="605" t="s">
        <v>243</v>
      </c>
      <c r="P18" s="605"/>
      <c r="Q18" s="605"/>
      <c r="R18" s="355">
        <v>2.38</v>
      </c>
      <c r="S18" s="351"/>
      <c r="X18" s="614" t="s">
        <v>257</v>
      </c>
      <c r="Y18" s="614"/>
      <c r="Z18" s="614"/>
      <c r="AA18" s="614"/>
      <c r="AB18" s="614"/>
      <c r="AC18" s="614"/>
    </row>
    <row r="19" spans="2:29" x14ac:dyDescent="0.25">
      <c r="B19" s="54">
        <f t="shared" si="11"/>
        <v>2039</v>
      </c>
      <c r="C19" s="417">
        <f t="shared" si="0"/>
        <v>20.2979811108322</v>
      </c>
      <c r="D19" s="418">
        <f t="shared" si="1"/>
        <v>51.614866253259024</v>
      </c>
      <c r="E19" s="417">
        <f t="shared" si="2"/>
        <v>9.7668422018791929</v>
      </c>
      <c r="F19" s="418">
        <f t="shared" si="3"/>
        <v>24.835684456207098</v>
      </c>
      <c r="G19" s="413">
        <f t="shared" si="4"/>
        <v>26200.958785559978</v>
      </c>
      <c r="H19" s="378">
        <f t="shared" si="9"/>
        <v>46289.111457903426</v>
      </c>
      <c r="I19" s="378">
        <f t="shared" si="5"/>
        <v>90016.938311522637</v>
      </c>
      <c r="J19" s="378">
        <f t="shared" si="6"/>
        <v>26661.594210585237</v>
      </c>
      <c r="K19" s="380">
        <f t="shared" si="10"/>
        <v>804.22180892924655</v>
      </c>
      <c r="L19" s="379">
        <f t="shared" si="7"/>
        <v>189972.82457450053</v>
      </c>
      <c r="M19" s="380">
        <f t="shared" si="8"/>
        <v>56206.103873287691</v>
      </c>
      <c r="O19" s="49"/>
      <c r="P19" s="49"/>
      <c r="Q19" s="49"/>
      <c r="R19" s="326"/>
      <c r="X19" s="614"/>
      <c r="Y19" s="614"/>
      <c r="Z19" s="614"/>
      <c r="AA19" s="614"/>
      <c r="AB19" s="614"/>
      <c r="AC19" s="614"/>
    </row>
    <row r="20" spans="2:29" ht="17.25" x14ac:dyDescent="0.25">
      <c r="B20" s="54">
        <f t="shared" si="11"/>
        <v>2040</v>
      </c>
      <c r="C20" s="417">
        <f t="shared" si="0"/>
        <v>20.906920544157163</v>
      </c>
      <c r="D20" s="418">
        <f t="shared" si="1"/>
        <v>53.16331224085679</v>
      </c>
      <c r="E20" s="417">
        <f t="shared" si="2"/>
        <v>10.059847467935567</v>
      </c>
      <c r="F20" s="418">
        <f t="shared" si="3"/>
        <v>25.580754989893308</v>
      </c>
      <c r="G20" s="413">
        <f t="shared" si="4"/>
        <v>26986.987549126778</v>
      </c>
      <c r="H20" s="378">
        <f t="shared" si="9"/>
        <v>47677.784801640526</v>
      </c>
      <c r="I20" s="378">
        <f t="shared" si="5"/>
        <v>92717.446460868305</v>
      </c>
      <c r="J20" s="378">
        <f t="shared" si="6"/>
        <v>27461.442036902798</v>
      </c>
      <c r="K20" s="380">
        <f t="shared" si="10"/>
        <v>828.34846319712392</v>
      </c>
      <c r="L20" s="379">
        <f t="shared" si="7"/>
        <v>195672.00931173554</v>
      </c>
      <c r="M20" s="380">
        <f t="shared" si="8"/>
        <v>54104.941111669454</v>
      </c>
      <c r="O20" s="6" t="s">
        <v>231</v>
      </c>
      <c r="S20" s="89"/>
      <c r="U20" s="621" t="s">
        <v>176</v>
      </c>
      <c r="V20" s="621"/>
      <c r="W20" s="621"/>
      <c r="X20" s="614"/>
      <c r="Y20" s="614"/>
      <c r="Z20" s="614"/>
      <c r="AA20" s="614"/>
      <c r="AB20" s="614"/>
      <c r="AC20" s="614"/>
    </row>
    <row r="21" spans="2:29" x14ac:dyDescent="0.25">
      <c r="B21" s="54">
        <f t="shared" si="11"/>
        <v>2041</v>
      </c>
      <c r="C21" s="417">
        <f t="shared" si="0"/>
        <v>21.534128160481881</v>
      </c>
      <c r="D21" s="418">
        <f t="shared" si="1"/>
        <v>54.758211608082497</v>
      </c>
      <c r="E21" s="417">
        <f t="shared" si="2"/>
        <v>10.361642891973634</v>
      </c>
      <c r="F21" s="418">
        <f t="shared" si="3"/>
        <v>26.348177639590109</v>
      </c>
      <c r="G21" s="413">
        <f t="shared" si="4"/>
        <v>27796.597175600586</v>
      </c>
      <c r="H21" s="378">
        <f t="shared" si="9"/>
        <v>49108.118345689749</v>
      </c>
      <c r="I21" s="378">
        <f t="shared" si="5"/>
        <v>95498.96985469434</v>
      </c>
      <c r="J21" s="378">
        <f t="shared" si="6"/>
        <v>28285.28529800988</v>
      </c>
      <c r="K21" s="380">
        <f t="shared" si="10"/>
        <v>853.19891709303761</v>
      </c>
      <c r="L21" s="379">
        <f t="shared" si="7"/>
        <v>201542.16959108759</v>
      </c>
      <c r="M21" s="380">
        <f t="shared" si="8"/>
        <v>52082.326490672465</v>
      </c>
      <c r="Q21" s="327" t="s">
        <v>177</v>
      </c>
      <c r="R21" s="327" t="s">
        <v>178</v>
      </c>
      <c r="S21" s="327" t="s">
        <v>179</v>
      </c>
      <c r="T21" s="48"/>
      <c r="U21" s="430" t="s">
        <v>180</v>
      </c>
      <c r="V21" s="430" t="s">
        <v>181</v>
      </c>
      <c r="W21" s="430" t="s">
        <v>182</v>
      </c>
    </row>
    <row r="22" spans="2:29" x14ac:dyDescent="0.25">
      <c r="B22" s="54">
        <f t="shared" si="11"/>
        <v>2042</v>
      </c>
      <c r="C22" s="417">
        <f t="shared" si="0"/>
        <v>22.180152005296339</v>
      </c>
      <c r="D22" s="418">
        <f t="shared" si="1"/>
        <v>56.400957956324973</v>
      </c>
      <c r="E22" s="417">
        <f t="shared" si="2"/>
        <v>10.672492178732846</v>
      </c>
      <c r="F22" s="418">
        <f t="shared" si="3"/>
        <v>27.138622968777813</v>
      </c>
      <c r="G22" s="413">
        <f t="shared" si="4"/>
        <v>28630.495090868608</v>
      </c>
      <c r="H22" s="378">
        <f t="shared" si="9"/>
        <v>50581.361896060444</v>
      </c>
      <c r="I22" s="378">
        <f t="shared" si="5"/>
        <v>98363.938950335185</v>
      </c>
      <c r="J22" s="378">
        <f t="shared" si="6"/>
        <v>29133.843856950178</v>
      </c>
      <c r="K22" s="380">
        <f t="shared" si="10"/>
        <v>878.79488460582877</v>
      </c>
      <c r="L22" s="379">
        <f t="shared" si="7"/>
        <v>207588.43467882022</v>
      </c>
      <c r="M22" s="380">
        <f t="shared" si="8"/>
        <v>50135.323631208077</v>
      </c>
      <c r="O22" s="603" t="s">
        <v>229</v>
      </c>
      <c r="P22" s="604"/>
      <c r="Q22" s="364">
        <f>SUM(Q9:Q11)*R15*R16*R17</f>
        <v>11.2385</v>
      </c>
      <c r="R22" s="364">
        <f>S22-Q22</f>
        <v>28.5779</v>
      </c>
      <c r="S22" s="364">
        <f>V22</f>
        <v>39.816400000000002</v>
      </c>
      <c r="T22" s="361"/>
      <c r="U22" s="303">
        <f>R16*SUM(Q9:Q11)*R15</f>
        <v>22.477000000000004</v>
      </c>
      <c r="V22" s="303">
        <f>(0.004+1.2*R16)*SUM(Q9:Q11)*R15</f>
        <v>39.816400000000002</v>
      </c>
      <c r="W22" s="303">
        <f>(0.006+3*R16)*SUM(Q9:Q11)*R15</f>
        <v>86.697000000000017</v>
      </c>
      <c r="X22" s="89"/>
    </row>
    <row r="23" spans="2:29" ht="15.75" thickBot="1" x14ac:dyDescent="0.3">
      <c r="B23" s="54">
        <f t="shared" si="11"/>
        <v>2043</v>
      </c>
      <c r="C23" s="417">
        <f t="shared" si="0"/>
        <v>22.845556565455226</v>
      </c>
      <c r="D23" s="418">
        <f t="shared" si="1"/>
        <v>58.092986695014716</v>
      </c>
      <c r="E23" s="417">
        <f t="shared" si="2"/>
        <v>10.992666944094829</v>
      </c>
      <c r="F23" s="418">
        <f t="shared" si="3"/>
        <v>27.952781657841143</v>
      </c>
      <c r="G23" s="413">
        <f t="shared" si="4"/>
        <v>29489.409943594659</v>
      </c>
      <c r="H23" s="378">
        <f t="shared" si="9"/>
        <v>52098.802752942247</v>
      </c>
      <c r="I23" s="378">
        <f t="shared" si="5"/>
        <v>101314.85711884522</v>
      </c>
      <c r="J23" s="378">
        <f t="shared" si="6"/>
        <v>30007.859172658682</v>
      </c>
      <c r="K23" s="380">
        <f t="shared" si="10"/>
        <v>905.15873114400358</v>
      </c>
      <c r="L23" s="379">
        <f t="shared" si="7"/>
        <v>213816.08771918481</v>
      </c>
      <c r="M23" s="380">
        <f t="shared" si="8"/>
        <v>48261.105925368516</v>
      </c>
      <c r="O23" s="626" t="s">
        <v>230</v>
      </c>
      <c r="P23" s="627"/>
      <c r="Q23" s="397">
        <f>(Q9*R15*R16*R17*(2.93-1)+(Q10*R15*R16*R17*(2.11-1)+(Q11*R15*R16*R17*(1.39-1))))</f>
        <v>10.815327444288773</v>
      </c>
      <c r="R23" s="397">
        <f>S23-Q23</f>
        <v>27.501832644048601</v>
      </c>
      <c r="S23" s="364">
        <f>V23</f>
        <v>38.317160088337374</v>
      </c>
      <c r="T23" s="89"/>
      <c r="U23" s="303">
        <f>R16*R15*(Q9*(2.93-1)+Q10*(2.11-1)+Q11*(1.39-1))</f>
        <v>21.630654888577546</v>
      </c>
      <c r="V23" s="303">
        <f>(0.004+1.2*R16)*R15*(Q9*1.93+Q10*1.11+Q11*0.39)</f>
        <v>38.317160088337374</v>
      </c>
      <c r="W23" s="303">
        <f>(0.006+3*R16)*R15*(Q9*1.93+Q10*1.11+Q11*0.39)</f>
        <v>83.432525998799136</v>
      </c>
    </row>
    <row r="24" spans="2:29" ht="15.75" thickTop="1" x14ac:dyDescent="0.25">
      <c r="B24" s="54">
        <f t="shared" si="11"/>
        <v>2044</v>
      </c>
      <c r="C24" s="417">
        <f t="shared" si="0"/>
        <v>23.530923262418881</v>
      </c>
      <c r="D24" s="418">
        <f t="shared" si="1"/>
        <v>59.835776295865159</v>
      </c>
      <c r="E24" s="417">
        <f t="shared" si="2"/>
        <v>11.322446952417673</v>
      </c>
      <c r="F24" s="418">
        <f t="shared" si="3"/>
        <v>28.791365107576379</v>
      </c>
      <c r="G24" s="413">
        <f t="shared" si="4"/>
        <v>30374.092241902497</v>
      </c>
      <c r="H24" s="378">
        <f t="shared" si="9"/>
        <v>53661.766835530514</v>
      </c>
      <c r="I24" s="378">
        <f t="shared" si="5"/>
        <v>104354.30283241058</v>
      </c>
      <c r="J24" s="378">
        <f t="shared" si="6"/>
        <v>30908.094947838435</v>
      </c>
      <c r="K24" s="380">
        <f t="shared" si="10"/>
        <v>932.31349307832375</v>
      </c>
      <c r="L24" s="379">
        <f t="shared" si="7"/>
        <v>220230.57035076033</v>
      </c>
      <c r="M24" s="380">
        <f t="shared" si="8"/>
        <v>46456.952432831371</v>
      </c>
      <c r="O24" s="628" t="s">
        <v>227</v>
      </c>
      <c r="P24" s="629"/>
      <c r="Q24" s="398">
        <f>SUM(Q22:Q23)</f>
        <v>22.053827444288771</v>
      </c>
      <c r="R24" s="398">
        <f>SUM(R22:R23)</f>
        <v>56.079732644048605</v>
      </c>
      <c r="S24" s="398">
        <f>SUM(S22:S23)</f>
        <v>78.133560088337376</v>
      </c>
      <c r="T24" s="349"/>
      <c r="V24" s="329" t="s">
        <v>186</v>
      </c>
    </row>
    <row r="25" spans="2:29" x14ac:dyDescent="0.25">
      <c r="B25" s="54">
        <f>B24+1</f>
        <v>2045</v>
      </c>
      <c r="C25" s="417">
        <f t="shared" si="0"/>
        <v>24.236850960291452</v>
      </c>
      <c r="D25" s="418">
        <f t="shared" si="1"/>
        <v>61.630849584741121</v>
      </c>
      <c r="E25" s="417">
        <f t="shared" si="2"/>
        <v>11.662120360990205</v>
      </c>
      <c r="F25" s="418">
        <f t="shared" si="3"/>
        <v>29.655106060803671</v>
      </c>
      <c r="G25" s="413">
        <f t="shared" si="4"/>
        <v>31285.315009159578</v>
      </c>
      <c r="H25" s="378">
        <f t="shared" si="9"/>
        <v>55271.619840596431</v>
      </c>
      <c r="I25" s="378">
        <f t="shared" si="5"/>
        <v>107484.93191738291</v>
      </c>
      <c r="J25" s="378">
        <f t="shared" si="6"/>
        <v>31835.33779627359</v>
      </c>
      <c r="K25" s="380">
        <f>E25*$R$18*$Q$55*$Q$54*$Q$58</f>
        <v>960.28289787067342</v>
      </c>
      <c r="L25" s="379">
        <f t="shared" si="7"/>
        <v>226837.48746128319</v>
      </c>
      <c r="M25" s="380">
        <f t="shared" si="8"/>
        <v>44720.243930669458</v>
      </c>
    </row>
    <row r="26" spans="2:29" ht="17.25" x14ac:dyDescent="0.25">
      <c r="B26" s="373">
        <f>B25+1</f>
        <v>2046</v>
      </c>
      <c r="C26" s="419">
        <f t="shared" si="0"/>
        <v>24.963956489100195</v>
      </c>
      <c r="D26" s="420">
        <f t="shared" si="1"/>
        <v>63.479775072283346</v>
      </c>
      <c r="E26" s="419">
        <f t="shared" si="2"/>
        <v>12.011983971819911</v>
      </c>
      <c r="F26" s="420">
        <f t="shared" si="3"/>
        <v>30.54475924262778</v>
      </c>
      <c r="G26" s="414">
        <f t="shared" si="4"/>
        <v>32223.874459434363</v>
      </c>
      <c r="H26" s="381">
        <f t="shared" si="9"/>
        <v>56929.768435814331</v>
      </c>
      <c r="I26" s="381">
        <f t="shared" si="5"/>
        <v>110709.4798749044</v>
      </c>
      <c r="J26" s="381">
        <f t="shared" si="6"/>
        <v>32790.397930161802</v>
      </c>
      <c r="K26" s="383">
        <f t="shared" si="10"/>
        <v>989.0913848067936</v>
      </c>
      <c r="L26" s="382">
        <f t="shared" si="7"/>
        <v>233642.61208512168</v>
      </c>
      <c r="M26" s="383">
        <f t="shared" si="8"/>
        <v>43048.45911083134</v>
      </c>
      <c r="O26" s="6" t="s">
        <v>248</v>
      </c>
    </row>
    <row r="27" spans="2:29" ht="17.25" x14ac:dyDescent="0.25">
      <c r="B27" s="216"/>
      <c r="C27" s="421"/>
      <c r="D27" s="425"/>
      <c r="E27" s="421"/>
      <c r="F27" s="422"/>
      <c r="G27" s="317"/>
      <c r="H27" s="318"/>
      <c r="I27" s="318"/>
      <c r="J27" s="318"/>
      <c r="K27" s="319"/>
      <c r="L27" s="410"/>
      <c r="M27" s="319"/>
      <c r="O27" s="399" t="s">
        <v>249</v>
      </c>
      <c r="P27" s="400">
        <v>0.5</v>
      </c>
      <c r="Q27" s="327" t="s">
        <v>177</v>
      </c>
      <c r="R27" s="327" t="s">
        <v>178</v>
      </c>
      <c r="S27" s="327" t="s">
        <v>179</v>
      </c>
      <c r="T27" s="48"/>
      <c r="U27" s="48"/>
      <c r="V27" s="48"/>
      <c r="W27" s="48"/>
    </row>
    <row r="28" spans="2:29" ht="15.75" thickBot="1" x14ac:dyDescent="0.3">
      <c r="B28" s="225"/>
      <c r="C28" s="423"/>
      <c r="D28" s="426"/>
      <c r="E28" s="423"/>
      <c r="F28" s="424"/>
      <c r="G28" s="330"/>
      <c r="H28" s="374"/>
      <c r="I28" s="374"/>
      <c r="J28" s="374"/>
      <c r="K28" s="133"/>
      <c r="L28" s="411"/>
      <c r="M28" s="133"/>
      <c r="O28" s="603" t="s">
        <v>183</v>
      </c>
      <c r="P28" s="604"/>
      <c r="Q28" s="364">
        <f>Q22+(Q23*P27)</f>
        <v>16.646163722144387</v>
      </c>
      <c r="R28" s="364">
        <f>S28-Q28</f>
        <v>42.328816322024302</v>
      </c>
      <c r="S28" s="364">
        <f>S22+(S23*P27)</f>
        <v>58.974980044168689</v>
      </c>
      <c r="T28" s="328"/>
    </row>
    <row r="29" spans="2:29" ht="15.75" thickBot="1" x14ac:dyDescent="0.3">
      <c r="B29" s="4"/>
      <c r="C29" s="4"/>
      <c r="D29" s="4"/>
      <c r="E29" s="4"/>
      <c r="F29" s="331" t="s">
        <v>2</v>
      </c>
      <c r="G29" s="332">
        <f t="shared" ref="G29:M29" si="12">SUM(G7:G28)</f>
        <v>493792.17864201026</v>
      </c>
      <c r="H29" s="333">
        <f t="shared" si="12"/>
        <v>872380.33467684232</v>
      </c>
      <c r="I29" s="333">
        <f t="shared" si="12"/>
        <v>1696489.8287625851</v>
      </c>
      <c r="J29" s="333">
        <f t="shared" si="12"/>
        <v>502473.47049642401</v>
      </c>
      <c r="K29" s="427">
        <f t="shared" si="12"/>
        <v>15156.637678520883</v>
      </c>
      <c r="L29" s="334">
        <f t="shared" si="12"/>
        <v>3580292.4502563826</v>
      </c>
      <c r="M29" s="335">
        <f t="shared" si="12"/>
        <v>1266514.7001344613</v>
      </c>
      <c r="O29" s="626" t="s">
        <v>184</v>
      </c>
      <c r="P29" s="627"/>
      <c r="Q29" s="397">
        <f>(1-$P$27)*Q23</f>
        <v>5.4076637221443864</v>
      </c>
      <c r="R29" s="397">
        <f>S29-Q29</f>
        <v>13.750916322024301</v>
      </c>
      <c r="S29" s="397">
        <f>(1-$P$27)*S23</f>
        <v>19.158580044168687</v>
      </c>
      <c r="T29" s="328"/>
    </row>
    <row r="30" spans="2:29" ht="15.75" thickTop="1" x14ac:dyDescent="0.25">
      <c r="B30" s="4"/>
      <c r="C30" s="4"/>
      <c r="D30" s="4"/>
      <c r="E30" s="4"/>
      <c r="F30" s="331"/>
      <c r="G30" s="336"/>
      <c r="H30" s="336"/>
      <c r="I30" s="336"/>
      <c r="J30" s="336"/>
      <c r="K30" s="336"/>
      <c r="L30" s="336"/>
      <c r="M30" s="336"/>
      <c r="O30" s="628" t="s">
        <v>185</v>
      </c>
      <c r="P30" s="629"/>
      <c r="Q30" s="398">
        <f>SUM(Q28:Q29)</f>
        <v>22.053827444288771</v>
      </c>
      <c r="R30" s="398">
        <f>SUM(R28:R29)</f>
        <v>56.079732644048605</v>
      </c>
      <c r="S30" s="398">
        <f>SUM(S28:S29)</f>
        <v>78.133560088337376</v>
      </c>
      <c r="T30" s="350"/>
    </row>
    <row r="31" spans="2:29" ht="15" customHeight="1" x14ac:dyDescent="0.25">
      <c r="C31" s="337"/>
      <c r="D31" s="337"/>
      <c r="N31" s="20"/>
      <c r="O31" s="338"/>
      <c r="P31" s="338"/>
      <c r="Q31" s="328"/>
      <c r="R31" s="328"/>
      <c r="S31" s="328"/>
      <c r="T31" s="328"/>
    </row>
    <row r="32" spans="2:29" ht="15" customHeight="1" x14ac:dyDescent="0.25">
      <c r="B32" s="6" t="s">
        <v>3</v>
      </c>
      <c r="C32" s="337"/>
      <c r="D32" s="337"/>
      <c r="N32" s="20"/>
      <c r="O32" s="6" t="s">
        <v>187</v>
      </c>
      <c r="Q32" s="328"/>
      <c r="R32" s="328"/>
      <c r="S32" s="328"/>
      <c r="T32" s="328"/>
    </row>
    <row r="33" spans="1:24" ht="15" customHeight="1" x14ac:dyDescent="0.25">
      <c r="A33" s="7" t="s">
        <v>17</v>
      </c>
      <c r="B33" s="559" t="s">
        <v>269</v>
      </c>
      <c r="C33" s="559"/>
      <c r="D33" s="559"/>
      <c r="E33" s="559"/>
      <c r="F33" s="559"/>
      <c r="G33" s="559"/>
      <c r="H33" s="559"/>
      <c r="I33" s="559"/>
      <c r="J33" s="559"/>
      <c r="K33" s="559"/>
      <c r="L33" s="559"/>
      <c r="M33" s="559"/>
      <c r="N33" s="20"/>
      <c r="O33" s="603" t="s">
        <v>188</v>
      </c>
      <c r="P33" s="634"/>
      <c r="Q33" s="604"/>
      <c r="R33" s="364">
        <f>50*5</f>
        <v>250</v>
      </c>
      <c r="S33" s="89"/>
      <c r="X33" s="339" t="s">
        <v>251</v>
      </c>
    </row>
    <row r="34" spans="1:24" ht="17.25" customHeight="1" x14ac:dyDescent="0.25">
      <c r="B34" s="559"/>
      <c r="C34" s="559"/>
      <c r="D34" s="559"/>
      <c r="E34" s="559"/>
      <c r="F34" s="559"/>
      <c r="G34" s="559"/>
      <c r="H34" s="559"/>
      <c r="I34" s="559"/>
      <c r="J34" s="559"/>
      <c r="K34" s="559"/>
      <c r="L34" s="559"/>
      <c r="M34" s="559"/>
      <c r="N34" s="20"/>
      <c r="O34" s="611" t="s">
        <v>190</v>
      </c>
      <c r="P34" s="611"/>
      <c r="Q34" s="611"/>
      <c r="R34" s="23">
        <v>2</v>
      </c>
      <c r="S34" s="89"/>
      <c r="X34" s="339" t="s">
        <v>189</v>
      </c>
    </row>
    <row r="35" spans="1:24" ht="17.25" customHeight="1" x14ac:dyDescent="0.25">
      <c r="B35" s="559"/>
      <c r="C35" s="559"/>
      <c r="D35" s="559"/>
      <c r="E35" s="559"/>
      <c r="F35" s="559"/>
      <c r="G35" s="559"/>
      <c r="H35" s="559"/>
      <c r="I35" s="559"/>
      <c r="J35" s="559"/>
      <c r="K35" s="559"/>
      <c r="L35" s="559"/>
      <c r="M35" s="559"/>
      <c r="N35" s="20"/>
      <c r="O35" s="609" t="s">
        <v>191</v>
      </c>
      <c r="P35" s="609"/>
      <c r="Q35" s="609"/>
      <c r="R35" s="449">
        <v>21.6</v>
      </c>
      <c r="S35" s="89"/>
      <c r="T35" s="606"/>
      <c r="U35" s="606"/>
      <c r="V35" s="606"/>
      <c r="W35" s="606"/>
      <c r="X35" s="339" t="s">
        <v>192</v>
      </c>
    </row>
    <row r="36" spans="1:24" ht="17.25" customHeight="1" x14ac:dyDescent="0.25">
      <c r="B36" s="20"/>
      <c r="C36" s="20"/>
      <c r="D36" s="20"/>
      <c r="E36" s="20"/>
      <c r="F36" s="20"/>
      <c r="G36" s="20"/>
      <c r="H36" s="20"/>
      <c r="I36" s="20"/>
      <c r="J36" s="20"/>
      <c r="K36" s="20"/>
      <c r="L36" s="20"/>
      <c r="M36" s="20"/>
      <c r="O36" s="610" t="s">
        <v>193</v>
      </c>
      <c r="P36" s="610"/>
      <c r="Q36" s="610"/>
      <c r="R36" s="371">
        <f>16.6/60</f>
        <v>0.27666666666666667</v>
      </c>
      <c r="S36" s="89"/>
      <c r="T36" s="606"/>
      <c r="U36" s="606"/>
      <c r="V36" s="606"/>
      <c r="W36" s="606"/>
      <c r="X36" s="339" t="s">
        <v>194</v>
      </c>
    </row>
    <row r="37" spans="1:24" ht="15" customHeight="1" x14ac:dyDescent="0.25">
      <c r="A37" s="7" t="s">
        <v>16</v>
      </c>
      <c r="B37" s="559" t="s">
        <v>275</v>
      </c>
      <c r="C37" s="559"/>
      <c r="D37" s="559"/>
      <c r="E37" s="559"/>
      <c r="F37" s="559"/>
      <c r="G37" s="559"/>
      <c r="H37" s="559"/>
      <c r="I37" s="559"/>
      <c r="J37" s="559"/>
      <c r="K37" s="559"/>
      <c r="L37" s="559"/>
      <c r="M37" s="559"/>
      <c r="O37" s="605" t="s">
        <v>250</v>
      </c>
      <c r="P37" s="605"/>
      <c r="Q37" s="605"/>
      <c r="R37" s="366">
        <v>0.4</v>
      </c>
      <c r="X37" s="339" t="s">
        <v>195</v>
      </c>
    </row>
    <row r="38" spans="1:24" ht="17.25" customHeight="1" x14ac:dyDescent="0.25">
      <c r="B38" s="559"/>
      <c r="C38" s="559"/>
      <c r="D38" s="559"/>
      <c r="E38" s="559"/>
      <c r="F38" s="559"/>
      <c r="G38" s="559"/>
      <c r="H38" s="559"/>
      <c r="I38" s="559"/>
      <c r="J38" s="559"/>
      <c r="K38" s="559"/>
      <c r="L38" s="559"/>
      <c r="M38" s="559"/>
      <c r="X38" s="49"/>
    </row>
    <row r="39" spans="1:24" ht="15" customHeight="1" x14ac:dyDescent="0.25">
      <c r="B39" s="559"/>
      <c r="C39" s="559"/>
      <c r="D39" s="559"/>
      <c r="E39" s="559"/>
      <c r="F39" s="559"/>
      <c r="G39" s="559"/>
      <c r="H39" s="559"/>
      <c r="I39" s="559"/>
      <c r="J39" s="559"/>
      <c r="K39" s="559"/>
      <c r="L39" s="559"/>
      <c r="M39" s="559"/>
      <c r="O39" s="6" t="s">
        <v>256</v>
      </c>
      <c r="T39" s="89"/>
      <c r="X39" s="49"/>
    </row>
    <row r="40" spans="1:24" ht="15" customHeight="1" x14ac:dyDescent="0.25">
      <c r="C40" s="362"/>
      <c r="D40" s="362"/>
      <c r="E40" s="362"/>
      <c r="F40" s="362"/>
      <c r="G40" s="362"/>
      <c r="H40" s="362"/>
      <c r="I40" s="362"/>
      <c r="J40" s="362"/>
      <c r="K40" s="362"/>
      <c r="L40" s="362"/>
      <c r="M40" s="362"/>
      <c r="O40" s="41" t="s">
        <v>702</v>
      </c>
      <c r="P40" s="41"/>
      <c r="R40" s="367">
        <v>6.42</v>
      </c>
      <c r="T40" s="347"/>
      <c r="X40" s="339" t="s">
        <v>196</v>
      </c>
    </row>
    <row r="41" spans="1:24" ht="15" customHeight="1" x14ac:dyDescent="0.25">
      <c r="A41" s="7" t="s">
        <v>108</v>
      </c>
      <c r="B41" s="624" t="s">
        <v>262</v>
      </c>
      <c r="C41" s="624"/>
      <c r="D41" s="624"/>
      <c r="E41" s="624"/>
      <c r="F41" s="624"/>
      <c r="G41" s="624"/>
      <c r="H41" s="624"/>
      <c r="I41" s="624"/>
      <c r="J41" s="624"/>
      <c r="K41" s="624"/>
      <c r="L41" s="624"/>
      <c r="M41" s="624"/>
      <c r="O41" s="603" t="s">
        <v>188</v>
      </c>
      <c r="P41" s="634"/>
      <c r="Q41" s="604"/>
      <c r="R41" s="368">
        <f>50*5</f>
        <v>250</v>
      </c>
      <c r="T41" s="347"/>
      <c r="X41" s="339" t="s">
        <v>251</v>
      </c>
    </row>
    <row r="42" spans="1:24" ht="15" customHeight="1" x14ac:dyDescent="0.25">
      <c r="B42" s="624"/>
      <c r="C42" s="624"/>
      <c r="D42" s="624"/>
      <c r="E42" s="624"/>
      <c r="F42" s="624"/>
      <c r="G42" s="624"/>
      <c r="H42" s="624"/>
      <c r="I42" s="624"/>
      <c r="J42" s="624"/>
      <c r="K42" s="624"/>
      <c r="L42" s="624"/>
      <c r="M42" s="624"/>
      <c r="O42" s="605" t="s">
        <v>200</v>
      </c>
      <c r="P42" s="605"/>
      <c r="Q42" s="605"/>
      <c r="R42" s="369">
        <f>365-90</f>
        <v>275</v>
      </c>
      <c r="T42" s="347"/>
      <c r="X42" s="325" t="s">
        <v>201</v>
      </c>
    </row>
    <row r="43" spans="1:24" ht="17.25" customHeight="1" x14ac:dyDescent="0.25">
      <c r="A43" s="7" t="s">
        <v>109</v>
      </c>
      <c r="B43" s="625" t="s">
        <v>268</v>
      </c>
      <c r="C43" s="625"/>
      <c r="D43" s="625"/>
      <c r="E43" s="625"/>
      <c r="F43" s="625"/>
      <c r="G43" s="625"/>
      <c r="H43" s="625"/>
      <c r="I43" s="625"/>
      <c r="J43" s="625"/>
      <c r="K43" s="625"/>
      <c r="L43" s="625"/>
      <c r="M43" s="625"/>
    </row>
    <row r="44" spans="1:24" ht="17.25" customHeight="1" x14ac:dyDescent="0.25">
      <c r="A44"/>
      <c r="B44" s="625"/>
      <c r="C44" s="625"/>
      <c r="D44" s="625"/>
      <c r="E44" s="625"/>
      <c r="F44" s="625"/>
      <c r="G44" s="625"/>
      <c r="H44" s="625"/>
      <c r="I44" s="625"/>
      <c r="J44" s="625"/>
      <c r="K44" s="625"/>
      <c r="L44" s="625"/>
      <c r="M44" s="625"/>
      <c r="O44" s="6" t="s">
        <v>198</v>
      </c>
    </row>
    <row r="45" spans="1:24" ht="17.25" customHeight="1" x14ac:dyDescent="0.25">
      <c r="O45" s="605" t="s">
        <v>228</v>
      </c>
      <c r="P45" s="605"/>
      <c r="Q45" s="605"/>
      <c r="R45" s="340">
        <v>10</v>
      </c>
    </row>
    <row r="46" spans="1:24" ht="17.25" customHeight="1" x14ac:dyDescent="0.25">
      <c r="A46" s="7" t="s">
        <v>197</v>
      </c>
      <c r="B46" s="559" t="s">
        <v>242</v>
      </c>
      <c r="C46" s="559"/>
      <c r="D46" s="559"/>
      <c r="E46" s="559"/>
      <c r="F46" s="559"/>
      <c r="G46" s="559"/>
      <c r="H46" s="559"/>
      <c r="I46" s="559"/>
      <c r="J46" s="559"/>
      <c r="K46" s="559"/>
      <c r="L46" s="559"/>
      <c r="M46" s="559"/>
      <c r="O46" s="605" t="s">
        <v>200</v>
      </c>
      <c r="P46" s="605"/>
      <c r="Q46" s="605"/>
      <c r="R46" s="341">
        <f>365-90</f>
        <v>275</v>
      </c>
      <c r="X46" s="325" t="s">
        <v>201</v>
      </c>
    </row>
    <row r="47" spans="1:24" ht="17.25" customHeight="1" x14ac:dyDescent="0.25">
      <c r="B47" s="559"/>
      <c r="C47" s="559"/>
      <c r="D47" s="559"/>
      <c r="E47" s="559"/>
      <c r="F47" s="559"/>
      <c r="G47" s="559"/>
      <c r="H47" s="559"/>
      <c r="I47" s="559"/>
      <c r="J47" s="559"/>
      <c r="K47" s="559"/>
      <c r="L47" s="559"/>
      <c r="M47" s="559"/>
      <c r="O47" s="49"/>
      <c r="P47" s="49"/>
      <c r="Q47" s="49"/>
      <c r="R47" s="57"/>
    </row>
    <row r="48" spans="1:24" x14ac:dyDescent="0.25">
      <c r="B48" s="354"/>
      <c r="C48" s="354"/>
      <c r="D48" s="354"/>
      <c r="E48" s="354"/>
      <c r="F48" s="354"/>
      <c r="G48" s="354"/>
      <c r="H48" s="354"/>
      <c r="I48" s="354"/>
      <c r="J48" s="354"/>
      <c r="K48" s="354"/>
      <c r="L48" s="354"/>
      <c r="M48" s="354"/>
      <c r="O48" s="6" t="s">
        <v>255</v>
      </c>
      <c r="S48" s="89"/>
    </row>
    <row r="49" spans="1:30" ht="15" customHeight="1" x14ac:dyDescent="0.25">
      <c r="A49" s="7" t="s">
        <v>202</v>
      </c>
      <c r="B49" s="559" t="s">
        <v>707</v>
      </c>
      <c r="C49" s="559"/>
      <c r="D49" s="559"/>
      <c r="E49" s="559"/>
      <c r="F49" s="559"/>
      <c r="G49" s="559"/>
      <c r="H49" s="559"/>
      <c r="I49" s="559"/>
      <c r="J49" s="559"/>
      <c r="K49" s="559"/>
      <c r="L49" s="559"/>
      <c r="M49" s="559"/>
      <c r="O49" s="605" t="s">
        <v>254</v>
      </c>
      <c r="P49" s="605"/>
      <c r="Q49" s="605"/>
      <c r="R49" s="356">
        <v>1.49</v>
      </c>
      <c r="S49" s="347"/>
      <c r="X49" s="339" t="s">
        <v>199</v>
      </c>
    </row>
    <row r="50" spans="1:30" ht="15" customHeight="1" x14ac:dyDescent="0.25">
      <c r="B50" s="354"/>
      <c r="C50" s="354"/>
      <c r="D50" s="354"/>
      <c r="E50" s="354"/>
      <c r="F50" s="354"/>
      <c r="G50" s="354"/>
      <c r="H50" s="354"/>
      <c r="I50" s="354"/>
      <c r="J50" s="354"/>
      <c r="K50" s="354"/>
      <c r="L50" s="354"/>
      <c r="M50" s="354"/>
      <c r="O50" s="605" t="s">
        <v>188</v>
      </c>
      <c r="P50" s="605"/>
      <c r="Q50" s="605"/>
      <c r="R50" s="341">
        <f>50*5</f>
        <v>250</v>
      </c>
      <c r="S50" s="89"/>
      <c r="X50" s="339" t="s">
        <v>251</v>
      </c>
    </row>
    <row r="51" spans="1:30" ht="17.25" customHeight="1" x14ac:dyDescent="0.25">
      <c r="A51" s="7" t="s">
        <v>206</v>
      </c>
      <c r="B51" s="559" t="s">
        <v>210</v>
      </c>
      <c r="C51" s="559"/>
      <c r="D51" s="559"/>
      <c r="E51" s="559"/>
      <c r="F51" s="559"/>
      <c r="G51" s="559"/>
      <c r="H51" s="559"/>
      <c r="I51" s="559"/>
      <c r="J51" s="559"/>
      <c r="K51" s="559"/>
      <c r="L51" s="559"/>
      <c r="M51" s="559"/>
      <c r="O51" s="605" t="s">
        <v>253</v>
      </c>
      <c r="P51" s="605"/>
      <c r="Q51" s="605"/>
      <c r="R51" s="341">
        <f>365-90</f>
        <v>275</v>
      </c>
      <c r="S51" s="89"/>
      <c r="X51" s="325" t="s">
        <v>201</v>
      </c>
    </row>
    <row r="52" spans="1:30" ht="17.25" customHeight="1" x14ac:dyDescent="0.25">
      <c r="B52" s="559"/>
      <c r="C52" s="559"/>
      <c r="D52" s="559"/>
      <c r="E52" s="559"/>
      <c r="F52" s="559"/>
      <c r="G52" s="559"/>
      <c r="H52" s="559"/>
      <c r="I52" s="559"/>
      <c r="J52" s="559"/>
      <c r="K52" s="559"/>
      <c r="L52" s="559"/>
      <c r="M52" s="559"/>
      <c r="O52" s="49"/>
      <c r="P52" s="49"/>
      <c r="Q52" s="49"/>
      <c r="R52" s="57"/>
      <c r="S52" s="89"/>
    </row>
    <row r="53" spans="1:30" ht="15" customHeight="1" x14ac:dyDescent="0.25">
      <c r="O53" s="6" t="s">
        <v>203</v>
      </c>
      <c r="Y53" s="342"/>
      <c r="Z53" s="342"/>
      <c r="AA53" s="342"/>
      <c r="AB53" s="342"/>
    </row>
    <row r="54" spans="1:30" ht="15" customHeight="1" x14ac:dyDescent="0.25">
      <c r="A54" s="7" t="s">
        <v>208</v>
      </c>
      <c r="B54" s="623" t="s">
        <v>207</v>
      </c>
      <c r="C54" s="623"/>
      <c r="D54" s="623"/>
      <c r="E54" s="623"/>
      <c r="F54" s="623"/>
      <c r="G54" s="623"/>
      <c r="H54" s="623"/>
      <c r="I54" s="623"/>
      <c r="J54" s="623"/>
      <c r="K54" s="623"/>
      <c r="L54" s="623"/>
      <c r="M54" s="623"/>
      <c r="O54" s="611" t="s">
        <v>204</v>
      </c>
      <c r="P54" s="611"/>
      <c r="Q54" s="360">
        <v>0.105</v>
      </c>
      <c r="R54" s="347"/>
      <c r="X54" s="429" t="s">
        <v>205</v>
      </c>
      <c r="Y54" s="429"/>
      <c r="Z54" s="429"/>
      <c r="AA54" s="429"/>
      <c r="AB54" s="429"/>
      <c r="AC54" s="428"/>
      <c r="AD54" s="428"/>
    </row>
    <row r="55" spans="1:30" ht="15" customHeight="1" x14ac:dyDescent="0.25">
      <c r="B55" s="88"/>
      <c r="C55" s="88"/>
      <c r="D55" s="88"/>
      <c r="E55" s="88"/>
      <c r="F55" s="88"/>
      <c r="G55" s="88"/>
      <c r="H55" s="88"/>
      <c r="I55" s="88"/>
      <c r="J55" s="88"/>
      <c r="K55" s="88"/>
      <c r="L55" s="88"/>
      <c r="M55" s="88"/>
      <c r="O55" s="612" t="s">
        <v>225</v>
      </c>
      <c r="P55" s="613"/>
      <c r="Q55" s="341">
        <f>50*5</f>
        <v>250</v>
      </c>
      <c r="X55" s="339" t="s">
        <v>251</v>
      </c>
      <c r="Y55" s="428"/>
      <c r="Z55" s="428"/>
      <c r="AA55" s="428"/>
      <c r="AB55" s="428"/>
      <c r="AC55" s="428"/>
      <c r="AD55" s="428"/>
    </row>
    <row r="56" spans="1:30" ht="16.5" customHeight="1" x14ac:dyDescent="0.25">
      <c r="A56" s="7" t="s">
        <v>209</v>
      </c>
      <c r="B56" s="607" t="s">
        <v>712</v>
      </c>
      <c r="C56" s="607"/>
      <c r="D56" s="607"/>
      <c r="E56" s="607"/>
      <c r="F56" s="607"/>
      <c r="G56" s="607"/>
      <c r="H56" s="607"/>
      <c r="I56" s="607"/>
      <c r="J56" s="607"/>
      <c r="K56" s="607"/>
      <c r="L56" s="607"/>
      <c r="M56" s="607"/>
      <c r="O56" s="608"/>
      <c r="P56" s="608"/>
      <c r="X56" s="428"/>
      <c r="Y56" s="428"/>
      <c r="Z56" s="428"/>
      <c r="AA56" s="428"/>
      <c r="AB56" s="428"/>
      <c r="AC56" s="428"/>
      <c r="AD56" s="428"/>
    </row>
    <row r="57" spans="1:30" ht="17.25" x14ac:dyDescent="0.25">
      <c r="B57" s="607"/>
      <c r="C57" s="607"/>
      <c r="D57" s="607"/>
      <c r="E57" s="607"/>
      <c r="F57" s="607"/>
      <c r="G57" s="607"/>
      <c r="H57" s="607"/>
      <c r="I57" s="607"/>
      <c r="J57" s="607"/>
      <c r="K57" s="607"/>
      <c r="L57" s="607"/>
      <c r="M57" s="607"/>
      <c r="O57" s="21" t="s">
        <v>252</v>
      </c>
    </row>
    <row r="58" spans="1:30" ht="15" customHeight="1" x14ac:dyDescent="0.25">
      <c r="O58" s="603" t="s">
        <v>693</v>
      </c>
      <c r="P58" s="604"/>
      <c r="Q58" s="519">
        <v>1.3180000000000001</v>
      </c>
      <c r="R58" s="89"/>
    </row>
    <row r="59" spans="1:30" ht="18" customHeight="1" x14ac:dyDescent="0.25">
      <c r="A59" s="7" t="s">
        <v>258</v>
      </c>
      <c r="B59" s="559" t="s">
        <v>259</v>
      </c>
      <c r="C59" s="559"/>
      <c r="D59" s="559"/>
      <c r="E59" s="559"/>
      <c r="F59" s="559"/>
      <c r="G59" s="559"/>
      <c r="H59" s="559"/>
      <c r="I59" s="559"/>
      <c r="J59" s="559"/>
      <c r="K59" s="559"/>
      <c r="L59" s="559"/>
      <c r="M59" s="559"/>
      <c r="O59" s="603" t="s">
        <v>694</v>
      </c>
      <c r="P59" s="604"/>
      <c r="Q59" s="370">
        <v>1.08</v>
      </c>
      <c r="R59" s="89"/>
    </row>
    <row r="60" spans="1:30" x14ac:dyDescent="0.25">
      <c r="B60" s="559"/>
      <c r="C60" s="559"/>
      <c r="D60" s="559"/>
      <c r="E60" s="559"/>
      <c r="F60" s="559"/>
      <c r="G60" s="559"/>
      <c r="H60" s="559"/>
      <c r="I60" s="559"/>
      <c r="J60" s="559"/>
      <c r="K60" s="559"/>
      <c r="L60" s="559"/>
      <c r="M60" s="559"/>
      <c r="Q60" s="33"/>
    </row>
    <row r="61" spans="1:30" x14ac:dyDescent="0.25">
      <c r="B61" s="559"/>
      <c r="C61" s="559"/>
      <c r="D61" s="559"/>
      <c r="E61" s="559"/>
      <c r="F61" s="559"/>
      <c r="G61" s="559"/>
      <c r="H61" s="559"/>
      <c r="I61" s="559"/>
      <c r="J61" s="559"/>
      <c r="K61" s="559"/>
      <c r="L61" s="559"/>
      <c r="M61" s="559"/>
    </row>
    <row r="62" spans="1:30" ht="15" customHeight="1" x14ac:dyDescent="0.25">
      <c r="B62" s="20"/>
      <c r="C62" s="20"/>
      <c r="D62" s="20"/>
      <c r="E62" s="20"/>
      <c r="F62" s="20"/>
      <c r="G62" s="20"/>
      <c r="H62" s="20"/>
      <c r="I62" s="20"/>
      <c r="J62" s="20"/>
      <c r="K62" s="20"/>
      <c r="L62" s="20"/>
      <c r="M62" s="20"/>
      <c r="R62" s="89"/>
    </row>
    <row r="63" spans="1:30" x14ac:dyDescent="0.25">
      <c r="B63" s="20"/>
      <c r="C63" s="20"/>
      <c r="D63" s="20"/>
      <c r="E63" s="20"/>
      <c r="F63" s="20"/>
      <c r="G63" s="20"/>
      <c r="H63" s="20"/>
      <c r="I63" s="20"/>
      <c r="J63" s="20"/>
      <c r="K63" s="20"/>
      <c r="L63" s="20"/>
      <c r="M63" s="20"/>
      <c r="R63" s="89"/>
    </row>
    <row r="64" spans="1:30" x14ac:dyDescent="0.25">
      <c r="B64" s="20"/>
      <c r="C64" s="20"/>
      <c r="D64" s="20"/>
      <c r="E64" s="20"/>
      <c r="F64" s="20"/>
      <c r="G64" s="20"/>
      <c r="H64" s="20"/>
      <c r="I64" s="20"/>
      <c r="J64" s="20"/>
      <c r="K64" s="20"/>
      <c r="L64" s="20"/>
      <c r="M64" s="20"/>
      <c r="X64" s="325"/>
    </row>
    <row r="65" spans="2:13" ht="15" customHeight="1" x14ac:dyDescent="0.25">
      <c r="B65" s="608"/>
      <c r="C65" s="608"/>
      <c r="D65" s="608"/>
      <c r="E65" s="608"/>
      <c r="F65" s="608"/>
      <c r="G65" s="608"/>
      <c r="H65" s="608"/>
      <c r="I65" s="608"/>
      <c r="J65" s="608"/>
      <c r="K65" s="608"/>
      <c r="L65" s="608"/>
      <c r="M65" s="608"/>
    </row>
  </sheetData>
  <mergeCells count="62">
    <mergeCell ref="C4:D4"/>
    <mergeCell ref="O41:Q41"/>
    <mergeCell ref="B33:M35"/>
    <mergeCell ref="B37:M39"/>
    <mergeCell ref="G4:K4"/>
    <mergeCell ref="I5:I6"/>
    <mergeCell ref="E4:F4"/>
    <mergeCell ref="L4:M4"/>
    <mergeCell ref="K5:K6"/>
    <mergeCell ref="L5:L6"/>
    <mergeCell ref="M5:M6"/>
    <mergeCell ref="O9:P9"/>
    <mergeCell ref="O10:P10"/>
    <mergeCell ref="O11:P11"/>
    <mergeCell ref="O14:Q14"/>
    <mergeCell ref="O22:P22"/>
    <mergeCell ref="O42:Q42"/>
    <mergeCell ref="B46:M47"/>
    <mergeCell ref="O30:P30"/>
    <mergeCell ref="O33:Q33"/>
    <mergeCell ref="O34:Q34"/>
    <mergeCell ref="O23:P23"/>
    <mergeCell ref="O28:P28"/>
    <mergeCell ref="O29:P29"/>
    <mergeCell ref="O24:P24"/>
    <mergeCell ref="B5:B6"/>
    <mergeCell ref="C5:C6"/>
    <mergeCell ref="E5:E6"/>
    <mergeCell ref="D5:D6"/>
    <mergeCell ref="B65:M65"/>
    <mergeCell ref="B54:M54"/>
    <mergeCell ref="B51:M52"/>
    <mergeCell ref="B59:M61"/>
    <mergeCell ref="B41:M42"/>
    <mergeCell ref="B43:M44"/>
    <mergeCell ref="X18:AC20"/>
    <mergeCell ref="F5:F6"/>
    <mergeCell ref="G5:G6"/>
    <mergeCell ref="H5:H6"/>
    <mergeCell ref="J5:J6"/>
    <mergeCell ref="U20:W20"/>
    <mergeCell ref="O16:Q16"/>
    <mergeCell ref="O17:Q17"/>
    <mergeCell ref="O18:Q18"/>
    <mergeCell ref="O8:P8"/>
    <mergeCell ref="O15:Q15"/>
    <mergeCell ref="O59:P59"/>
    <mergeCell ref="O51:Q51"/>
    <mergeCell ref="T35:W36"/>
    <mergeCell ref="B49:M49"/>
    <mergeCell ref="B56:M57"/>
    <mergeCell ref="O56:P56"/>
    <mergeCell ref="O35:Q35"/>
    <mergeCell ref="O36:Q36"/>
    <mergeCell ref="O37:Q37"/>
    <mergeCell ref="O49:Q49"/>
    <mergeCell ref="O50:Q50"/>
    <mergeCell ref="O54:P54"/>
    <mergeCell ref="O45:Q45"/>
    <mergeCell ref="O46:Q46"/>
    <mergeCell ref="O55:P55"/>
    <mergeCell ref="O58:P58"/>
  </mergeCells>
  <pageMargins left="0.7" right="0.7" top="0.75" bottom="0.75" header="0.3" footer="0.3"/>
  <pageSetup scale="20" orientation="portrait" horizontalDpi="3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71D19-824F-47F6-8625-A29FA964CFBB}">
  <sheetPr>
    <tabColor rgb="FFC00000"/>
  </sheetPr>
  <dimension ref="A1:N36"/>
  <sheetViews>
    <sheetView view="pageBreakPreview" zoomScale="91" zoomScaleNormal="100" zoomScaleSheetLayoutView="91" workbookViewId="0">
      <selection activeCell="B36" sqref="B36"/>
    </sheetView>
  </sheetViews>
  <sheetFormatPr defaultColWidth="8.85546875" defaultRowHeight="15" x14ac:dyDescent="0.25"/>
  <cols>
    <col min="2" max="2" width="16.85546875" customWidth="1"/>
    <col min="3" max="5" width="19" customWidth="1"/>
    <col min="6" max="6" width="16.28515625" customWidth="1"/>
    <col min="8" max="8" width="36.42578125" customWidth="1"/>
  </cols>
  <sheetData>
    <row r="1" spans="2:10" x14ac:dyDescent="0.25">
      <c r="B1" s="6" t="s">
        <v>59</v>
      </c>
    </row>
    <row r="2" spans="2:10" ht="15.75" thickBot="1" x14ac:dyDescent="0.3">
      <c r="B2" s="163"/>
      <c r="C2" s="163"/>
      <c r="D2" s="163"/>
      <c r="E2" s="163"/>
      <c r="F2" s="163"/>
    </row>
    <row r="3" spans="2:10" ht="27" customHeight="1" x14ac:dyDescent="0.25">
      <c r="B3" s="550" t="s">
        <v>0</v>
      </c>
      <c r="C3" s="550" t="s">
        <v>647</v>
      </c>
      <c r="D3" s="550" t="s">
        <v>648</v>
      </c>
      <c r="E3" s="550" t="s">
        <v>132</v>
      </c>
      <c r="F3" s="550" t="s">
        <v>1</v>
      </c>
    </row>
    <row r="4" spans="2:10" ht="25.5" customHeight="1" thickBot="1" x14ac:dyDescent="0.3">
      <c r="B4" s="551"/>
      <c r="C4" s="551"/>
      <c r="D4" s="551"/>
      <c r="E4" s="551"/>
      <c r="F4" s="551"/>
    </row>
    <row r="5" spans="2:10" x14ac:dyDescent="0.25">
      <c r="B5" s="1">
        <f>'Capital Costs'!K5</f>
        <v>2023</v>
      </c>
      <c r="C5" s="450"/>
      <c r="D5" s="450"/>
      <c r="E5" s="450">
        <f>SUM(C5:D5)</f>
        <v>0</v>
      </c>
      <c r="F5" s="450">
        <f>E5*(1+0.07)^-(B5-Assumptions!$C$6)</f>
        <v>0</v>
      </c>
    </row>
    <row r="6" spans="2:10" ht="15.75" thickBot="1" x14ac:dyDescent="0.3">
      <c r="B6" s="2">
        <f>+B5+1</f>
        <v>2024</v>
      </c>
      <c r="C6" s="451"/>
      <c r="D6" s="451"/>
      <c r="E6" s="451">
        <f t="shared" ref="E6:E28" si="0">SUM(C6:D6)</f>
        <v>0</v>
      </c>
      <c r="F6" s="451">
        <f>E6*(1+0.07)^-(B6-Assumptions!$C$6)</f>
        <v>0</v>
      </c>
      <c r="H6" s="6" t="s">
        <v>127</v>
      </c>
      <c r="I6" s="393"/>
    </row>
    <row r="7" spans="2:10" x14ac:dyDescent="0.25">
      <c r="B7" s="2">
        <f t="shared" ref="B7:B21" si="1">+B6+1</f>
        <v>2025</v>
      </c>
      <c r="C7" s="451"/>
      <c r="D7" s="451"/>
      <c r="E7" s="451">
        <f t="shared" si="0"/>
        <v>0</v>
      </c>
      <c r="F7" s="451">
        <f>E7*(1+0.07)^-(B7-Assumptions!$C$6)</f>
        <v>0</v>
      </c>
      <c r="H7" s="27" t="s">
        <v>123</v>
      </c>
      <c r="I7" s="394">
        <f>8.1*2</f>
        <v>16.2</v>
      </c>
    </row>
    <row r="8" spans="2:10" ht="15.75" thickBot="1" x14ac:dyDescent="0.3">
      <c r="B8" s="3">
        <f t="shared" si="1"/>
        <v>2026</v>
      </c>
      <c r="C8" s="452"/>
      <c r="D8" s="452">
        <v>12000000</v>
      </c>
      <c r="E8" s="452">
        <f t="shared" si="0"/>
        <v>12000000</v>
      </c>
      <c r="F8" s="452">
        <f>E8*(1+0.07)^-(B8-Assumptions!$C$6)</f>
        <v>8555834.153804021</v>
      </c>
      <c r="H8" s="169" t="s">
        <v>261</v>
      </c>
      <c r="I8" s="448">
        <f>8.1*4+7.48</f>
        <v>39.879999999999995</v>
      </c>
      <c r="J8" s="209"/>
    </row>
    <row r="9" spans="2:10" x14ac:dyDescent="0.25">
      <c r="B9" s="473">
        <f t="shared" si="1"/>
        <v>2027</v>
      </c>
      <c r="C9" s="474">
        <f t="shared" ref="C9:C28" si="2">8100*($I$7-$I$8)</f>
        <v>-191807.99999999997</v>
      </c>
      <c r="D9" s="474"/>
      <c r="E9" s="474">
        <f t="shared" si="0"/>
        <v>-191807.99999999997</v>
      </c>
      <c r="F9" s="474">
        <f>E9*(1+0.07)^-(B9-Assumptions!$C$6)</f>
        <v>-127809.76926579761</v>
      </c>
    </row>
    <row r="10" spans="2:10" x14ac:dyDescent="0.25">
      <c r="B10" s="2">
        <f t="shared" si="1"/>
        <v>2028</v>
      </c>
      <c r="C10" s="451">
        <f t="shared" si="2"/>
        <v>-191807.99999999997</v>
      </c>
      <c r="D10" s="451"/>
      <c r="E10" s="451">
        <f t="shared" si="0"/>
        <v>-191807.99999999997</v>
      </c>
      <c r="F10" s="451">
        <f>E10*(1+0.07)^-(B10-Assumptions!$C$6)</f>
        <v>-119448.38249139964</v>
      </c>
    </row>
    <row r="11" spans="2:10" x14ac:dyDescent="0.25">
      <c r="B11" s="2">
        <f t="shared" si="1"/>
        <v>2029</v>
      </c>
      <c r="C11" s="451">
        <f t="shared" si="2"/>
        <v>-191807.99999999997</v>
      </c>
      <c r="D11" s="451"/>
      <c r="E11" s="451">
        <f t="shared" si="0"/>
        <v>-191807.99999999997</v>
      </c>
      <c r="F11" s="451">
        <f>E11*(1+0.07)^-(B11-Assumptions!$C$6)</f>
        <v>-111634.00232841088</v>
      </c>
    </row>
    <row r="12" spans="2:10" x14ac:dyDescent="0.25">
      <c r="B12" s="2">
        <f t="shared" si="1"/>
        <v>2030</v>
      </c>
      <c r="C12" s="451">
        <f t="shared" si="2"/>
        <v>-191807.99999999997</v>
      </c>
      <c r="D12" s="451"/>
      <c r="E12" s="451">
        <f t="shared" si="0"/>
        <v>-191807.99999999997</v>
      </c>
      <c r="F12" s="451">
        <f>E12*(1+0.07)^-(B12-Assumptions!$C$6)</f>
        <v>-104330.84329758026</v>
      </c>
    </row>
    <row r="13" spans="2:10" x14ac:dyDescent="0.25">
      <c r="B13" s="2">
        <f t="shared" si="1"/>
        <v>2031</v>
      </c>
      <c r="C13" s="451">
        <f t="shared" si="2"/>
        <v>-191807.99999999997</v>
      </c>
      <c r="D13" s="451"/>
      <c r="E13" s="451">
        <f t="shared" si="0"/>
        <v>-191807.99999999997</v>
      </c>
      <c r="F13" s="451">
        <f>E13*(1+0.07)^-(B13-Assumptions!$C$6)</f>
        <v>-97505.461025775934</v>
      </c>
    </row>
    <row r="14" spans="2:10" x14ac:dyDescent="0.25">
      <c r="B14" s="2">
        <f t="shared" si="1"/>
        <v>2032</v>
      </c>
      <c r="C14" s="451">
        <f t="shared" si="2"/>
        <v>-191807.99999999997</v>
      </c>
      <c r="D14" s="451"/>
      <c r="E14" s="451">
        <f t="shared" si="0"/>
        <v>-191807.99999999997</v>
      </c>
      <c r="F14" s="451">
        <f>E14*(1+0.07)^-(B14-Assumptions!$C$6)</f>
        <v>-91126.599089510215</v>
      </c>
    </row>
    <row r="15" spans="2:10" x14ac:dyDescent="0.25">
      <c r="B15" s="2">
        <f t="shared" si="1"/>
        <v>2033</v>
      </c>
      <c r="C15" s="451">
        <f t="shared" si="2"/>
        <v>-191807.99999999997</v>
      </c>
      <c r="D15" s="451"/>
      <c r="E15" s="451">
        <f t="shared" si="0"/>
        <v>-191807.99999999997</v>
      </c>
      <c r="F15" s="451">
        <f>E15*(1+0.07)^-(B15-Assumptions!$C$6)</f>
        <v>-85165.045878046934</v>
      </c>
    </row>
    <row r="16" spans="2:10" x14ac:dyDescent="0.25">
      <c r="B16" s="2">
        <f t="shared" si="1"/>
        <v>2034</v>
      </c>
      <c r="C16" s="451">
        <f t="shared" si="2"/>
        <v>-191807.99999999997</v>
      </c>
      <c r="D16" s="451"/>
      <c r="E16" s="451">
        <f t="shared" si="0"/>
        <v>-191807.99999999997</v>
      </c>
      <c r="F16" s="451">
        <f>E16*(1+0.07)^-(B16-Assumptions!$C$6)</f>
        <v>-79593.500820604604</v>
      </c>
    </row>
    <row r="17" spans="1:14" x14ac:dyDescent="0.25">
      <c r="B17" s="2">
        <f t="shared" si="1"/>
        <v>2035</v>
      </c>
      <c r="C17" s="451">
        <f t="shared" si="2"/>
        <v>-191807.99999999997</v>
      </c>
      <c r="D17" s="451"/>
      <c r="E17" s="451">
        <f t="shared" si="0"/>
        <v>-191807.99999999997</v>
      </c>
      <c r="F17" s="451">
        <f>E17*(1+0.07)^-(B17-Assumptions!$C$6)</f>
        <v>-74386.449365051041</v>
      </c>
    </row>
    <row r="18" spans="1:14" x14ac:dyDescent="0.25">
      <c r="B18" s="2">
        <f t="shared" si="1"/>
        <v>2036</v>
      </c>
      <c r="C18" s="451">
        <f t="shared" si="2"/>
        <v>-191807.99999999997</v>
      </c>
      <c r="D18" s="451"/>
      <c r="E18" s="451">
        <f t="shared" si="0"/>
        <v>-191807.99999999997</v>
      </c>
      <c r="F18" s="451">
        <f>E18*(1+0.07)^-(B18-Assumptions!$C$6)</f>
        <v>-69520.046135561715</v>
      </c>
    </row>
    <row r="19" spans="1:14" x14ac:dyDescent="0.25">
      <c r="B19" s="2">
        <f t="shared" si="1"/>
        <v>2037</v>
      </c>
      <c r="C19" s="451">
        <f t="shared" si="2"/>
        <v>-191807.99999999997</v>
      </c>
      <c r="D19" s="451"/>
      <c r="E19" s="451">
        <f t="shared" si="0"/>
        <v>-191807.99999999997</v>
      </c>
      <c r="F19" s="451">
        <f>E19*(1+0.07)^-(B19-Assumptions!$C$6)</f>
        <v>-64972.005734169834</v>
      </c>
    </row>
    <row r="20" spans="1:14" x14ac:dyDescent="0.25">
      <c r="B20" s="2">
        <f t="shared" si="1"/>
        <v>2038</v>
      </c>
      <c r="C20" s="451">
        <f t="shared" si="2"/>
        <v>-191807.99999999997</v>
      </c>
      <c r="D20" s="451"/>
      <c r="E20" s="451">
        <f t="shared" si="0"/>
        <v>-191807.99999999997</v>
      </c>
      <c r="F20" s="451">
        <f>E20*(1+0.07)^-(B20-Assumptions!$C$6)</f>
        <v>-60721.500686140032</v>
      </c>
    </row>
    <row r="21" spans="1:14" x14ac:dyDescent="0.25">
      <c r="B21" s="2">
        <f t="shared" si="1"/>
        <v>2039</v>
      </c>
      <c r="C21" s="451">
        <f t="shared" si="2"/>
        <v>-191807.99999999997</v>
      </c>
      <c r="D21" s="451"/>
      <c r="E21" s="451">
        <f t="shared" si="0"/>
        <v>-191807.99999999997</v>
      </c>
      <c r="F21" s="451">
        <f>E21*(1+0.07)^-(B21-Assumptions!$C$6)</f>
        <v>-56749.066061813108</v>
      </c>
      <c r="N21" t="s">
        <v>218</v>
      </c>
    </row>
    <row r="22" spans="1:14" x14ac:dyDescent="0.25">
      <c r="B22" s="2">
        <f t="shared" ref="B22:B28" si="3">+B21+1</f>
        <v>2040</v>
      </c>
      <c r="C22" s="451">
        <f t="shared" si="2"/>
        <v>-191807.99999999997</v>
      </c>
      <c r="D22" s="451"/>
      <c r="E22" s="451">
        <f t="shared" si="0"/>
        <v>-191807.99999999997</v>
      </c>
      <c r="F22" s="451">
        <f>E22*(1+0.07)^-(B22-Assumptions!$C$6)</f>
        <v>-53036.510338143096</v>
      </c>
    </row>
    <row r="23" spans="1:14" x14ac:dyDescent="0.25">
      <c r="B23" s="2">
        <f t="shared" si="3"/>
        <v>2041</v>
      </c>
      <c r="C23" s="451">
        <f t="shared" si="2"/>
        <v>-191807.99999999997</v>
      </c>
      <c r="D23" s="451"/>
      <c r="E23" s="451">
        <f t="shared" si="0"/>
        <v>-191807.99999999997</v>
      </c>
      <c r="F23" s="451">
        <f>E23*(1+0.07)^-(B23-Assumptions!$C$6)</f>
        <v>-49566.832091722521</v>
      </c>
    </row>
    <row r="24" spans="1:14" x14ac:dyDescent="0.25">
      <c r="B24" s="2">
        <f t="shared" si="3"/>
        <v>2042</v>
      </c>
      <c r="C24" s="451">
        <f t="shared" si="2"/>
        <v>-191807.99999999997</v>
      </c>
      <c r="D24" s="451"/>
      <c r="E24" s="451">
        <f t="shared" si="0"/>
        <v>-191807.99999999997</v>
      </c>
      <c r="F24" s="451">
        <f>E24*(1+0.07)^-(B24-Assumptions!$C$6)</f>
        <v>-46324.14214179675</v>
      </c>
    </row>
    <row r="25" spans="1:14" x14ac:dyDescent="0.25">
      <c r="B25" s="2">
        <f t="shared" si="3"/>
        <v>2043</v>
      </c>
      <c r="C25" s="451">
        <f t="shared" si="2"/>
        <v>-191807.99999999997</v>
      </c>
      <c r="D25" s="451"/>
      <c r="E25" s="451">
        <f t="shared" si="0"/>
        <v>-191807.99999999997</v>
      </c>
      <c r="F25" s="451">
        <f>E25*(1+0.07)^-(B25-Assumptions!$C$6)</f>
        <v>-43293.59078672593</v>
      </c>
      <c r="H25" s="88"/>
    </row>
    <row r="26" spans="1:14" x14ac:dyDescent="0.25">
      <c r="B26" s="2">
        <f t="shared" si="3"/>
        <v>2044</v>
      </c>
      <c r="C26" s="451">
        <f t="shared" si="2"/>
        <v>-191807.99999999997</v>
      </c>
      <c r="D26" s="451"/>
      <c r="E26" s="451">
        <f t="shared" si="0"/>
        <v>-191807.99999999997</v>
      </c>
      <c r="F26" s="451">
        <f>E26*(1+0.07)^-(B26-Assumptions!$C$6)</f>
        <v>-40461.29980067844</v>
      </c>
      <c r="H26" s="88"/>
    </row>
    <row r="27" spans="1:14" x14ac:dyDescent="0.25">
      <c r="B27" s="2">
        <f t="shared" si="3"/>
        <v>2045</v>
      </c>
      <c r="C27" s="451">
        <f t="shared" si="2"/>
        <v>-191807.99999999997</v>
      </c>
      <c r="D27" s="451"/>
      <c r="E27" s="451">
        <f t="shared" si="0"/>
        <v>-191807.99999999997</v>
      </c>
      <c r="F27" s="451">
        <f>E27*(1+0.07)^-(B27-Assumptions!$C$6)</f>
        <v>-37814.298879138725</v>
      </c>
      <c r="H27" s="88"/>
    </row>
    <row r="28" spans="1:14" ht="15" customHeight="1" thickBot="1" x14ac:dyDescent="0.3">
      <c r="B28" s="3">
        <f t="shared" si="3"/>
        <v>2046</v>
      </c>
      <c r="C28" s="452">
        <f t="shared" si="2"/>
        <v>-191807.99999999997</v>
      </c>
      <c r="D28" s="452"/>
      <c r="E28" s="452">
        <f t="shared" si="0"/>
        <v>-191807.99999999997</v>
      </c>
      <c r="F28" s="452">
        <f>E28*(1+0.07)^-(B28-Assumptions!$C$6)</f>
        <v>-35340.466242185721</v>
      </c>
      <c r="H28" s="88"/>
    </row>
    <row r="29" spans="1:14" ht="15.75" thickBot="1" x14ac:dyDescent="0.3">
      <c r="C29" s="6" t="s">
        <v>4</v>
      </c>
      <c r="D29" s="6"/>
      <c r="E29" s="91">
        <f>SUM(E5:E28)</f>
        <v>8163840</v>
      </c>
      <c r="F29" s="91">
        <f>SUM(F5:F28)</f>
        <v>7107034.3413437679</v>
      </c>
      <c r="H29" s="88"/>
    </row>
    <row r="31" spans="1:14" x14ac:dyDescent="0.25">
      <c r="B31" s="6" t="s">
        <v>3</v>
      </c>
    </row>
    <row r="32" spans="1:14" x14ac:dyDescent="0.25">
      <c r="A32" t="s">
        <v>17</v>
      </c>
      <c r="B32" s="641" t="s">
        <v>714</v>
      </c>
      <c r="C32" s="641"/>
      <c r="D32" s="641"/>
      <c r="E32" s="641"/>
      <c r="F32" s="641"/>
      <c r="G32" s="641"/>
    </row>
    <row r="33" spans="2:7" x14ac:dyDescent="0.25">
      <c r="B33" s="641"/>
      <c r="C33" s="641"/>
      <c r="D33" s="641"/>
      <c r="E33" s="641"/>
      <c r="F33" s="641"/>
      <c r="G33" s="641"/>
    </row>
    <row r="34" spans="2:7" x14ac:dyDescent="0.25">
      <c r="B34" s="641"/>
      <c r="C34" s="641"/>
      <c r="D34" s="641"/>
      <c r="E34" s="641"/>
      <c r="F34" s="641"/>
      <c r="G34" s="641"/>
    </row>
    <row r="35" spans="2:7" x14ac:dyDescent="0.25">
      <c r="B35" s="641"/>
      <c r="C35" s="641"/>
      <c r="D35" s="641"/>
      <c r="E35" s="641"/>
      <c r="F35" s="641"/>
      <c r="G35" s="641"/>
    </row>
    <row r="36" spans="2:7" x14ac:dyDescent="0.25">
      <c r="B36" s="88"/>
      <c r="C36" s="88"/>
      <c r="D36" s="88"/>
      <c r="E36" s="88"/>
      <c r="F36" s="88"/>
      <c r="G36" s="88"/>
    </row>
  </sheetData>
  <mergeCells count="6">
    <mergeCell ref="B3:B4"/>
    <mergeCell ref="C3:C4"/>
    <mergeCell ref="F3:F4"/>
    <mergeCell ref="B32:G35"/>
    <mergeCell ref="D3:D4"/>
    <mergeCell ref="E3:E4"/>
  </mergeCells>
  <pageMargins left="0.7" right="0.7" top="0.75" bottom="0.75" header="0.3" footer="0.3"/>
  <pageSetup scale="72"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Assumptions</vt:lpstr>
      <vt:lpstr>BCA Summary</vt:lpstr>
      <vt:lpstr>Annualized Operations</vt:lpstr>
      <vt:lpstr>Travel Time Cost Savings</vt:lpstr>
      <vt:lpstr>Operating Cost Savings</vt:lpstr>
      <vt:lpstr>Safety Benefits</vt:lpstr>
      <vt:lpstr>Air Quality</vt:lpstr>
      <vt:lpstr>Quality of Life Benefits </vt:lpstr>
      <vt:lpstr>Operation and Maintenance</vt:lpstr>
      <vt:lpstr>Capital Costs</vt:lpstr>
      <vt:lpstr>Crash Data</vt:lpstr>
      <vt:lpstr>'Air Quality'!Print_Area</vt:lpstr>
      <vt:lpstr>'Annualized Operations'!Print_Area</vt:lpstr>
      <vt:lpstr>Assumptions!Print_Area</vt:lpstr>
      <vt:lpstr>'BCA Summary'!Print_Area</vt:lpstr>
      <vt:lpstr>'Capital Costs'!Print_Area</vt:lpstr>
      <vt:lpstr>'Operating Cost Savings'!Print_Area</vt:lpstr>
      <vt:lpstr>'Quality of Life Benefits '!Print_Area</vt:lpstr>
      <vt:lpstr>'Travel Time Cost Savings'!Print_Area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Nick Semeja</cp:lastModifiedBy>
  <cp:lastPrinted>2019-03-04T18:55:28Z</cp:lastPrinted>
  <dcterms:created xsi:type="dcterms:W3CDTF">2013-05-17T20:57:43Z</dcterms:created>
  <dcterms:modified xsi:type="dcterms:W3CDTF">2023-02-26T22:16:37Z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m_Crash_Cost" linkTarget="Prop_Dam_Crash_Cost">
    <vt:r8>0</vt:r8>
  </property>
</Properties>
</file>