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ivotTables/pivotTable1.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drawings/drawing9.xml" ContentType="application/vnd.openxmlformats-officedocument.drawing+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K:\Trans\Grant Applications\2023 Grants\PROTECT\MnDOT - TH 11 Rainey River Slide\BCA\"/>
    </mc:Choice>
  </mc:AlternateContent>
  <xr:revisionPtr revIDLastSave="0" documentId="13_ncr:1_{F15C9966-DDFB-462E-8CE7-B22121934817}" xr6:coauthVersionLast="47" xr6:coauthVersionMax="47" xr10:uidLastSave="{00000000-0000-0000-0000-000000000000}"/>
  <bookViews>
    <workbookView xWindow="-120" yWindow="-120" windowWidth="24240" windowHeight="13140" tabRatio="942" activeTab="12" xr2:uid="{00000000-000D-0000-FFFF-FFFF00000000}"/>
  </bookViews>
  <sheets>
    <sheet name="Assumptions" sheetId="28" r:id="rId1"/>
    <sheet name="BCA Summary " sheetId="46" r:id="rId2"/>
    <sheet name="Travel Time Savings" sheetId="76" r:id="rId3"/>
    <sheet name="VOC Savings" sheetId="78" r:id="rId4"/>
    <sheet name="Safety Improvements" sheetId="30" r:id="rId5"/>
    <sheet name="Air Quality" sheetId="79" r:id="rId6"/>
    <sheet name="Network Crash Savings" sheetId="80" r:id="rId7"/>
    <sheet name="O&amp;M + Rehab" sheetId="75" r:id="rId8"/>
    <sheet name="Capital Cost + RCV" sheetId="42" r:id="rId9"/>
    <sheet name="Construction Travel Time Impact" sheetId="90" r:id="rId10"/>
    <sheet name="TH 11 - Year of Closure" sheetId="99" r:id="rId11"/>
    <sheet name="Project Cost Estimate" sheetId="108" r:id="rId12"/>
    <sheet name="VMT Calcs" sheetId="100" r:id="rId13"/>
    <sheet name="Traffic Volume Data" sheetId="95" r:id="rId14"/>
    <sheet name="Traffic Forecast Data" sheetId="91" r:id="rId15"/>
    <sheet name="Crash Data - Project Segment" sheetId="92" r:id="rId16"/>
    <sheet name="Crash Data - Build Cars" sheetId="93" r:id="rId17"/>
    <sheet name="Crash Data - No Build Cars" sheetId="105" r:id="rId18"/>
    <sheet name="Crash Data - Build Trucks" sheetId="104" r:id="rId19"/>
    <sheet name="Crash Data - No Build Trucks" sheetId="97"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5">#REF!</definedName>
    <definedName name="\A" localSheetId="7">#REF!</definedName>
    <definedName name="\A">#REF!</definedName>
    <definedName name="\B" localSheetId="5">#REF!</definedName>
    <definedName name="\B" localSheetId="7">#REF!</definedName>
    <definedName name="\B">#REF!</definedName>
    <definedName name="\p" localSheetId="5">#REF!</definedName>
    <definedName name="\p" localSheetId="7">#REF!</definedName>
    <definedName name="\p">#REF!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123Graph_A" localSheetId="11" hidden="1">#REF!</definedName>
    <definedName name="__123Graph_A" hidden="1">#REF!</definedName>
    <definedName name="__123Graph_X" hidden="1">#REF!</definedName>
    <definedName name="__ALL2">'[1]A-11a Balance Sheet Recons'!$B$11:$J$42</definedName>
    <definedName name="__RG1">#REF!</definedName>
    <definedName name="__RG2">#REF!</definedName>
    <definedName name="__RG3">#REF!</definedName>
    <definedName name="__RG4">#REF!</definedName>
    <definedName name="_12_MONTHS">#REF!</definedName>
    <definedName name="_12_PAGE_25MO">#REF!</definedName>
    <definedName name="_ALL2">'[1]A-11a Balance Sheet Recons'!$B$11:$J$42</definedName>
    <definedName name="_COW1">#REF!</definedName>
    <definedName name="_COW2">#REF!</definedName>
    <definedName name="_Fill" hidden="1">#REF!</definedName>
    <definedName name="_xlnm._FilterDatabase" localSheetId="16" hidden="1">'Crash Data - Build Cars'!$O$1:$O$32</definedName>
    <definedName name="_xlnm._FilterDatabase" localSheetId="18" hidden="1">'Crash Data - Build Trucks'!$O$1:$O$39</definedName>
    <definedName name="_xlnm._FilterDatabase" localSheetId="19" hidden="1">'Crash Data - No Build Trucks'!$O$1:$O$76</definedName>
    <definedName name="_Key1" localSheetId="5" hidden="1">'[2]Journal Entry'!#REF!</definedName>
    <definedName name="_Key1" localSheetId="7" hidden="1">'[2]Journal Entry'!#REF!</definedName>
    <definedName name="_Key1" hidden="1">'[2]Journal Entry'!#REF!</definedName>
    <definedName name="_Key2" localSheetId="5" hidden="1">'[2]Journal Entry'!#REF!</definedName>
    <definedName name="_Key2" localSheetId="7" hidden="1">'[2]Journal Entry'!#REF!</definedName>
    <definedName name="_Key2" hidden="1">'[2]Journal Entry'!#REF!</definedName>
    <definedName name="_Order1" hidden="1">255</definedName>
    <definedName name="_Order2" hidden="1">255</definedName>
    <definedName name="_ppp1" localSheetId="5">#REF!</definedName>
    <definedName name="_ppp1" localSheetId="7">#REF!</definedName>
    <definedName name="_ppp1">#REF!</definedName>
    <definedName name="_ppp2" localSheetId="5">#REF!</definedName>
    <definedName name="_ppp2" localSheetId="7">#REF!</definedName>
    <definedName name="_ppp2">#REF!</definedName>
    <definedName name="_ppp3" localSheetId="5">#REF!</definedName>
    <definedName name="_ppp3" localSheetId="7">#REF!</definedName>
    <definedName name="_ppp3">#REF!</definedName>
    <definedName name="_RG1">#REF!</definedName>
    <definedName name="_RG2">#REF!</definedName>
    <definedName name="_RG3">#REF!</definedName>
    <definedName name="_RG4">#REF!</definedName>
    <definedName name="_ST1">#REF!</definedName>
    <definedName name="_ST2">#REF!</definedName>
    <definedName name="_SUB1">#REF!</definedName>
    <definedName name="_SUB2">#REF!</definedName>
    <definedName name="_SUB3">#REF!</definedName>
    <definedName name="_SUB4">#REF!</definedName>
    <definedName name="_SUB5">#REF!</definedName>
    <definedName name="_SUB6">#REF!</definedName>
    <definedName name="_SUB8">#REF!</definedName>
    <definedName name="_SW1">#REF!</definedName>
    <definedName name="_SW2">#REF!</definedName>
    <definedName name="AADTGrowth">[3]Assumptions!$C$3</definedName>
    <definedName name="ABBREV_DATE" localSheetId="5">#REF!</definedName>
    <definedName name="ABBREV_DATE" localSheetId="7">#REF!</definedName>
    <definedName name="ABBREV_DATE">#REF!</definedName>
    <definedName name="Adds" localSheetId="5">#REF!</definedName>
    <definedName name="Adds" localSheetId="7">#REF!</definedName>
    <definedName name="Adds">#REF!</definedName>
    <definedName name="AnalysisPeriod">Assumptions!#REF!</definedName>
    <definedName name="ASSIGN" localSheetId="5">#REF!</definedName>
    <definedName name="ASSIGN" localSheetId="7">#REF!</definedName>
    <definedName name="ASSIGN">#REF!</definedName>
    <definedName name="AutoCost">Assumptions!#REF!</definedName>
    <definedName name="B_4" localSheetId="5">#REF!</definedName>
    <definedName name="B_4" localSheetId="7">#REF!</definedName>
    <definedName name="B_4">#REF!</definedName>
    <definedName name="B_5" localSheetId="5">#REF!</definedName>
    <definedName name="B_5" localSheetId="7">#REF!</definedName>
    <definedName name="B_5">#REF!</definedName>
    <definedName name="BCAnalysisPeriod" localSheetId="5">[4]Assumptions!#REF!</definedName>
    <definedName name="BCAnalysisPeriod" localSheetId="8">[5]Assumptions!#REF!</definedName>
    <definedName name="BCAnalysisPeriod" localSheetId="7">[5]Assumptions!#REF!</definedName>
    <definedName name="BCAnalysisPeriod">Assumptions!#REF!</definedName>
    <definedName name="BEGINNING" localSheetId="5">#REF!</definedName>
    <definedName name="BEGINNING" localSheetId="7">#REF!</definedName>
    <definedName name="BEGINNING">#REF!</definedName>
    <definedName name="BEx3O85IKWARA6NCJOLRBRJFMEWW" localSheetId="5" hidden="1">'[6]Q2 09 Rail BS Leads'!#REF!</definedName>
    <definedName name="BEx3O85IKWARA6NCJOLRBRJFMEWW" localSheetId="7" hidden="1">'[6]Q2 09 Rail BS Leads'!#REF!</definedName>
    <definedName name="BEx3O85IKWARA6NCJOLRBRJFMEWW" hidden="1">'[6]Q2 09 Rail BS Leads'!#REF!</definedName>
    <definedName name="BEx5MLQZM68YQSKARVWTTPINFQ2C" localSheetId="5" hidden="1">'[6]Q2 09 Rail BS Leads'!#REF!</definedName>
    <definedName name="BEx5MLQZM68YQSKARVWTTPINFQ2C" localSheetId="7" hidden="1">'[6]Q2 09 Rail BS Leads'!#REF!</definedName>
    <definedName name="BEx5MLQZM68YQSKARVWTTPINFQ2C" hidden="1">'[6]Q2 09 Rail BS Leads'!#REF!</definedName>
    <definedName name="BExERWCEBKQRYWRQLYJ4UCMMKTHG" localSheetId="7" hidden="1">'[6]Q2 09 Rail BS Leads'!#REF!</definedName>
    <definedName name="BExERWCEBKQRYWRQLYJ4UCMMKTHG" hidden="1">'[6]Q2 09 Rail BS Leads'!#REF!</definedName>
    <definedName name="BExMBYPQDG9AYDQ5E8IECVFREPO6" localSheetId="7" hidden="1">'[6]Q2 09 Rail BS Leads'!#REF!</definedName>
    <definedName name="BExMBYPQDG9AYDQ5E8IECVFREPO6" hidden="1">'[6]Q2 09 Rail BS Leads'!#REF!</definedName>
    <definedName name="BExQ9ZLYHWABXAA9NJDW8ZS0UQ9P" hidden="1">'[6]Q2 09 Rail BS Leads'!#REF!</definedName>
    <definedName name="BExTUY9WNSJ91GV8CP0SKJTEIV82" hidden="1">'[6]Q2 09 Rail BS Leads'!#REF!</definedName>
    <definedName name="BS_98" localSheetId="5">#REF!</definedName>
    <definedName name="BS_98" localSheetId="7">#REF!</definedName>
    <definedName name="BS_98">#REF!</definedName>
    <definedName name="BS_99" localSheetId="5">#REF!</definedName>
    <definedName name="BS_99" localSheetId="7">#REF!</definedName>
    <definedName name="BS_99">#REF!</definedName>
    <definedName name="BS_SUM_25MO" localSheetId="5">#REF!</definedName>
    <definedName name="BS_SUM_25MO" localSheetId="7">#REF!</definedName>
    <definedName name="BS_SUM_25MO">#REF!</definedName>
    <definedName name="BS_SUM_98">#REF!</definedName>
    <definedName name="BS_SUM_99">#REF!</definedName>
    <definedName name="CBS">#REF!</definedName>
    <definedName name="COLE">#REF!</definedName>
    <definedName name="CompositeCost">Assumptions!$K$56</definedName>
    <definedName name="_xlnm.Criteria" localSheetId="5">#REF!</definedName>
    <definedName name="_xlnm.Criteria" localSheetId="7">#REF!</definedName>
    <definedName name="_xlnm.Criteria">#REF!</definedName>
    <definedName name="CURRENT_DATE" localSheetId="5">#REF!</definedName>
    <definedName name="CURRENT_DATE" localSheetId="7">#REF!</definedName>
    <definedName name="CURRENT_DATE">#REF!</definedName>
    <definedName name="DATA" localSheetId="5">#REF!</definedName>
    <definedName name="DATA" localSheetId="7">#REF!</definedName>
    <definedName name="DATA">#REF!</definedName>
    <definedName name="_xlnm.Database">#REF!</definedName>
    <definedName name="Daysinyr">Assumptions!#REF!</definedName>
    <definedName name="DecComICC" localSheetId="5">#REF!</definedName>
    <definedName name="DecComICC" localSheetId="7">#REF!</definedName>
    <definedName name="DecComICC">#REF!</definedName>
    <definedName name="DecComInstall" localSheetId="5">#REF!</definedName>
    <definedName name="DecComInstall" localSheetId="7">#REF!</definedName>
    <definedName name="DecComInstall">#REF!</definedName>
    <definedName name="Detail" localSheetId="5">#REF!</definedName>
    <definedName name="Detail" localSheetId="7">#REF!</definedName>
    <definedName name="Detail">#REF!</definedName>
    <definedName name="DISC_RATE">[3]Assumptions!$C$5</definedName>
    <definedName name="DiscountRate">Assumptions!#REF!</definedName>
    <definedName name="ENDING" localSheetId="5">#REF!</definedName>
    <definedName name="ENDING" localSheetId="7">#REF!</definedName>
    <definedName name="ENDING">#REF!</definedName>
    <definedName name="EndYear">Assumptions!$K$45</definedName>
    <definedName name="EPR" localSheetId="5">#REF!</definedName>
    <definedName name="EPR" localSheetId="7">#REF!</definedName>
    <definedName name="EPR">#REF!</definedName>
    <definedName name="_xlnm.Extract" localSheetId="5">#REF!</definedName>
    <definedName name="_xlnm.Extract" localSheetId="7">#REF!</definedName>
    <definedName name="_xlnm.Extract">#REF!</definedName>
    <definedName name="formula" localSheetId="5">#REF!</definedName>
    <definedName name="formula" localSheetId="7">#REF!</definedName>
    <definedName name="formula">#REF!</definedName>
    <definedName name="furbase">#REF!</definedName>
    <definedName name="FURN">#REF!</definedName>
    <definedName name="furnish">#REF!</definedName>
    <definedName name="furnmat">#REF!</definedName>
    <definedName name="GENERAL">#REF!</definedName>
    <definedName name="ICCConv">'[7]ICC Conversion'!$A$1:$B$191</definedName>
    <definedName name="IMPORT" localSheetId="5">#REF!</definedName>
    <definedName name="IMPORT" localSheetId="7">#REF!</definedName>
    <definedName name="IMPORT">#REF!</definedName>
    <definedName name="infor" localSheetId="5">#REF!</definedName>
    <definedName name="infor" localSheetId="7">#REF!</definedName>
    <definedName name="infor">#REF!</definedName>
    <definedName name="item" localSheetId="5">#REF!</definedName>
    <definedName name="item" localSheetId="7">#REF!</definedName>
    <definedName name="item">#REF!</definedName>
    <definedName name="k7.">#REF!</definedName>
    <definedName name="LEADS">#REF!</definedName>
    <definedName name="LEADS_25MO">#REF!</definedName>
    <definedName name="LEADS_98">#REF!</definedName>
    <definedName name="LEADS_99">#REF!</definedName>
    <definedName name="LOLD">1</definedName>
    <definedName name="LOLD_Table">7</definedName>
    <definedName name="MainFolder">[8]Assumptions!$B$3</definedName>
    <definedName name="mike" localSheetId="5">#REF!</definedName>
    <definedName name="mike" localSheetId="7">#REF!</definedName>
    <definedName name="mike">#REF!</definedName>
    <definedName name="mobil1" localSheetId="5">#REF!</definedName>
    <definedName name="mobil1" localSheetId="7">#REF!</definedName>
    <definedName name="mobil1">#REF!</definedName>
    <definedName name="NEXT" localSheetId="5">#REF!</definedName>
    <definedName name="NEXT" localSheetId="7">#REF!</definedName>
    <definedName name="NEXT">#REF!</definedName>
    <definedName name="Normal">#REF!</definedName>
    <definedName name="number">#REF!</definedName>
    <definedName name="OPER1">#REF!</definedName>
    <definedName name="OPER2">#REF!</definedName>
    <definedName name="PAGE_33">#REF!</definedName>
    <definedName name="PAGE1">#REF!</definedName>
    <definedName name="PAGE2">#REF!</definedName>
    <definedName name="PAGE32">#REF!</definedName>
    <definedName name="PAGE37">#REF!</definedName>
    <definedName name="PART_B">#REF!</definedName>
    <definedName name="PARTA">#REF!</definedName>
    <definedName name="PeakLngthE">Assumptions!$K$19</definedName>
    <definedName name="PercentAutoW">Assumptions!$L$47</definedName>
    <definedName name="PercentAutoWO">Assumptions!$K$47</definedName>
    <definedName name="PercentTrucksW">Assumptions!$L$49</definedName>
    <definedName name="PercentTrucksWO">Assumptions!$K$49</definedName>
    <definedName name="PercTruckW">Assumptions!$L$49</definedName>
    <definedName name="PerTruckE">Assumptions!$K$49</definedName>
    <definedName name="PerTruckN">Assumptions!$L$49</definedName>
    <definedName name="PISNU" localSheetId="5">#REF!</definedName>
    <definedName name="PISNU" localSheetId="7">#REF!</definedName>
    <definedName name="PISNU">#REF!</definedName>
    <definedName name="PosnPnt_0925" localSheetId="5">#REF!</definedName>
    <definedName name="PosnPnt_0925">#REF!</definedName>
    <definedName name="ppp" localSheetId="5">#REF!</definedName>
    <definedName name="ppp" localSheetId="7">#REF!</definedName>
    <definedName name="ppp">#REF!</definedName>
    <definedName name="price">#REF!</definedName>
    <definedName name="PRINT_ALL">#REF!</definedName>
    <definedName name="_xlnm.Print_Area" localSheetId="5">'Air Quality'!$A$2:$AH$53</definedName>
    <definedName name="_xlnm.Print_Area" localSheetId="0">Assumptions!$B$2:$J$53</definedName>
    <definedName name="_xlnm.Print_Area" localSheetId="1">'BCA Summary '!$B$2:$P$130</definedName>
    <definedName name="_xlnm.Print_Area" localSheetId="8">'Capital Cost + RCV'!$A$2:$O$56</definedName>
    <definedName name="_xlnm.Print_Area" localSheetId="9">'Construction Travel Time Impact'!$A$2:$X$61</definedName>
    <definedName name="_xlnm.Print_Area" localSheetId="6">'Network Crash Savings'!$A$2:$AK$54</definedName>
    <definedName name="_xlnm.Print_Area" localSheetId="7">'O&amp;M + Rehab'!$A$2:$AH$70</definedName>
    <definedName name="_xlnm.Print_Area" localSheetId="4">'Safety Improvements'!$A$2:$AL$70</definedName>
    <definedName name="_xlnm.Print_Area" localSheetId="10">'TH 11 - Year of Closure'!$A$1:$Z$99</definedName>
    <definedName name="_xlnm.Print_Area" localSheetId="14">'Traffic Forecast Data'!$B$2:$S$91</definedName>
    <definedName name="_xlnm.Print_Area" localSheetId="13">'Traffic Volume Data'!$B$2:$R$45</definedName>
    <definedName name="_xlnm.Print_Area" localSheetId="2">'Travel Time Savings'!$A$2:$AC$61</definedName>
    <definedName name="_xlnm.Print_Area" localSheetId="3">'VOC Savings'!$A$2:$AD$61</definedName>
    <definedName name="_xlnm.Print_Area">#REF!</definedName>
    <definedName name="PRINT_AREA_MI" localSheetId="5">#REF!</definedName>
    <definedName name="PRINT_AREA_MI" localSheetId="7">#REF!</definedName>
    <definedName name="PRINT_AREA_MI">#REF!</definedName>
    <definedName name="PRINT_CF_9899" localSheetId="5">#REF!</definedName>
    <definedName name="PRINT_CF_9899" localSheetId="7">#REF!</definedName>
    <definedName name="PRINT_CF_9899">#REF!</definedName>
    <definedName name="PRINT_DIFF">#REF!</definedName>
    <definedName name="_xlnm.Print_Titles">#N/A</definedName>
    <definedName name="Print_Titles_MI">'[9]PA Run Off'!$A$1:$IV$10,'[9]PA Run Off'!$A$1:$A$16384</definedName>
    <definedName name="ProjLoc">Assumptions!$L$17</definedName>
    <definedName name="Projlocation">Assumptions!$I$20</definedName>
    <definedName name="ProjName" localSheetId="5">Assumptions!#REF!</definedName>
    <definedName name="ProjName" localSheetId="7">Assumptions!#REF!</definedName>
    <definedName name="ProjName">Assumptions!#REF!</definedName>
    <definedName name="PRT_12_PAGE_25M" localSheetId="5">#REF!</definedName>
    <definedName name="PRT_12_PAGE_25M" localSheetId="7">#REF!</definedName>
    <definedName name="PRT_12_PAGE_25M">#REF!</definedName>
    <definedName name="PRT_98_WCRECON" localSheetId="5">#REF!</definedName>
    <definedName name="PRT_98_WCRECON" localSheetId="7">#REF!</definedName>
    <definedName name="PRT_98_WCRECON">#REF!</definedName>
    <definedName name="PRT_99_WCRECON" localSheetId="5">#REF!</definedName>
    <definedName name="PRT_99_WCRECON" localSheetId="7">#REF!</definedName>
    <definedName name="PRT_99_WCRECON">#REF!</definedName>
    <definedName name="PRT_BS_98">#REF!</definedName>
    <definedName name="PRT_BS_99">#REF!</definedName>
    <definedName name="PRT_BS_SUM_25MO">#REF!</definedName>
    <definedName name="PRT_BSSUM_98">#REF!</definedName>
    <definedName name="PRT_BSSUM_99">#REF!</definedName>
    <definedName name="PRT_CF_1998">#REF!</definedName>
    <definedName name="PRT_CF_1999">#REF!</definedName>
    <definedName name="PRT_CURR_MO">#REF!</definedName>
    <definedName name="PRT_LEAD_25MO">#REF!</definedName>
    <definedName name="PRT_LEAD_ACT_98">#REF!</definedName>
    <definedName name="PRT_LEAD_PLN_99">#REF!</definedName>
    <definedName name="PRT_NCA_98">#REF!</definedName>
    <definedName name="PRT_NCA_99">#REF!</definedName>
    <definedName name="PRT_QUARTER">#REF!</definedName>
    <definedName name="Q1_VS_PLAN">#REF!</definedName>
    <definedName name="Q2_VS_PLAN">#REF!</definedName>
    <definedName name="Q3_VS_PLAN">#REF!</definedName>
    <definedName name="Q4_VS_PLAN">#REF!</definedName>
    <definedName name="qty">#REF!</definedName>
    <definedName name="Rate">[10]LocoRate!$L$2:$P$4</definedName>
    <definedName name="Rates">#REF!</definedName>
    <definedName name="RETIREMENTS" localSheetId="5">#REF!</definedName>
    <definedName name="RETIREMENTS" localSheetId="7">#REF!</definedName>
    <definedName name="RETIREMENTS">#REF!</definedName>
    <definedName name="Retires" localSheetId="5">#REF!</definedName>
    <definedName name="Retires" localSheetId="7">#REF!</definedName>
    <definedName name="Retires">#REF!</definedName>
    <definedName name="ROSNU">#REF!</definedName>
    <definedName name="SAPBEXhrIndnt" hidden="1">"Wide"</definedName>
    <definedName name="SAPsysID" hidden="1">"708C5W7SBKP804JT78WJ0JNKI"</definedName>
    <definedName name="SAPwbID" hidden="1">"ARS"</definedName>
    <definedName name="SB_5_B_">#REF!</definedName>
    <definedName name="SEC_12R1">#REF!</definedName>
    <definedName name="SEC_12R2">#REF!</definedName>
    <definedName name="SEC_12S">#REF!</definedName>
    <definedName name="SEC_13T1">#REF!</definedName>
    <definedName name="SEC_13T2">#REF!</definedName>
    <definedName name="SEC_13T2D">#REF!</definedName>
    <definedName name="SEC_5E">#REF!</definedName>
    <definedName name="SEC_5F">#REF!</definedName>
    <definedName name="SEC_5G">#REF!</definedName>
    <definedName name="SEC_6H">#REF!</definedName>
    <definedName name="SEC_6H7">#REF!</definedName>
    <definedName name="SEC_7I1">#REF!</definedName>
    <definedName name="SEC_7I2">#REF!</definedName>
    <definedName name="SEC_7I3">#REF!</definedName>
    <definedName name="SEC_7I4">#REF!</definedName>
    <definedName name="SEC_7I5">#REF!</definedName>
    <definedName name="SEC_7I6">#REF!</definedName>
    <definedName name="SEC_7I7">#REF!</definedName>
    <definedName name="SEC_7I8">#REF!</definedName>
    <definedName name="SEC_8J1">#REF!</definedName>
    <definedName name="SEC_8J2">#REF!</definedName>
    <definedName name="SEC_8K">#REF!</definedName>
    <definedName name="SEC_8L">#REF!</definedName>
    <definedName name="select">#REF!</definedName>
    <definedName name="SHEET_CHOICE">#REF!</definedName>
    <definedName name="SHEET1">#REF!</definedName>
    <definedName name="SHEET2">#REF!</definedName>
    <definedName name="SHEET3">#REF!</definedName>
    <definedName name="SHEET4">#REF!</definedName>
    <definedName name="SHEET5A">#REF!</definedName>
    <definedName name="SHEET5B">#REF!</definedName>
    <definedName name="SHEET5C">#REF!</definedName>
    <definedName name="SHEET5D">#REF!</definedName>
    <definedName name="SHEET6">#REF!</definedName>
    <definedName name="solver_typ" localSheetId="8" hidden="1">2</definedName>
    <definedName name="solver_typ" localSheetId="7" hidden="1">2</definedName>
    <definedName name="solver_ver" localSheetId="8" hidden="1">17</definedName>
    <definedName name="solver_ver" localSheetId="7" hidden="1">17</definedName>
    <definedName name="Spanner_Auto_File">"T:\139407\NDM\ROR\DRAWING\des_road.x2a"</definedName>
    <definedName name="Spanner_Auto_Select">#REF!</definedName>
    <definedName name="SRFProjectNum" localSheetId="5">Assumptions!#REF!</definedName>
    <definedName name="SRFProjectNum" localSheetId="7">Assumptions!#REF!</definedName>
    <definedName name="SRFProjectNum">Assumptions!#REF!</definedName>
    <definedName name="StartYear" localSheetId="5">Assumptions!#REF!</definedName>
    <definedName name="StartYear" localSheetId="7">Assumptions!#REF!</definedName>
    <definedName name="StartYear">Assumptions!#REF!</definedName>
    <definedName name="SUB7L" localSheetId="5">#REF!</definedName>
    <definedName name="SUB7L" localSheetId="7">#REF!</definedName>
    <definedName name="SUB7L">#REF!</definedName>
    <definedName name="supp" localSheetId="5">#REF!</definedName>
    <definedName name="supp" localSheetId="7">#REF!</definedName>
    <definedName name="supp">#REF!</definedName>
    <definedName name="suppbase" localSheetId="5">#REF!</definedName>
    <definedName name="suppbase" localSheetId="7">#REF!</definedName>
    <definedName name="suppbase">#REF!</definedName>
    <definedName name="SUPPL">#REF!</definedName>
    <definedName name="supplem">#REF!</definedName>
    <definedName name="TAccReductPer">Assumptions!#REF!</definedName>
    <definedName name="TAptFW">Assumptions!#REF!</definedName>
    <definedName name="TITLE" localSheetId="5">#REF!</definedName>
    <definedName name="TITLE" localSheetId="7">#REF!</definedName>
    <definedName name="TITLE">#REF!</definedName>
    <definedName name="TOTAL" localSheetId="5">#REF!</definedName>
    <definedName name="TOTAL" localSheetId="7">#REF!</definedName>
    <definedName name="TOTAL">#REF!</definedName>
    <definedName name="TPerHwy">Assumptions!#REF!</definedName>
    <definedName name="TruckCost" localSheetId="5">[4]Assumptions!#REF!</definedName>
    <definedName name="TruckCost" localSheetId="8">[5]Assumptions!#REF!</definedName>
    <definedName name="TruckCost" localSheetId="7">[5]Assumptions!#REF!</definedName>
    <definedName name="TruckCost">Assumptions!#REF!</definedName>
    <definedName name="TruckSpeed">Assumptions!$K$50</definedName>
    <definedName name="TVehMiBW">Assumptions!#REF!</definedName>
    <definedName name="TVehMiFW">Assumptions!#REF!</definedName>
    <definedName name="UPDATE" localSheetId="5">#REF!</definedName>
    <definedName name="UPDATE" localSheetId="7">#REF!</definedName>
    <definedName name="UPDATE">#REF!</definedName>
    <definedName name="VEH_OCC">[3]Assumptions!$C$6</definedName>
    <definedName name="Version" localSheetId="5">#REF!</definedName>
    <definedName name="Version" localSheetId="7">#REF!</definedName>
    <definedName name="Version">#REF!</definedName>
    <definedName name="x" localSheetId="5">[11]Assumptions!#REF!</definedName>
    <definedName name="x" localSheetId="7">[11]Assumptions!#REF!</definedName>
    <definedName name="x">[11]Assumptions!#REF!</definedName>
    <definedName name="yrofanalysis" localSheetId="5">Assumptions!#REF!</definedName>
    <definedName name="yrofanalysis" localSheetId="7">Assumptions!#REF!</definedName>
    <definedName name="yrofanalysis">Assumptions!#REF!</definedName>
    <definedName name="yrofcurrentdollars" localSheetId="5">Assumptions!#REF!</definedName>
    <definedName name="yrofcurrentdollars" localSheetId="7">Assumptions!#REF!</definedName>
    <definedName name="yrofcurrentdollars">Assumptions!#REF!</definedName>
    <definedName name="YTD" localSheetId="5">#REF!</definedName>
    <definedName name="YTD" localSheetId="7">#REF!</definedName>
    <definedName name="YTD">#REF!</definedName>
  </definedNames>
  <calcPr calcId="191029"/>
  <pivotCaches>
    <pivotCache cacheId="0" r:id="rId33"/>
    <pivotCache cacheId="1" r:id="rId34"/>
    <pivotCache cacheId="2" r:id="rId3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8" i="46" l="1"/>
  <c r="K8" i="42"/>
  <c r="K11" i="42"/>
  <c r="K9" i="42"/>
  <c r="K10" i="42"/>
  <c r="I13" i="108" l="1"/>
  <c r="M13" i="108"/>
  <c r="I14" i="108"/>
  <c r="M14" i="108"/>
  <c r="I15" i="108"/>
  <c r="M15" i="108"/>
  <c r="I16" i="108"/>
  <c r="M16" i="108"/>
  <c r="I18" i="108"/>
  <c r="M18" i="108"/>
  <c r="I20" i="108"/>
  <c r="M20" i="108"/>
  <c r="I21" i="108"/>
  <c r="F21" i="108" s="1"/>
  <c r="M21" i="108"/>
  <c r="I23" i="108"/>
  <c r="M23" i="108"/>
  <c r="G25" i="108"/>
  <c r="H25" i="108"/>
  <c r="I25" i="108"/>
  <c r="I27" i="108"/>
  <c r="M27" i="108"/>
  <c r="G28" i="108"/>
  <c r="I28" i="108"/>
  <c r="M28" i="108"/>
  <c r="G29" i="108"/>
  <c r="I29" i="108"/>
  <c r="M29" i="108"/>
  <c r="I30" i="108"/>
  <c r="M30" i="108"/>
  <c r="I31" i="108"/>
  <c r="M31" i="108"/>
  <c r="G32" i="108"/>
  <c r="H32" i="108"/>
  <c r="I32" i="108"/>
  <c r="G33" i="108"/>
  <c r="H33" i="108"/>
  <c r="I33" i="108"/>
  <c r="I35" i="108"/>
  <c r="M35" i="108"/>
  <c r="I36" i="108"/>
  <c r="M36" i="108"/>
  <c r="I37" i="108"/>
  <c r="M37" i="108"/>
  <c r="I38" i="108"/>
  <c r="M38" i="108"/>
  <c r="I39" i="108"/>
  <c r="M39" i="108"/>
  <c r="I40" i="108"/>
  <c r="M40" i="108"/>
  <c r="I41" i="108"/>
  <c r="M41" i="108"/>
  <c r="I42" i="108"/>
  <c r="M42" i="108"/>
  <c r="I43" i="108"/>
  <c r="M43" i="108"/>
  <c r="I44" i="108"/>
  <c r="M44" i="108"/>
  <c r="G45" i="108"/>
  <c r="H45" i="108"/>
  <c r="I45" i="108"/>
  <c r="I47" i="108"/>
  <c r="M47" i="108"/>
  <c r="I48" i="108"/>
  <c r="M48" i="108"/>
  <c r="I49" i="108"/>
  <c r="M49" i="108"/>
  <c r="I50" i="108"/>
  <c r="M50" i="108"/>
  <c r="I51" i="108"/>
  <c r="M51" i="108"/>
  <c r="I52" i="108"/>
  <c r="M52" i="108"/>
  <c r="G53" i="108"/>
  <c r="H53" i="108"/>
  <c r="I53" i="108"/>
  <c r="I55" i="108"/>
  <c r="M55" i="108"/>
  <c r="I56" i="108"/>
  <c r="M56" i="108"/>
  <c r="I57" i="108"/>
  <c r="M57" i="108"/>
  <c r="I58" i="108"/>
  <c r="M58" i="108"/>
  <c r="I59" i="108"/>
  <c r="M59" i="108"/>
  <c r="I60" i="108"/>
  <c r="M60" i="108"/>
  <c r="I61" i="108"/>
  <c r="M61" i="108"/>
  <c r="I62" i="108"/>
  <c r="M62" i="108"/>
  <c r="G63" i="108"/>
  <c r="H63" i="108"/>
  <c r="I63" i="108"/>
  <c r="G65" i="108"/>
  <c r="H65" i="108"/>
  <c r="I65" i="108"/>
  <c r="F68" i="108"/>
  <c r="G68" i="108"/>
  <c r="H68" i="108"/>
  <c r="H75" i="108"/>
  <c r="L75" i="108"/>
  <c r="H76" i="108"/>
  <c r="L76" i="108"/>
  <c r="F77" i="108"/>
  <c r="H77" i="108"/>
  <c r="L77" i="108"/>
  <c r="H78" i="108"/>
  <c r="L78" i="108"/>
  <c r="H79" i="108"/>
  <c r="L79" i="108"/>
  <c r="H80" i="108"/>
  <c r="L80" i="108"/>
  <c r="H81" i="108"/>
  <c r="L81" i="108"/>
  <c r="H82" i="108"/>
  <c r="L82" i="108"/>
  <c r="H83" i="108"/>
  <c r="L83" i="108"/>
  <c r="H84" i="108"/>
  <c r="L84" i="108"/>
  <c r="H85" i="108"/>
  <c r="L85" i="108"/>
  <c r="H86" i="108"/>
  <c r="L86" i="108"/>
  <c r="H87" i="108"/>
  <c r="L87" i="108"/>
  <c r="H88" i="108"/>
  <c r="L88" i="108"/>
  <c r="F89" i="108"/>
  <c r="G89" i="108"/>
  <c r="H89" i="108"/>
  <c r="H92" i="108"/>
  <c r="L92" i="108"/>
  <c r="F93" i="108"/>
  <c r="H93" i="108"/>
  <c r="L93" i="108"/>
  <c r="H94" i="108"/>
  <c r="L94" i="108"/>
  <c r="H95" i="108"/>
  <c r="L95" i="108"/>
  <c r="F96" i="108"/>
  <c r="G96" i="108"/>
  <c r="H96" i="108"/>
  <c r="F98" i="108"/>
  <c r="G98" i="108"/>
  <c r="H98" i="108"/>
  <c r="H103" i="108"/>
  <c r="K103" i="108"/>
  <c r="L103" i="108"/>
  <c r="M103" i="108"/>
  <c r="H104" i="108"/>
  <c r="K104" i="108"/>
  <c r="L104" i="108"/>
  <c r="M104" i="108"/>
  <c r="H105" i="108"/>
  <c r="K105" i="108"/>
  <c r="L105" i="108"/>
  <c r="M105" i="108"/>
  <c r="H106" i="108"/>
  <c r="K106" i="108"/>
  <c r="L106" i="108"/>
  <c r="M106" i="108"/>
  <c r="H107" i="108"/>
  <c r="K107" i="108"/>
  <c r="L107" i="108"/>
  <c r="M107" i="108"/>
  <c r="H108" i="108"/>
  <c r="K108" i="108"/>
  <c r="L108" i="108"/>
  <c r="M108" i="108"/>
  <c r="H109" i="108"/>
  <c r="K109" i="108"/>
  <c r="L109" i="108"/>
  <c r="M109" i="108"/>
  <c r="F110" i="108"/>
  <c r="G110" i="108"/>
  <c r="H110" i="108"/>
  <c r="I110" i="108"/>
  <c r="J110" i="108"/>
  <c r="L110" i="108"/>
  <c r="N110" i="108"/>
  <c r="F111" i="108"/>
  <c r="G111" i="108"/>
  <c r="H111" i="108"/>
  <c r="I111" i="108"/>
  <c r="J111" i="108"/>
  <c r="L111" i="108"/>
  <c r="N111" i="108"/>
  <c r="H117" i="108"/>
  <c r="F118" i="108"/>
  <c r="G118" i="108"/>
  <c r="H118" i="108"/>
  <c r="F121" i="108"/>
  <c r="G121" i="108"/>
  <c r="H121" i="108"/>
  <c r="F122" i="108"/>
  <c r="G122" i="108"/>
  <c r="H122" i="108"/>
  <c r="B5" i="75"/>
  <c r="M13" i="75"/>
  <c r="I14" i="75"/>
  <c r="M14" i="75"/>
  <c r="I15" i="75"/>
  <c r="M15" i="75"/>
  <c r="I16" i="75"/>
  <c r="M16" i="75"/>
  <c r="I17" i="75"/>
  <c r="M17" i="75"/>
  <c r="I18" i="75"/>
  <c r="M18" i="75"/>
  <c r="I19" i="75"/>
  <c r="M19" i="75"/>
  <c r="I20" i="75"/>
  <c r="M20" i="75"/>
  <c r="I21" i="75"/>
  <c r="M21" i="75"/>
  <c r="I22" i="75"/>
  <c r="M22" i="75"/>
  <c r="M66" i="75"/>
  <c r="M65" i="75"/>
  <c r="M64" i="75"/>
  <c r="M63" i="75"/>
  <c r="M62" i="75"/>
  <c r="M61" i="75"/>
  <c r="M60" i="75"/>
  <c r="M59" i="75"/>
  <c r="M58" i="75"/>
  <c r="M57" i="75"/>
  <c r="M56" i="75"/>
  <c r="M55" i="75"/>
  <c r="M54" i="75"/>
  <c r="M53" i="75"/>
  <c r="M52" i="75"/>
  <c r="M51" i="75"/>
  <c r="M50" i="75"/>
  <c r="M49" i="75"/>
  <c r="M48" i="75"/>
  <c r="M47" i="75"/>
  <c r="M46" i="75"/>
  <c r="M45" i="75"/>
  <c r="M44" i="75"/>
  <c r="M43" i="75"/>
  <c r="M42" i="75"/>
  <c r="M41" i="75"/>
  <c r="M40" i="75"/>
  <c r="M39" i="75"/>
  <c r="U38" i="75"/>
  <c r="U37" i="75"/>
  <c r="U36" i="75"/>
  <c r="U35" i="75"/>
  <c r="U34" i="75"/>
  <c r="U33" i="75"/>
  <c r="U32" i="75"/>
  <c r="U31" i="75"/>
  <c r="U30" i="75"/>
  <c r="U29" i="75"/>
  <c r="U28" i="75"/>
  <c r="U27" i="75"/>
  <c r="U26" i="75"/>
  <c r="U25" i="75"/>
  <c r="U24" i="75"/>
  <c r="U23" i="75"/>
  <c r="U22" i="75"/>
  <c r="U21" i="75"/>
  <c r="U20" i="75"/>
  <c r="U19" i="75"/>
  <c r="U18" i="75"/>
  <c r="U17" i="75"/>
  <c r="U16" i="75"/>
  <c r="U15" i="75"/>
  <c r="U14" i="75"/>
  <c r="U13" i="75"/>
  <c r="Q13" i="75"/>
  <c r="I6" i="75"/>
  <c r="N13" i="75" s="1"/>
  <c r="M38" i="75"/>
  <c r="M37" i="75"/>
  <c r="M36" i="75"/>
  <c r="M35" i="75"/>
  <c r="M34" i="75"/>
  <c r="M33" i="75"/>
  <c r="M32" i="75"/>
  <c r="M31" i="75"/>
  <c r="M30" i="75"/>
  <c r="M29" i="75"/>
  <c r="M28" i="75"/>
  <c r="M27" i="75"/>
  <c r="M26" i="75"/>
  <c r="M25" i="75"/>
  <c r="M24" i="75"/>
  <c r="M23" i="75"/>
  <c r="I23" i="75"/>
  <c r="P24" i="80"/>
  <c r="O24" i="80"/>
  <c r="N24" i="80"/>
  <c r="M24" i="80"/>
  <c r="Q14" i="75" l="1"/>
  <c r="F20" i="108"/>
  <c r="F18" i="108"/>
  <c r="F16" i="108"/>
  <c r="F15" i="108"/>
  <c r="F14" i="108"/>
  <c r="F13" i="108"/>
  <c r="N22" i="75"/>
  <c r="N21" i="75"/>
  <c r="N20" i="75"/>
  <c r="N19" i="75"/>
  <c r="N18" i="75"/>
  <c r="N17" i="75"/>
  <c r="N16" i="75"/>
  <c r="N15" i="75"/>
  <c r="I24" i="75"/>
  <c r="N23" i="75"/>
  <c r="N14" i="75"/>
  <c r="K24" i="80"/>
  <c r="L24" i="80"/>
  <c r="L23" i="80"/>
  <c r="L15" i="90"/>
  <c r="L14" i="90"/>
  <c r="AI21" i="80"/>
  <c r="AI20" i="80"/>
  <c r="AI19" i="80"/>
  <c r="AI18" i="80"/>
  <c r="AI17" i="80"/>
  <c r="AI16" i="80"/>
  <c r="AI15" i="80"/>
  <c r="AI14" i="80"/>
  <c r="AI13" i="80"/>
  <c r="AI12" i="80"/>
  <c r="AI11" i="80"/>
  <c r="AI10" i="80"/>
  <c r="AH21" i="80"/>
  <c r="AH20" i="80"/>
  <c r="AH19" i="80"/>
  <c r="AH18" i="80"/>
  <c r="AH17" i="80"/>
  <c r="AH16" i="80"/>
  <c r="AH15" i="80"/>
  <c r="AH14" i="80"/>
  <c r="AH13" i="80"/>
  <c r="AH12" i="80"/>
  <c r="AH11" i="80"/>
  <c r="AH10" i="80"/>
  <c r="AG21" i="80"/>
  <c r="AG20" i="80"/>
  <c r="AG19" i="80"/>
  <c r="AG18" i="80"/>
  <c r="AG17" i="80"/>
  <c r="AG16" i="80"/>
  <c r="AG15" i="80"/>
  <c r="AG14" i="80"/>
  <c r="AG13" i="80"/>
  <c r="AG12" i="80"/>
  <c r="AG11" i="80"/>
  <c r="AG10" i="80"/>
  <c r="AF21" i="80"/>
  <c r="AF20" i="80"/>
  <c r="AF19" i="80"/>
  <c r="AF18" i="80"/>
  <c r="AF17" i="80"/>
  <c r="AF16" i="80"/>
  <c r="AF15" i="80"/>
  <c r="AF14" i="80"/>
  <c r="AF13" i="80"/>
  <c r="AF12" i="80"/>
  <c r="AF11" i="80"/>
  <c r="AF10" i="80"/>
  <c r="AE21" i="80"/>
  <c r="AE20" i="80"/>
  <c r="AE19" i="80"/>
  <c r="AE18" i="80"/>
  <c r="AE17" i="80"/>
  <c r="AE16" i="80"/>
  <c r="AE15" i="80"/>
  <c r="AE14" i="80"/>
  <c r="AE13" i="80"/>
  <c r="AE12" i="80"/>
  <c r="AE11" i="80"/>
  <c r="AE10" i="80"/>
  <c r="AC21" i="80"/>
  <c r="AC20" i="80"/>
  <c r="AC19" i="80"/>
  <c r="AC18" i="80"/>
  <c r="AC17" i="80"/>
  <c r="AC16" i="80"/>
  <c r="AC15" i="80"/>
  <c r="AC14" i="80"/>
  <c r="AC13" i="80"/>
  <c r="AC12" i="80"/>
  <c r="AC11" i="80"/>
  <c r="AC10" i="80"/>
  <c r="AB21" i="80"/>
  <c r="AB20" i="80"/>
  <c r="AB19" i="80"/>
  <c r="AB18" i="80"/>
  <c r="AB17" i="80"/>
  <c r="AB16" i="80"/>
  <c r="AB15" i="80"/>
  <c r="AB14" i="80"/>
  <c r="AB13" i="80"/>
  <c r="AB12" i="80"/>
  <c r="AB11" i="80"/>
  <c r="AB10" i="80"/>
  <c r="AA21" i="80"/>
  <c r="AA20" i="80"/>
  <c r="AA19" i="80"/>
  <c r="AA18" i="80"/>
  <c r="AA17" i="80"/>
  <c r="AA16" i="80"/>
  <c r="AA15" i="80"/>
  <c r="AA14" i="80"/>
  <c r="AA13" i="80"/>
  <c r="AA12" i="80"/>
  <c r="AA11" i="80"/>
  <c r="AA10" i="80"/>
  <c r="Y21" i="80"/>
  <c r="Y20" i="80"/>
  <c r="Y19" i="80"/>
  <c r="Y18" i="80"/>
  <c r="Y17" i="80"/>
  <c r="Y16" i="80"/>
  <c r="Y15" i="80"/>
  <c r="Y14" i="80"/>
  <c r="Y13" i="80"/>
  <c r="Y12" i="80"/>
  <c r="Y11" i="80"/>
  <c r="Z21" i="80"/>
  <c r="Z20" i="80"/>
  <c r="Z19" i="80"/>
  <c r="Z18" i="80"/>
  <c r="Z17" i="80"/>
  <c r="Z16" i="80"/>
  <c r="Z15" i="80"/>
  <c r="Z14" i="80"/>
  <c r="Z13" i="80"/>
  <c r="Z12" i="80"/>
  <c r="Z11" i="80"/>
  <c r="Z10" i="80"/>
  <c r="Y10" i="80"/>
  <c r="W10" i="78"/>
  <c r="W9" i="78"/>
  <c r="W8" i="78"/>
  <c r="V10" i="78"/>
  <c r="V9" i="78"/>
  <c r="V8" i="78"/>
  <c r="S10" i="78"/>
  <c r="S9" i="78"/>
  <c r="S8" i="78"/>
  <c r="R10" i="78"/>
  <c r="R9" i="78"/>
  <c r="R8" i="78"/>
  <c r="Q8" i="76"/>
  <c r="V10" i="76"/>
  <c r="V9" i="76"/>
  <c r="V8" i="76"/>
  <c r="U8" i="76"/>
  <c r="U10" i="76"/>
  <c r="U9" i="76"/>
  <c r="G52" i="99" a="1"/>
  <c r="G52" i="99"/>
  <c r="G53" i="99"/>
  <c r="D33" i="28" s="1"/>
  <c r="Q15" i="75" l="1"/>
  <c r="I25" i="75"/>
  <c r="N24" i="75"/>
  <c r="R10" i="76"/>
  <c r="R9" i="76"/>
  <c r="R8" i="76"/>
  <c r="Q10" i="76"/>
  <c r="Q9" i="76"/>
  <c r="Q16" i="75" l="1"/>
  <c r="I26" i="75"/>
  <c r="N25" i="75"/>
  <c r="Q17" i="75" l="1"/>
  <c r="I27" i="75"/>
  <c r="N26" i="75"/>
  <c r="C5" i="75" s="1"/>
  <c r="D9" i="100"/>
  <c r="E8" i="100"/>
  <c r="F8" i="100" s="1"/>
  <c r="E7" i="100"/>
  <c r="F7" i="100" s="1"/>
  <c r="E6" i="100"/>
  <c r="E5" i="100"/>
  <c r="F5" i="100" s="1"/>
  <c r="E4" i="100"/>
  <c r="I34" i="30"/>
  <c r="B6" i="30"/>
  <c r="I33" i="30"/>
  <c r="B6" i="42"/>
  <c r="C78" i="46"/>
  <c r="B7" i="42"/>
  <c r="J20" i="42"/>
  <c r="Q18" i="75" l="1"/>
  <c r="K12" i="42"/>
  <c r="I28" i="75"/>
  <c r="N27" i="75"/>
  <c r="F6" i="100"/>
  <c r="E9" i="100"/>
  <c r="F4" i="100"/>
  <c r="B8" i="42"/>
  <c r="Q19" i="75" l="1"/>
  <c r="I29" i="75"/>
  <c r="N28" i="75"/>
  <c r="F9" i="100"/>
  <c r="B9" i="42"/>
  <c r="Q20" i="75" l="1"/>
  <c r="I30" i="75"/>
  <c r="N29" i="75"/>
  <c r="B10" i="42"/>
  <c r="Q21" i="75" l="1"/>
  <c r="I31" i="75"/>
  <c r="N30" i="75"/>
  <c r="B11" i="42"/>
  <c r="C10" i="42"/>
  <c r="Q22" i="75" l="1"/>
  <c r="I32" i="75"/>
  <c r="N31" i="75"/>
  <c r="B12" i="42"/>
  <c r="C11" i="42"/>
  <c r="Q23" i="75" l="1"/>
  <c r="I33" i="75"/>
  <c r="N32" i="75"/>
  <c r="B13" i="42"/>
  <c r="C12" i="42"/>
  <c r="Q24" i="75" l="1"/>
  <c r="I34" i="75"/>
  <c r="N33" i="75"/>
  <c r="B14" i="42"/>
  <c r="C13" i="42"/>
  <c r="Q25" i="75" l="1"/>
  <c r="I35" i="75"/>
  <c r="N34" i="75"/>
  <c r="B15" i="42"/>
  <c r="C14" i="42"/>
  <c r="Q26" i="75" l="1"/>
  <c r="I36" i="75"/>
  <c r="N35" i="75"/>
  <c r="B16" i="42"/>
  <c r="C15" i="42"/>
  <c r="Q27" i="75" l="1"/>
  <c r="I37" i="75"/>
  <c r="N36" i="75"/>
  <c r="B17" i="42"/>
  <c r="C16" i="42"/>
  <c r="Q28" i="75" l="1"/>
  <c r="I38" i="75"/>
  <c r="N37" i="75"/>
  <c r="B18" i="42"/>
  <c r="C17" i="42"/>
  <c r="Q29" i="75" l="1"/>
  <c r="I39" i="75"/>
  <c r="N38" i="75"/>
  <c r="B19" i="42"/>
  <c r="C18" i="42"/>
  <c r="Q30" i="75" l="1"/>
  <c r="I40" i="75"/>
  <c r="N39" i="75"/>
  <c r="B20" i="42"/>
  <c r="C19" i="42"/>
  <c r="Q31" i="75" l="1"/>
  <c r="I41" i="75"/>
  <c r="N40" i="75"/>
  <c r="B21" i="42"/>
  <c r="C20" i="42"/>
  <c r="Q32" i="75" l="1"/>
  <c r="I42" i="75"/>
  <c r="N41" i="75"/>
  <c r="B22" i="42"/>
  <c r="C21" i="42"/>
  <c r="Q33" i="75" l="1"/>
  <c r="I43" i="75"/>
  <c r="N42" i="75"/>
  <c r="B23" i="42"/>
  <c r="C22" i="42"/>
  <c r="Q34" i="75" l="1"/>
  <c r="I44" i="75"/>
  <c r="N43" i="75"/>
  <c r="B24" i="42"/>
  <c r="C23" i="42"/>
  <c r="Q35" i="75" l="1"/>
  <c r="I45" i="75"/>
  <c r="N44" i="75"/>
  <c r="B25" i="42"/>
  <c r="C24" i="42"/>
  <c r="Q36" i="75" l="1"/>
  <c r="I46" i="75"/>
  <c r="N45" i="75"/>
  <c r="B26" i="42"/>
  <c r="C25" i="42"/>
  <c r="Q37" i="75" l="1"/>
  <c r="I47" i="75"/>
  <c r="N46" i="75"/>
  <c r="B27" i="42"/>
  <c r="C26" i="42"/>
  <c r="Q38" i="75" l="1"/>
  <c r="I48" i="75"/>
  <c r="N47" i="75"/>
  <c r="B28" i="42"/>
  <c r="C27" i="42"/>
  <c r="I49" i="75" l="1"/>
  <c r="N48" i="75"/>
  <c r="B29" i="42"/>
  <c r="C28" i="42"/>
  <c r="I50" i="75" l="1"/>
  <c r="N49" i="75"/>
  <c r="B30" i="42"/>
  <c r="C29" i="42"/>
  <c r="I51" i="75" l="1"/>
  <c r="N50" i="75"/>
  <c r="B31" i="42"/>
  <c r="C30" i="42"/>
  <c r="I52" i="75" l="1"/>
  <c r="N51" i="75"/>
  <c r="B32" i="42"/>
  <c r="C31" i="42"/>
  <c r="I53" i="75" l="1"/>
  <c r="N52" i="75"/>
  <c r="B33" i="42"/>
  <c r="C32" i="42"/>
  <c r="I54" i="75" l="1"/>
  <c r="N53" i="75"/>
  <c r="B34" i="42"/>
  <c r="C33" i="42"/>
  <c r="I55" i="75" l="1"/>
  <c r="N54" i="75"/>
  <c r="B35" i="42"/>
  <c r="C34" i="42"/>
  <c r="I56" i="75" l="1"/>
  <c r="N55" i="75"/>
  <c r="B36" i="42"/>
  <c r="C35" i="42"/>
  <c r="I57" i="75" l="1"/>
  <c r="N56" i="75"/>
  <c r="B37" i="42"/>
  <c r="C36" i="42"/>
  <c r="I58" i="75" l="1"/>
  <c r="N57" i="75"/>
  <c r="B38" i="42"/>
  <c r="C37" i="42"/>
  <c r="I59" i="75" l="1"/>
  <c r="N58" i="75"/>
  <c r="B39" i="42"/>
  <c r="C38" i="42"/>
  <c r="I60" i="75" l="1"/>
  <c r="N59" i="75"/>
  <c r="B40" i="42"/>
  <c r="C39" i="42"/>
  <c r="I61" i="75" l="1"/>
  <c r="N60" i="75"/>
  <c r="B41" i="42"/>
  <c r="C41" i="42" s="1"/>
  <c r="C40" i="42"/>
  <c r="I62" i="75" l="1"/>
  <c r="N61" i="75"/>
  <c r="L19" i="90"/>
  <c r="L21" i="76"/>
  <c r="L20" i="76"/>
  <c r="L16" i="78"/>
  <c r="L14" i="78"/>
  <c r="L16" i="76"/>
  <c r="L14" i="76"/>
  <c r="I63" i="75" l="1"/>
  <c r="N62" i="75"/>
  <c r="D41" i="90"/>
  <c r="D40" i="90"/>
  <c r="D39" i="90"/>
  <c r="D38" i="90"/>
  <c r="D37" i="90"/>
  <c r="D36" i="90"/>
  <c r="D35" i="90"/>
  <c r="D34" i="90"/>
  <c r="D33" i="90"/>
  <c r="D32" i="90"/>
  <c r="D31" i="90"/>
  <c r="D30" i="90"/>
  <c r="D29" i="90"/>
  <c r="D28" i="90"/>
  <c r="D27" i="90"/>
  <c r="D26" i="90"/>
  <c r="D25" i="90"/>
  <c r="D24" i="90"/>
  <c r="D23" i="90"/>
  <c r="D22" i="90"/>
  <c r="D21" i="90"/>
  <c r="D20" i="90"/>
  <c r="D19" i="90"/>
  <c r="D18" i="90"/>
  <c r="D17" i="90"/>
  <c r="D16" i="90"/>
  <c r="D15" i="90"/>
  <c r="D14" i="90"/>
  <c r="D13" i="90"/>
  <c r="D12" i="90"/>
  <c r="D11" i="90"/>
  <c r="D10" i="90"/>
  <c r="D9" i="90"/>
  <c r="D8" i="90"/>
  <c r="F41" i="90"/>
  <c r="G41" i="90" s="1"/>
  <c r="E41" i="90"/>
  <c r="F40" i="90"/>
  <c r="G40" i="90" s="1"/>
  <c r="E40" i="90"/>
  <c r="F39" i="90"/>
  <c r="G39" i="90" s="1"/>
  <c r="E39" i="90"/>
  <c r="F38" i="90"/>
  <c r="G38" i="90" s="1"/>
  <c r="E38" i="90"/>
  <c r="F37" i="90"/>
  <c r="G37" i="90" s="1"/>
  <c r="E37" i="90"/>
  <c r="F36" i="90"/>
  <c r="G36" i="90" s="1"/>
  <c r="E36" i="90"/>
  <c r="F35" i="90"/>
  <c r="G35" i="90" s="1"/>
  <c r="E35" i="90"/>
  <c r="F34" i="90"/>
  <c r="G34" i="90" s="1"/>
  <c r="E34" i="90"/>
  <c r="F33" i="90"/>
  <c r="G33" i="90" s="1"/>
  <c r="E33" i="90"/>
  <c r="F32" i="90"/>
  <c r="G32" i="90" s="1"/>
  <c r="E32" i="90"/>
  <c r="F31" i="90"/>
  <c r="G31" i="90" s="1"/>
  <c r="E31" i="90"/>
  <c r="F30" i="90"/>
  <c r="G30" i="90" s="1"/>
  <c r="E30" i="90"/>
  <c r="F29" i="90"/>
  <c r="G29" i="90" s="1"/>
  <c r="E29" i="90"/>
  <c r="F28" i="90"/>
  <c r="G28" i="90" s="1"/>
  <c r="E28" i="90"/>
  <c r="F27" i="90"/>
  <c r="G27" i="90" s="1"/>
  <c r="E27" i="90"/>
  <c r="F26" i="90"/>
  <c r="G26" i="90" s="1"/>
  <c r="E26" i="90"/>
  <c r="F25" i="90"/>
  <c r="G25" i="90" s="1"/>
  <c r="E25" i="90"/>
  <c r="F24" i="90"/>
  <c r="G24" i="90" s="1"/>
  <c r="E24" i="90"/>
  <c r="F23" i="90"/>
  <c r="G23" i="90" s="1"/>
  <c r="E23" i="90"/>
  <c r="F22" i="90"/>
  <c r="G22" i="90" s="1"/>
  <c r="E22" i="90"/>
  <c r="F21" i="90"/>
  <c r="G21" i="90" s="1"/>
  <c r="E21" i="90"/>
  <c r="F20" i="90"/>
  <c r="G20" i="90" s="1"/>
  <c r="E20" i="90"/>
  <c r="F19" i="90"/>
  <c r="G19" i="90" s="1"/>
  <c r="E19" i="90"/>
  <c r="F18" i="90"/>
  <c r="G18" i="90" s="1"/>
  <c r="E18" i="90"/>
  <c r="F17" i="90"/>
  <c r="G17" i="90" s="1"/>
  <c r="E17" i="90"/>
  <c r="F16" i="90"/>
  <c r="G16" i="90" s="1"/>
  <c r="E16" i="90"/>
  <c r="F15" i="90"/>
  <c r="G15" i="90" s="1"/>
  <c r="E15" i="90"/>
  <c r="F14" i="90"/>
  <c r="G14" i="90" s="1"/>
  <c r="E14" i="90"/>
  <c r="F13" i="90"/>
  <c r="G13" i="90" s="1"/>
  <c r="E13" i="90"/>
  <c r="F12" i="90"/>
  <c r="G12" i="90" s="1"/>
  <c r="E12" i="90"/>
  <c r="F11" i="90"/>
  <c r="G11" i="90" s="1"/>
  <c r="E11" i="90"/>
  <c r="F10" i="90"/>
  <c r="G10" i="90" s="1"/>
  <c r="E10" i="90"/>
  <c r="F9" i="90"/>
  <c r="G9" i="90" s="1"/>
  <c r="E9" i="90"/>
  <c r="F8" i="90"/>
  <c r="G8" i="90" s="1"/>
  <c r="E8" i="90"/>
  <c r="E7" i="90"/>
  <c r="C7" i="90"/>
  <c r="C8" i="90"/>
  <c r="C9" i="90"/>
  <c r="C10" i="90"/>
  <c r="C11" i="90"/>
  <c r="C12" i="90"/>
  <c r="C13" i="90"/>
  <c r="C14" i="90"/>
  <c r="C15" i="90"/>
  <c r="C16" i="90"/>
  <c r="C17" i="90"/>
  <c r="C18" i="90"/>
  <c r="C19" i="90"/>
  <c r="C20" i="90"/>
  <c r="C21" i="90"/>
  <c r="C22" i="90"/>
  <c r="C23" i="90"/>
  <c r="C24" i="90"/>
  <c r="C25" i="90"/>
  <c r="C26" i="90"/>
  <c r="C27" i="90"/>
  <c r="C28" i="90"/>
  <c r="C29" i="90"/>
  <c r="C30" i="90"/>
  <c r="C31" i="90"/>
  <c r="C32" i="90"/>
  <c r="C33" i="90"/>
  <c r="C34" i="90"/>
  <c r="C35" i="90"/>
  <c r="C36" i="90"/>
  <c r="C37" i="90"/>
  <c r="C38" i="90"/>
  <c r="C39" i="90"/>
  <c r="C40" i="90"/>
  <c r="C41" i="90"/>
  <c r="J16" i="42"/>
  <c r="L9" i="42" s="1"/>
  <c r="I64" i="75" l="1"/>
  <c r="N63" i="75"/>
  <c r="L11" i="42"/>
  <c r="C9" i="42" s="1"/>
  <c r="L10" i="42"/>
  <c r="L8" i="42"/>
  <c r="C6" i="42" s="1"/>
  <c r="I65" i="75" l="1"/>
  <c r="N64" i="75"/>
  <c r="L12" i="42"/>
  <c r="C8" i="42"/>
  <c r="C7" i="42"/>
  <c r="I66" i="75" l="1"/>
  <c r="N66" i="75" s="1"/>
  <c r="N65" i="75"/>
  <c r="U24" i="80"/>
  <c r="T24" i="80"/>
  <c r="S24" i="80"/>
  <c r="R24" i="80"/>
  <c r="Q24" i="80"/>
  <c r="U23" i="80"/>
  <c r="T23" i="80"/>
  <c r="S23" i="80"/>
  <c r="R23" i="80"/>
  <c r="Q23" i="80"/>
  <c r="U16" i="80"/>
  <c r="T16" i="80"/>
  <c r="S16" i="80"/>
  <c r="R16" i="80"/>
  <c r="Q16" i="80"/>
  <c r="U17" i="80"/>
  <c r="T17" i="80"/>
  <c r="S17" i="80"/>
  <c r="R17" i="80"/>
  <c r="Q17" i="80"/>
  <c r="J24" i="80" l="1"/>
  <c r="I35" i="30"/>
  <c r="I32" i="30"/>
  <c r="I27" i="30"/>
  <c r="I14" i="30"/>
  <c r="L7" i="78"/>
  <c r="L6" i="78"/>
  <c r="D19" i="28" l="1"/>
  <c r="C67" i="99"/>
  <c r="D52" i="99"/>
  <c r="D53" i="99"/>
  <c r="B57" i="99" s="1"/>
  <c r="L11" i="78" l="1"/>
  <c r="L11" i="76"/>
  <c r="L46" i="78"/>
  <c r="L36" i="78"/>
  <c r="C68" i="99"/>
  <c r="C70" i="99"/>
  <c r="C71" i="99"/>
  <c r="C72" i="99"/>
  <c r="C73" i="99"/>
  <c r="C69" i="99"/>
  <c r="D34" i="100"/>
  <c r="E33" i="100"/>
  <c r="E34" i="100" s="1"/>
  <c r="D42" i="100"/>
  <c r="E41" i="100"/>
  <c r="F41" i="100" s="1"/>
  <c r="E40" i="100"/>
  <c r="F40" i="100" s="1"/>
  <c r="E39" i="100"/>
  <c r="F39" i="100" s="1"/>
  <c r="E38" i="100"/>
  <c r="E42" i="100" s="1"/>
  <c r="L15" i="78" l="1"/>
  <c r="L15" i="76"/>
  <c r="I28" i="30"/>
  <c r="C74" i="99"/>
  <c r="C75" i="99"/>
  <c r="C76" i="99"/>
  <c r="C77" i="99"/>
  <c r="C78" i="99"/>
  <c r="C79" i="99"/>
  <c r="C80" i="99"/>
  <c r="C81" i="99"/>
  <c r="C82" i="99"/>
  <c r="C83" i="99"/>
  <c r="C84" i="99"/>
  <c r="C85" i="99"/>
  <c r="C86" i="99"/>
  <c r="C87" i="99"/>
  <c r="C88" i="99"/>
  <c r="C89" i="99"/>
  <c r="C90" i="99"/>
  <c r="C91" i="99"/>
  <c r="C92" i="99"/>
  <c r="C93" i="99"/>
  <c r="F33" i="100"/>
  <c r="F34" i="100" s="1"/>
  <c r="J23" i="80" s="1"/>
  <c r="F38" i="100"/>
  <c r="F42" i="100" s="1"/>
  <c r="J16" i="80" s="1"/>
  <c r="D29" i="100"/>
  <c r="W9" i="76" l="1"/>
  <c r="W10" i="76"/>
  <c r="Z9" i="76"/>
  <c r="Z10" i="76"/>
  <c r="S10" i="76"/>
  <c r="AA10" i="76" s="1"/>
  <c r="Y10" i="76"/>
  <c r="S9" i="76"/>
  <c r="AA9" i="76" s="1"/>
  <c r="Y9" i="76"/>
  <c r="P16" i="80"/>
  <c r="O16" i="80"/>
  <c r="N16" i="80"/>
  <c r="M16" i="80"/>
  <c r="L16" i="80"/>
  <c r="E14" i="100"/>
  <c r="F14" i="100" s="1"/>
  <c r="E15" i="100"/>
  <c r="F15" i="100" s="1"/>
  <c r="E16" i="100"/>
  <c r="F16" i="100" s="1"/>
  <c r="E17" i="100"/>
  <c r="F17" i="100" s="1"/>
  <c r="E18" i="100"/>
  <c r="F18" i="100" s="1"/>
  <c r="E19" i="100"/>
  <c r="F19" i="100" s="1"/>
  <c r="E20" i="100"/>
  <c r="F20" i="100" s="1"/>
  <c r="E21" i="100"/>
  <c r="F21" i="100" s="1"/>
  <c r="E22" i="100"/>
  <c r="F22" i="100" s="1"/>
  <c r="E23" i="100"/>
  <c r="F23" i="100" s="1"/>
  <c r="E24" i="100"/>
  <c r="F24" i="100" s="1"/>
  <c r="E25" i="100"/>
  <c r="F25" i="100" s="1"/>
  <c r="E26" i="100"/>
  <c r="F26" i="100" s="1"/>
  <c r="E27" i="100"/>
  <c r="F27" i="100" s="1"/>
  <c r="E28" i="100"/>
  <c r="F28" i="100" s="1"/>
  <c r="E13" i="100"/>
  <c r="E29" i="100" l="1"/>
  <c r="F13" i="100"/>
  <c r="P23" i="80"/>
  <c r="O23" i="80"/>
  <c r="N23" i="80"/>
  <c r="M23" i="80"/>
  <c r="F29" i="100" l="1"/>
  <c r="J17" i="80" s="1"/>
  <c r="M10" i="30" l="1"/>
  <c r="L10" i="30"/>
  <c r="K10" i="30"/>
  <c r="J10" i="30"/>
  <c r="I10" i="30"/>
  <c r="L32" i="30" l="1"/>
  <c r="L27" i="30"/>
  <c r="M32" i="30"/>
  <c r="M27" i="30"/>
  <c r="N32" i="30"/>
  <c r="N27" i="30"/>
  <c r="J32" i="30"/>
  <c r="J27" i="30"/>
  <c r="K32" i="30"/>
  <c r="K27" i="30"/>
  <c r="P17" i="80"/>
  <c r="O17" i="80"/>
  <c r="N17" i="80"/>
  <c r="M17" i="80"/>
  <c r="L17" i="80"/>
  <c r="H12" i="80" l="1"/>
  <c r="I11" i="80"/>
  <c r="K23" i="80" s="1"/>
  <c r="H11" i="80"/>
  <c r="K31" i="80" l="1"/>
  <c r="K38" i="80"/>
  <c r="L31" i="80" l="1"/>
  <c r="P31" i="80"/>
  <c r="O31" i="80"/>
  <c r="N31" i="80"/>
  <c r="M31" i="80"/>
  <c r="P38" i="80"/>
  <c r="O38" i="80"/>
  <c r="N38" i="80"/>
  <c r="M38" i="80"/>
  <c r="L38" i="80"/>
  <c r="W8" i="76" l="1"/>
  <c r="L11" i="90" l="1"/>
  <c r="L7" i="90"/>
  <c r="L6" i="90"/>
  <c r="B7" i="90" l="1"/>
  <c r="B8" i="90" l="1"/>
  <c r="B9" i="90" l="1"/>
  <c r="H8" i="90" l="1"/>
  <c r="B10" i="90"/>
  <c r="H9" i="90" l="1"/>
  <c r="B11" i="90"/>
  <c r="H10" i="90" l="1"/>
  <c r="B12" i="90"/>
  <c r="H11" i="90" l="1"/>
  <c r="B13" i="90"/>
  <c r="H12" i="90" l="1"/>
  <c r="B14" i="90"/>
  <c r="H13" i="90" l="1"/>
  <c r="B15" i="90"/>
  <c r="H14" i="90" l="1"/>
  <c r="B16" i="90"/>
  <c r="H15" i="90" l="1"/>
  <c r="B17" i="90"/>
  <c r="H16" i="90" l="1"/>
  <c r="B18" i="90"/>
  <c r="H17" i="90" l="1"/>
  <c r="B19" i="90"/>
  <c r="H18" i="90" l="1"/>
  <c r="B20" i="90"/>
  <c r="H19" i="90" l="1"/>
  <c r="B21" i="90"/>
  <c r="H20" i="90" l="1"/>
  <c r="B22" i="90"/>
  <c r="H21" i="90" l="1"/>
  <c r="B23" i="90"/>
  <c r="H22" i="90" l="1"/>
  <c r="B24" i="90"/>
  <c r="H23" i="90" l="1"/>
  <c r="B25" i="90"/>
  <c r="H24" i="90" l="1"/>
  <c r="B26" i="90"/>
  <c r="H25" i="90" l="1"/>
  <c r="B27" i="90"/>
  <c r="H26" i="90" l="1"/>
  <c r="B28" i="90"/>
  <c r="H27" i="90" l="1"/>
  <c r="B29" i="90"/>
  <c r="H28" i="90" l="1"/>
  <c r="B30" i="90"/>
  <c r="H29" i="90" l="1"/>
  <c r="B31" i="90"/>
  <c r="H30" i="90" l="1"/>
  <c r="B32" i="90"/>
  <c r="H31" i="90" l="1"/>
  <c r="B33" i="90"/>
  <c r="H32" i="90" l="1"/>
  <c r="B34" i="90"/>
  <c r="H33" i="90" l="1"/>
  <c r="B35" i="90"/>
  <c r="H34" i="90" l="1"/>
  <c r="B36" i="90"/>
  <c r="H35" i="90" l="1"/>
  <c r="B37" i="90"/>
  <c r="H36" i="90" l="1"/>
  <c r="B38" i="90"/>
  <c r="H37" i="90" l="1"/>
  <c r="B39" i="90"/>
  <c r="H38" i="90" l="1"/>
  <c r="B40" i="90"/>
  <c r="H39" i="90" l="1"/>
  <c r="B41" i="90"/>
  <c r="H40" i="90" l="1"/>
  <c r="H41" i="90" l="1"/>
  <c r="D15" i="28" l="1"/>
  <c r="V13" i="75" l="1"/>
  <c r="D5" i="75" s="1"/>
  <c r="AI54" i="80"/>
  <c r="AI53" i="80"/>
  <c r="AI52" i="80"/>
  <c r="AI51" i="80"/>
  <c r="AI50" i="80"/>
  <c r="AI49" i="80"/>
  <c r="AI48" i="80"/>
  <c r="AI47" i="80"/>
  <c r="AI46" i="80"/>
  <c r="AI45" i="80"/>
  <c r="AI44" i="80"/>
  <c r="AI43" i="80"/>
  <c r="AI42" i="80"/>
  <c r="AI41" i="80"/>
  <c r="AI40" i="80"/>
  <c r="AH54" i="80"/>
  <c r="AH53" i="80"/>
  <c r="AH52" i="80"/>
  <c r="AH51" i="80"/>
  <c r="AH50" i="80"/>
  <c r="AH49" i="80"/>
  <c r="AH48" i="80"/>
  <c r="AH47" i="80"/>
  <c r="AH46" i="80"/>
  <c r="AH45" i="80"/>
  <c r="AH44" i="80"/>
  <c r="AH43" i="80"/>
  <c r="AH42" i="80"/>
  <c r="AH41" i="80"/>
  <c r="AH40" i="80"/>
  <c r="AG54" i="80"/>
  <c r="AG53" i="80"/>
  <c r="AG52" i="80"/>
  <c r="AG51" i="80"/>
  <c r="AG50" i="80"/>
  <c r="AG49" i="80"/>
  <c r="AG48" i="80"/>
  <c r="AG47" i="80"/>
  <c r="AG46" i="80"/>
  <c r="AG45" i="80"/>
  <c r="AG44" i="80"/>
  <c r="AG43" i="80"/>
  <c r="AG42" i="80"/>
  <c r="AG41" i="80"/>
  <c r="AG40" i="80"/>
  <c r="AF54" i="80"/>
  <c r="AF53" i="80"/>
  <c r="AF52" i="80"/>
  <c r="AF51" i="80"/>
  <c r="AF50" i="80"/>
  <c r="AF49" i="80"/>
  <c r="AF48" i="80"/>
  <c r="AF47" i="80"/>
  <c r="AF46" i="80"/>
  <c r="AF45" i="80"/>
  <c r="AF44" i="80"/>
  <c r="AF43" i="80"/>
  <c r="AF42" i="80"/>
  <c r="AF41" i="80"/>
  <c r="AF40" i="80"/>
  <c r="AE54" i="80"/>
  <c r="AE53" i="80"/>
  <c r="AE52" i="80"/>
  <c r="AE51" i="80"/>
  <c r="AE50" i="80"/>
  <c r="AE49" i="80"/>
  <c r="AE48" i="80"/>
  <c r="AE47" i="80"/>
  <c r="AE46" i="80"/>
  <c r="AE45" i="80"/>
  <c r="AE44" i="80"/>
  <c r="AE43" i="80"/>
  <c r="AE42" i="80"/>
  <c r="AE41" i="80"/>
  <c r="AE40" i="80"/>
  <c r="AC54" i="80"/>
  <c r="AC53" i="80"/>
  <c r="AC52" i="80"/>
  <c r="AC51" i="80"/>
  <c r="AC50" i="80"/>
  <c r="AC49" i="80"/>
  <c r="AC48" i="80"/>
  <c r="AC47" i="80"/>
  <c r="AC46" i="80"/>
  <c r="AC45" i="80"/>
  <c r="AC44" i="80"/>
  <c r="AC43" i="80"/>
  <c r="AC42" i="80"/>
  <c r="AC41" i="80"/>
  <c r="AC40" i="80"/>
  <c r="AC39" i="80"/>
  <c r="AC38" i="80"/>
  <c r="AC37" i="80"/>
  <c r="AC36" i="80"/>
  <c r="AC35" i="80"/>
  <c r="AC34" i="80"/>
  <c r="AC33" i="80"/>
  <c r="AC32" i="80"/>
  <c r="AC31" i="80"/>
  <c r="AC30" i="80"/>
  <c r="AC29" i="80"/>
  <c r="AC28" i="80"/>
  <c r="AC27" i="80"/>
  <c r="AC26" i="80"/>
  <c r="AC25" i="80"/>
  <c r="AC24" i="80"/>
  <c r="AC23" i="80"/>
  <c r="AC22" i="80"/>
  <c r="AB54" i="80"/>
  <c r="AB53" i="80"/>
  <c r="AB52" i="80"/>
  <c r="AB51" i="80"/>
  <c r="AB50" i="80"/>
  <c r="AB49" i="80"/>
  <c r="AB48" i="80"/>
  <c r="AB47" i="80"/>
  <c r="AB46" i="80"/>
  <c r="AB45" i="80"/>
  <c r="AB44" i="80"/>
  <c r="AB43" i="80"/>
  <c r="AB42" i="80"/>
  <c r="AB41" i="80"/>
  <c r="AB40" i="80"/>
  <c r="AB39" i="80"/>
  <c r="AB38" i="80"/>
  <c r="AB37" i="80"/>
  <c r="AB36" i="80"/>
  <c r="AB35" i="80"/>
  <c r="AB34" i="80"/>
  <c r="AB33" i="80"/>
  <c r="AB32" i="80"/>
  <c r="AB31" i="80"/>
  <c r="AB30" i="80"/>
  <c r="AB29" i="80"/>
  <c r="AB28" i="80"/>
  <c r="AB27" i="80"/>
  <c r="AB26" i="80"/>
  <c r="AB25" i="80"/>
  <c r="AB24" i="80"/>
  <c r="AB23" i="80"/>
  <c r="AB22" i="80"/>
  <c r="AA54" i="80"/>
  <c r="AA53" i="80"/>
  <c r="AA52" i="80"/>
  <c r="AA51" i="80"/>
  <c r="AA50" i="80"/>
  <c r="AA49" i="80"/>
  <c r="AA48" i="80"/>
  <c r="AA47" i="80"/>
  <c r="AA46" i="80"/>
  <c r="AA45" i="80"/>
  <c r="AA44" i="80"/>
  <c r="AA43" i="80"/>
  <c r="AA42" i="80"/>
  <c r="AA41" i="80"/>
  <c r="AA40" i="80"/>
  <c r="AA39" i="80"/>
  <c r="AA38" i="80"/>
  <c r="AA37" i="80"/>
  <c r="AA36" i="80"/>
  <c r="AA35" i="80"/>
  <c r="AA34" i="80"/>
  <c r="AA33" i="80"/>
  <c r="AA32" i="80"/>
  <c r="AA31" i="80"/>
  <c r="AA30" i="80"/>
  <c r="AA29" i="80"/>
  <c r="AA28" i="80"/>
  <c r="AA27" i="80"/>
  <c r="AA26" i="80"/>
  <c r="AA25" i="80"/>
  <c r="AA24" i="80"/>
  <c r="AA23" i="80"/>
  <c r="AA22" i="80"/>
  <c r="Y54" i="80"/>
  <c r="Y53" i="80"/>
  <c r="Y52" i="80"/>
  <c r="Y51" i="80"/>
  <c r="Y50" i="80"/>
  <c r="Y49" i="80"/>
  <c r="Y48" i="80"/>
  <c r="Y47" i="80"/>
  <c r="Y46" i="80"/>
  <c r="Y45" i="80"/>
  <c r="Y44" i="80"/>
  <c r="Y43" i="80"/>
  <c r="Y42" i="80"/>
  <c r="Y41" i="80"/>
  <c r="Y40" i="80"/>
  <c r="Y39" i="80"/>
  <c r="Y38" i="80"/>
  <c r="Y37" i="80"/>
  <c r="Y36" i="80"/>
  <c r="Y35" i="80"/>
  <c r="Y34" i="80"/>
  <c r="Y33" i="80"/>
  <c r="Y32" i="80"/>
  <c r="Y31" i="80"/>
  <c r="Y30" i="80"/>
  <c r="Y29" i="80"/>
  <c r="Y28" i="80"/>
  <c r="Y27" i="80"/>
  <c r="Y26" i="80"/>
  <c r="Y25" i="80"/>
  <c r="Y24" i="80"/>
  <c r="Y23" i="80"/>
  <c r="Y22" i="80"/>
  <c r="Z54" i="80"/>
  <c r="Z53" i="80"/>
  <c r="Z52" i="80"/>
  <c r="Z51" i="80"/>
  <c r="Z50" i="80"/>
  <c r="Z49" i="80"/>
  <c r="Z48" i="80"/>
  <c r="Z47" i="80"/>
  <c r="Z46" i="80"/>
  <c r="Z45" i="80"/>
  <c r="Z44" i="80"/>
  <c r="Z43" i="80"/>
  <c r="Z42" i="80"/>
  <c r="Z41" i="80"/>
  <c r="Z40" i="80"/>
  <c r="Z39" i="80"/>
  <c r="Z38" i="80"/>
  <c r="Z37" i="80"/>
  <c r="Z36" i="80"/>
  <c r="Z35" i="80"/>
  <c r="Z34" i="80"/>
  <c r="Z33" i="80"/>
  <c r="Z32" i="80"/>
  <c r="Z31" i="80"/>
  <c r="Z30" i="80"/>
  <c r="Z29" i="80"/>
  <c r="Z28" i="80"/>
  <c r="Z27" i="80"/>
  <c r="Z26" i="80"/>
  <c r="Z25" i="80"/>
  <c r="Z24" i="80"/>
  <c r="Z23" i="80"/>
  <c r="Z22" i="80"/>
  <c r="W43" i="78"/>
  <c r="W42" i="78"/>
  <c r="W41" i="78"/>
  <c r="W40" i="78"/>
  <c r="W39" i="78"/>
  <c r="W38" i="78"/>
  <c r="W37" i="78"/>
  <c r="W36" i="78"/>
  <c r="W35" i="78"/>
  <c r="W34" i="78"/>
  <c r="W33" i="78"/>
  <c r="W32" i="78"/>
  <c r="W31" i="78"/>
  <c r="W30" i="78"/>
  <c r="W29" i="78"/>
  <c r="V43" i="78"/>
  <c r="V42" i="78"/>
  <c r="V41" i="78"/>
  <c r="V40" i="78"/>
  <c r="V39" i="78"/>
  <c r="V38" i="78"/>
  <c r="V37" i="78"/>
  <c r="V36" i="78"/>
  <c r="V35" i="78"/>
  <c r="V34" i="78"/>
  <c r="V33" i="78"/>
  <c r="V32" i="78"/>
  <c r="V31" i="78"/>
  <c r="V30" i="78"/>
  <c r="V29" i="78"/>
  <c r="V28" i="78"/>
  <c r="V27" i="78"/>
  <c r="V26" i="78"/>
  <c r="V25" i="78"/>
  <c r="V24" i="78"/>
  <c r="V23" i="78"/>
  <c r="V22" i="78"/>
  <c r="V21" i="78"/>
  <c r="V20" i="78"/>
  <c r="V19" i="78"/>
  <c r="V18" i="78"/>
  <c r="V17" i="78"/>
  <c r="V16" i="78"/>
  <c r="V15" i="78"/>
  <c r="V14" i="78"/>
  <c r="V13" i="78"/>
  <c r="V12" i="78"/>
  <c r="V11" i="78"/>
  <c r="S43" i="78"/>
  <c r="S42" i="78"/>
  <c r="S41" i="78"/>
  <c r="S40" i="78"/>
  <c r="S39" i="78"/>
  <c r="S38" i="78"/>
  <c r="S37" i="78"/>
  <c r="S36" i="78"/>
  <c r="S35" i="78"/>
  <c r="S34" i="78"/>
  <c r="S33" i="78"/>
  <c r="S32" i="78"/>
  <c r="S31" i="78"/>
  <c r="S30" i="78"/>
  <c r="S29" i="78"/>
  <c r="S28" i="78"/>
  <c r="S27" i="78"/>
  <c r="S26" i="78"/>
  <c r="S25" i="78"/>
  <c r="S24" i="78"/>
  <c r="S23" i="78"/>
  <c r="S22" i="78"/>
  <c r="S21" i="78"/>
  <c r="S20" i="78"/>
  <c r="S19" i="78"/>
  <c r="S18" i="78"/>
  <c r="S17" i="78"/>
  <c r="S16" i="78"/>
  <c r="S15" i="78"/>
  <c r="S14" i="78"/>
  <c r="S13" i="78"/>
  <c r="S12" i="78"/>
  <c r="S11" i="78"/>
  <c r="R43" i="78"/>
  <c r="R42" i="78"/>
  <c r="R41" i="78"/>
  <c r="R40" i="78"/>
  <c r="R39" i="78"/>
  <c r="R38" i="78"/>
  <c r="R37" i="78"/>
  <c r="R36" i="78"/>
  <c r="R35" i="78"/>
  <c r="R34" i="78"/>
  <c r="R33" i="78"/>
  <c r="R32" i="78"/>
  <c r="R31" i="78"/>
  <c r="R30" i="78"/>
  <c r="R29" i="78"/>
  <c r="R28" i="78"/>
  <c r="R27" i="78"/>
  <c r="R26" i="78"/>
  <c r="R25" i="78"/>
  <c r="R24" i="78"/>
  <c r="R23" i="78"/>
  <c r="R22" i="78"/>
  <c r="R21" i="78"/>
  <c r="R20" i="78"/>
  <c r="R19" i="78"/>
  <c r="R18" i="78"/>
  <c r="R17" i="78"/>
  <c r="R16" i="78"/>
  <c r="R15" i="78"/>
  <c r="R14" i="78"/>
  <c r="R13" i="78"/>
  <c r="R12" i="78"/>
  <c r="R11" i="78"/>
  <c r="V43" i="76"/>
  <c r="V42" i="76"/>
  <c r="V41" i="76"/>
  <c r="V40" i="76"/>
  <c r="V39" i="76"/>
  <c r="V38" i="76"/>
  <c r="V37" i="76"/>
  <c r="V36" i="76"/>
  <c r="V35" i="76"/>
  <c r="V34" i="76"/>
  <c r="V33" i="76"/>
  <c r="V32" i="76"/>
  <c r="V31" i="76"/>
  <c r="V30" i="76"/>
  <c r="V29" i="76"/>
  <c r="U43" i="76"/>
  <c r="U42" i="76"/>
  <c r="U41" i="76"/>
  <c r="U40" i="76"/>
  <c r="U39" i="76"/>
  <c r="U38" i="76"/>
  <c r="U37" i="76"/>
  <c r="U36" i="76"/>
  <c r="U35" i="76"/>
  <c r="U34" i="76"/>
  <c r="U33" i="76"/>
  <c r="U32" i="76"/>
  <c r="U31" i="76"/>
  <c r="U30" i="76"/>
  <c r="U29" i="76"/>
  <c r="V14" i="75"/>
  <c r="R43" i="76"/>
  <c r="R42" i="76"/>
  <c r="R41" i="76"/>
  <c r="R40" i="76"/>
  <c r="R39" i="76"/>
  <c r="R38" i="76"/>
  <c r="R37" i="76"/>
  <c r="R36" i="76"/>
  <c r="R35" i="76"/>
  <c r="R34" i="76"/>
  <c r="R33" i="76"/>
  <c r="R32" i="76"/>
  <c r="R31" i="76"/>
  <c r="R30" i="76"/>
  <c r="R29" i="76"/>
  <c r="R28" i="76"/>
  <c r="R27" i="76"/>
  <c r="R26" i="76"/>
  <c r="R25" i="76"/>
  <c r="R24" i="76"/>
  <c r="R23" i="76"/>
  <c r="R22" i="76"/>
  <c r="R21" i="76"/>
  <c r="R20" i="76"/>
  <c r="R19" i="76"/>
  <c r="R18" i="76"/>
  <c r="R17" i="76"/>
  <c r="R16" i="76"/>
  <c r="R15" i="76"/>
  <c r="R14" i="76"/>
  <c r="R13" i="76"/>
  <c r="R12" i="76"/>
  <c r="R11" i="76"/>
  <c r="Q43" i="76"/>
  <c r="Q42" i="76"/>
  <c r="Q41" i="76"/>
  <c r="Q40" i="76"/>
  <c r="Q39" i="76"/>
  <c r="Q38" i="76"/>
  <c r="Q37" i="76"/>
  <c r="Q36" i="76"/>
  <c r="Q35" i="76"/>
  <c r="Q34" i="76"/>
  <c r="Q33" i="76"/>
  <c r="Q32" i="76"/>
  <c r="Q31" i="76"/>
  <c r="Q30" i="76"/>
  <c r="Q29" i="76"/>
  <c r="Q28" i="76"/>
  <c r="Q27" i="76"/>
  <c r="Q26" i="76"/>
  <c r="Q25" i="76"/>
  <c r="Q24" i="76"/>
  <c r="Q23" i="76"/>
  <c r="Q22" i="76"/>
  <c r="Q21" i="76"/>
  <c r="Q20" i="76"/>
  <c r="Q19" i="76"/>
  <c r="Q18" i="76"/>
  <c r="Q17" i="76"/>
  <c r="Q16" i="76"/>
  <c r="Q15" i="76"/>
  <c r="Q14" i="76"/>
  <c r="Q13" i="76"/>
  <c r="Q12" i="76"/>
  <c r="Q11" i="76"/>
  <c r="V15" i="75"/>
  <c r="V16" i="75"/>
  <c r="V17" i="75"/>
  <c r="V18" i="75"/>
  <c r="V19" i="75"/>
  <c r="V20" i="75"/>
  <c r="V21" i="75"/>
  <c r="V22" i="75"/>
  <c r="V23" i="75"/>
  <c r="V24" i="75"/>
  <c r="V25" i="75"/>
  <c r="V26" i="75"/>
  <c r="V27" i="75"/>
  <c r="V28" i="75"/>
  <c r="V29" i="75"/>
  <c r="V30" i="75"/>
  <c r="V31" i="75"/>
  <c r="V32" i="75"/>
  <c r="V33" i="75"/>
  <c r="V34" i="75"/>
  <c r="V35" i="75"/>
  <c r="V36" i="75"/>
  <c r="V37" i="75"/>
  <c r="V38" i="75"/>
  <c r="L20" i="42"/>
  <c r="M20" i="42" s="1"/>
  <c r="AA43" i="78"/>
  <c r="AA42" i="78"/>
  <c r="AA41" i="78"/>
  <c r="W29" i="76" l="1"/>
  <c r="W30" i="76"/>
  <c r="W31" i="76"/>
  <c r="W32" i="76"/>
  <c r="W33" i="76"/>
  <c r="W34" i="76"/>
  <c r="W35" i="76"/>
  <c r="W36" i="76"/>
  <c r="W37" i="76"/>
  <c r="W38" i="76"/>
  <c r="W39" i="76"/>
  <c r="W40" i="76"/>
  <c r="W41" i="76"/>
  <c r="W42" i="76"/>
  <c r="W43" i="76"/>
  <c r="S29" i="76"/>
  <c r="AA29" i="76" s="1"/>
  <c r="Y29" i="76"/>
  <c r="S30" i="76"/>
  <c r="AA30" i="76" s="1"/>
  <c r="Y30" i="76"/>
  <c r="S31" i="76"/>
  <c r="AA31" i="76" s="1"/>
  <c r="Y31" i="76"/>
  <c r="S32" i="76"/>
  <c r="AA32" i="76" s="1"/>
  <c r="Y32" i="76"/>
  <c r="S33" i="76"/>
  <c r="AA33" i="76" s="1"/>
  <c r="Y33" i="76"/>
  <c r="S34" i="76"/>
  <c r="AA34" i="76" s="1"/>
  <c r="Y34" i="76"/>
  <c r="S35" i="76"/>
  <c r="AA35" i="76" s="1"/>
  <c r="Y35" i="76"/>
  <c r="S36" i="76"/>
  <c r="AA36" i="76" s="1"/>
  <c r="Y36" i="76"/>
  <c r="S37" i="76"/>
  <c r="AA37" i="76" s="1"/>
  <c r="Y37" i="76"/>
  <c r="S38" i="76"/>
  <c r="AA38" i="76" s="1"/>
  <c r="Y38" i="76"/>
  <c r="S39" i="76"/>
  <c r="AA39" i="76" s="1"/>
  <c r="Y39" i="76"/>
  <c r="S40" i="76"/>
  <c r="AA40" i="76" s="1"/>
  <c r="Y40" i="76"/>
  <c r="S41" i="76"/>
  <c r="AA41" i="76" s="1"/>
  <c r="Y41" i="76"/>
  <c r="S42" i="76"/>
  <c r="AA42" i="76" s="1"/>
  <c r="Y42" i="76"/>
  <c r="S43" i="76"/>
  <c r="AA43" i="76" s="1"/>
  <c r="Y43" i="76"/>
  <c r="Z29" i="76"/>
  <c r="Z30" i="76"/>
  <c r="Z31" i="76"/>
  <c r="Z32" i="76"/>
  <c r="Z33" i="76"/>
  <c r="Z34" i="76"/>
  <c r="Z35" i="76"/>
  <c r="Z36" i="76"/>
  <c r="Z37" i="76"/>
  <c r="Z38" i="76"/>
  <c r="Z39" i="76"/>
  <c r="Z40" i="76"/>
  <c r="Z41" i="76"/>
  <c r="Z42" i="76"/>
  <c r="Z43" i="76"/>
  <c r="Z41" i="78"/>
  <c r="AB41" i="78" s="1"/>
  <c r="T41" i="78"/>
  <c r="X41" i="78"/>
  <c r="Z42" i="78"/>
  <c r="AB42" i="78" s="1"/>
  <c r="T42" i="78"/>
  <c r="X42" i="78"/>
  <c r="Z43" i="78"/>
  <c r="AB43" i="78" s="1"/>
  <c r="T43" i="78"/>
  <c r="X43" i="78"/>
  <c r="D20" i="28" l="1"/>
  <c r="L10" i="78" l="1"/>
  <c r="K30" i="80"/>
  <c r="K37" i="80"/>
  <c r="L10" i="90"/>
  <c r="D35" i="28"/>
  <c r="I15" i="30" l="1"/>
  <c r="L20" i="90"/>
  <c r="L30" i="90" s="1"/>
  <c r="L17" i="78"/>
  <c r="L17" i="76"/>
  <c r="P37" i="80"/>
  <c r="P39" i="80" s="1"/>
  <c r="O37" i="80"/>
  <c r="O39" i="80" s="1"/>
  <c r="N37" i="80"/>
  <c r="N39" i="80" s="1"/>
  <c r="M37" i="80"/>
  <c r="M39" i="80" s="1"/>
  <c r="L37" i="80"/>
  <c r="L39" i="80" s="1"/>
  <c r="P30" i="80"/>
  <c r="P32" i="80" s="1"/>
  <c r="O30" i="80"/>
  <c r="O32" i="80" s="1"/>
  <c r="N30" i="80"/>
  <c r="N32" i="80" s="1"/>
  <c r="M30" i="80"/>
  <c r="M32" i="80" s="1"/>
  <c r="L30" i="80"/>
  <c r="L32" i="80" s="1"/>
  <c r="L42" i="78"/>
  <c r="L41" i="78"/>
  <c r="L32" i="78"/>
  <c r="L31" i="78"/>
  <c r="I12" i="80"/>
  <c r="L47" i="78" l="1"/>
  <c r="L37" i="78"/>
  <c r="L33" i="80"/>
  <c r="M33" i="80"/>
  <c r="N33" i="80"/>
  <c r="O33" i="80"/>
  <c r="P33" i="80"/>
  <c r="P40" i="80"/>
  <c r="O40" i="80"/>
  <c r="N40" i="80"/>
  <c r="M40" i="80"/>
  <c r="L40" i="80"/>
  <c r="W28" i="78" l="1"/>
  <c r="W27" i="78"/>
  <c r="W26" i="78"/>
  <c r="W25" i="78"/>
  <c r="W24" i="78"/>
  <c r="W23" i="78"/>
  <c r="W22" i="78"/>
  <c r="W21" i="78"/>
  <c r="W20" i="78"/>
  <c r="W19" i="78"/>
  <c r="W18" i="78"/>
  <c r="W17" i="78"/>
  <c r="W16" i="78"/>
  <c r="W15" i="78"/>
  <c r="W14" i="78"/>
  <c r="W13" i="78"/>
  <c r="W12" i="78"/>
  <c r="W11" i="78"/>
  <c r="AF39" i="80"/>
  <c r="AF38" i="80"/>
  <c r="AF37" i="80"/>
  <c r="AF36" i="80"/>
  <c r="AF35" i="80"/>
  <c r="AF34" i="80"/>
  <c r="AF33" i="80"/>
  <c r="AF32" i="80"/>
  <c r="AF31" i="80"/>
  <c r="AF30" i="80"/>
  <c r="AF29" i="80"/>
  <c r="AF28" i="80"/>
  <c r="AF27" i="80"/>
  <c r="AF26" i="80"/>
  <c r="AF25" i="80"/>
  <c r="AF24" i="80"/>
  <c r="AF23" i="80"/>
  <c r="AF22" i="80"/>
  <c r="AG39" i="80"/>
  <c r="AG38" i="80"/>
  <c r="AG37" i="80"/>
  <c r="AG36" i="80"/>
  <c r="AG35" i="80"/>
  <c r="AG34" i="80"/>
  <c r="AG33" i="80"/>
  <c r="AG32" i="80"/>
  <c r="AG31" i="80"/>
  <c r="AG30" i="80"/>
  <c r="AG29" i="80"/>
  <c r="AG28" i="80"/>
  <c r="AG27" i="80"/>
  <c r="AG26" i="80"/>
  <c r="AG25" i="80"/>
  <c r="AG24" i="80"/>
  <c r="AG23" i="80"/>
  <c r="AG22" i="80"/>
  <c r="AH39" i="80"/>
  <c r="AH38" i="80"/>
  <c r="AH37" i="80"/>
  <c r="AH36" i="80"/>
  <c r="AH35" i="80"/>
  <c r="AH34" i="80"/>
  <c r="AH33" i="80"/>
  <c r="AH32" i="80"/>
  <c r="AH31" i="80"/>
  <c r="AH30" i="80"/>
  <c r="AH29" i="80"/>
  <c r="AH28" i="80"/>
  <c r="AH27" i="80"/>
  <c r="AH26" i="80"/>
  <c r="AH25" i="80"/>
  <c r="AH24" i="80"/>
  <c r="AH23" i="80"/>
  <c r="AH22" i="80"/>
  <c r="AI39" i="80"/>
  <c r="AI38" i="80"/>
  <c r="AI37" i="80"/>
  <c r="AI36" i="80"/>
  <c r="AI35" i="80"/>
  <c r="AI34" i="80"/>
  <c r="AI33" i="80"/>
  <c r="AI32" i="80"/>
  <c r="AI31" i="80"/>
  <c r="AI30" i="80"/>
  <c r="AI29" i="80"/>
  <c r="AI28" i="80"/>
  <c r="AI27" i="80"/>
  <c r="AI26" i="80"/>
  <c r="AI25" i="80"/>
  <c r="AI24" i="80"/>
  <c r="AI23" i="80"/>
  <c r="AI22" i="80"/>
  <c r="AE39" i="80"/>
  <c r="AE38" i="80"/>
  <c r="AE37" i="80"/>
  <c r="AE36" i="80"/>
  <c r="AE35" i="80"/>
  <c r="AE34" i="80"/>
  <c r="AE33" i="80"/>
  <c r="AE32" i="80"/>
  <c r="AE31" i="80"/>
  <c r="AE30" i="80"/>
  <c r="AE29" i="80"/>
  <c r="AE28" i="80"/>
  <c r="AE27" i="80"/>
  <c r="AE26" i="80"/>
  <c r="AE25" i="80"/>
  <c r="AE24" i="80"/>
  <c r="AE23" i="80"/>
  <c r="AE22" i="80"/>
  <c r="M35" i="90"/>
  <c r="L35" i="90"/>
  <c r="Q35" i="90"/>
  <c r="P35" i="90"/>
  <c r="H15" i="30"/>
  <c r="H14" i="30"/>
  <c r="J33" i="30" l="1"/>
  <c r="J35" i="30"/>
  <c r="J34" i="30"/>
  <c r="K35" i="30"/>
  <c r="K34" i="30"/>
  <c r="L35" i="30"/>
  <c r="L34" i="30"/>
  <c r="M35" i="30"/>
  <c r="M34" i="30"/>
  <c r="N35" i="30"/>
  <c r="N34" i="30"/>
  <c r="N33" i="30"/>
  <c r="M33" i="30"/>
  <c r="L33" i="30"/>
  <c r="K33" i="30"/>
  <c r="N28" i="30"/>
  <c r="M28" i="30"/>
  <c r="L28" i="30"/>
  <c r="K28" i="30"/>
  <c r="J28" i="30"/>
  <c r="R7" i="30"/>
  <c r="S7" i="30" s="1"/>
  <c r="S35" i="90"/>
  <c r="R35" i="90"/>
  <c r="E6" i="90" s="1"/>
  <c r="O35" i="90"/>
  <c r="T35" i="90"/>
  <c r="N35" i="90"/>
  <c r="C6" i="90" s="1"/>
  <c r="U35" i="90"/>
  <c r="D6" i="90" l="1"/>
  <c r="D7" i="90"/>
  <c r="F6" i="90"/>
  <c r="F7" i="90"/>
  <c r="G7" i="90" s="1"/>
  <c r="G6" i="90"/>
  <c r="AE7" i="30"/>
  <c r="R8" i="30"/>
  <c r="H7" i="90"/>
  <c r="V35" i="90"/>
  <c r="W35" i="90"/>
  <c r="AE8" i="30" l="1"/>
  <c r="S8" i="30"/>
  <c r="T7" i="30" a="1"/>
  <c r="T7" i="30" s="1"/>
  <c r="X7" i="30" a="1"/>
  <c r="X7" i="30" s="1"/>
  <c r="W7" i="30" a="1"/>
  <c r="W7" i="30" s="1"/>
  <c r="V7" i="30" a="1"/>
  <c r="V7" i="30" s="1"/>
  <c r="U7" i="30" a="1"/>
  <c r="U7" i="30" s="1"/>
  <c r="R9" i="30"/>
  <c r="H6" i="90"/>
  <c r="H42" i="90" s="1"/>
  <c r="AE9" i="30" l="1"/>
  <c r="S9" i="30"/>
  <c r="X8" i="30" a="1"/>
  <c r="X8" i="30" s="1"/>
  <c r="W8" i="30" a="1"/>
  <c r="W8" i="30" s="1"/>
  <c r="V8" i="30" a="1"/>
  <c r="V8" i="30" s="1"/>
  <c r="U8" i="30" a="1"/>
  <c r="U8" i="30" s="1"/>
  <c r="T8" i="30" a="1"/>
  <c r="T8" i="30" s="1"/>
  <c r="R10" i="30"/>
  <c r="AE10" i="30" l="1"/>
  <c r="S10" i="30"/>
  <c r="X9" i="30" a="1"/>
  <c r="X9" i="30" s="1"/>
  <c r="W9" i="30" a="1"/>
  <c r="W9" i="30" s="1"/>
  <c r="V9" i="30" a="1"/>
  <c r="V9" i="30" s="1"/>
  <c r="U9" i="30" a="1"/>
  <c r="U9" i="30" s="1"/>
  <c r="T9" i="30" a="1"/>
  <c r="T9" i="30" s="1"/>
  <c r="R11" i="30"/>
  <c r="AE11" i="30" l="1"/>
  <c r="S11" i="30"/>
  <c r="X10" i="30" a="1"/>
  <c r="X10" i="30" s="1"/>
  <c r="W10" i="30" a="1"/>
  <c r="W10" i="30" s="1"/>
  <c r="V10" i="30" a="1"/>
  <c r="V10" i="30" s="1"/>
  <c r="U10" i="30" a="1"/>
  <c r="U10" i="30" s="1"/>
  <c r="T10" i="30" a="1"/>
  <c r="T10" i="30" s="1"/>
  <c r="R12" i="30"/>
  <c r="B6" i="79"/>
  <c r="AC7" i="30"/>
  <c r="Q6" i="79" l="1"/>
  <c r="AG7" i="30" a="1"/>
  <c r="AG7" i="30" s="1"/>
  <c r="AH7" i="30" a="1"/>
  <c r="AH7" i="30" s="1"/>
  <c r="AI7" i="30" a="1"/>
  <c r="AI7" i="30" s="1"/>
  <c r="AJ7" i="30" a="1"/>
  <c r="AJ7" i="30" s="1"/>
  <c r="AF7" i="30" a="1"/>
  <c r="AF7" i="30" s="1"/>
  <c r="AE12" i="30"/>
  <c r="S12" i="30"/>
  <c r="X11" i="30" a="1"/>
  <c r="X11" i="30" s="1"/>
  <c r="W11" i="30" a="1"/>
  <c r="W11" i="30" s="1"/>
  <c r="V11" i="30" a="1"/>
  <c r="V11" i="30" s="1"/>
  <c r="U11" i="30" a="1"/>
  <c r="U11" i="30" s="1"/>
  <c r="T11" i="30" a="1"/>
  <c r="T11" i="30" s="1"/>
  <c r="R13" i="30"/>
  <c r="B6" i="80"/>
  <c r="B7" i="79"/>
  <c r="AE22" i="79"/>
  <c r="AD22" i="79"/>
  <c r="AC22" i="79"/>
  <c r="AB22" i="79"/>
  <c r="AE21" i="79"/>
  <c r="AD21" i="79"/>
  <c r="AC21" i="79"/>
  <c r="AB21" i="79"/>
  <c r="Y6" i="79"/>
  <c r="X6" i="79"/>
  <c r="W6" i="79"/>
  <c r="V6" i="79"/>
  <c r="Y5" i="79"/>
  <c r="X5" i="79"/>
  <c r="W5" i="79"/>
  <c r="V5" i="79"/>
  <c r="Q7" i="79" l="1"/>
  <c r="AE13" i="30"/>
  <c r="S13" i="30"/>
  <c r="X12" i="30" a="1"/>
  <c r="X12" i="30" s="1"/>
  <c r="W12" i="30" a="1"/>
  <c r="W12" i="30" s="1"/>
  <c r="V12" i="30" a="1"/>
  <c r="V12" i="30" s="1"/>
  <c r="U12" i="30" a="1"/>
  <c r="U12" i="30" s="1"/>
  <c r="T12" i="30" a="1"/>
  <c r="T12" i="30" s="1"/>
  <c r="R14" i="30"/>
  <c r="U8" i="78"/>
  <c r="U41" i="78"/>
  <c r="Y41" i="78"/>
  <c r="U42" i="78"/>
  <c r="Y42" i="78"/>
  <c r="U43" i="78"/>
  <c r="Y43" i="78"/>
  <c r="B7" i="80"/>
  <c r="B8" i="79"/>
  <c r="Q8" i="79" l="1"/>
  <c r="AE14" i="30"/>
  <c r="S14" i="30"/>
  <c r="X13" i="30" a="1"/>
  <c r="X13" i="30" s="1"/>
  <c r="W13" i="30" a="1"/>
  <c r="W13" i="30" s="1"/>
  <c r="V13" i="30" a="1"/>
  <c r="V13" i="30" s="1"/>
  <c r="U13" i="30" a="1"/>
  <c r="U13" i="30" s="1"/>
  <c r="T13" i="30" a="1"/>
  <c r="T13" i="30" s="1"/>
  <c r="R15" i="30"/>
  <c r="AC43" i="78"/>
  <c r="AC42" i="78"/>
  <c r="AC41" i="78"/>
  <c r="B8" i="80"/>
  <c r="B9" i="79"/>
  <c r="Q9" i="79" l="1"/>
  <c r="AE15" i="30"/>
  <c r="S15" i="30"/>
  <c r="X14" i="30" a="1"/>
  <c r="X14" i="30" s="1"/>
  <c r="W14" i="30" a="1"/>
  <c r="W14" i="30" s="1"/>
  <c r="V14" i="30" a="1"/>
  <c r="V14" i="30" s="1"/>
  <c r="U14" i="30" a="1"/>
  <c r="U14" i="30" s="1"/>
  <c r="T14" i="30" a="1"/>
  <c r="T14" i="30" s="1"/>
  <c r="R16" i="30"/>
  <c r="B9" i="80"/>
  <c r="B10" i="79"/>
  <c r="Q10" i="79" l="1"/>
  <c r="AE16" i="30"/>
  <c r="S16" i="30"/>
  <c r="X15" i="30" a="1"/>
  <c r="X15" i="30" s="1"/>
  <c r="W15" i="30" a="1"/>
  <c r="W15" i="30" s="1"/>
  <c r="V15" i="30" a="1"/>
  <c r="V15" i="30" s="1"/>
  <c r="U15" i="30" a="1"/>
  <c r="U15" i="30" s="1"/>
  <c r="T15" i="30" a="1"/>
  <c r="T15" i="30" s="1"/>
  <c r="R17" i="30"/>
  <c r="B10" i="80"/>
  <c r="B11" i="79"/>
  <c r="Q11" i="79" l="1"/>
  <c r="AE17" i="30"/>
  <c r="S17" i="30"/>
  <c r="X16" i="30" a="1"/>
  <c r="X16" i="30" s="1"/>
  <c r="W16" i="30" a="1"/>
  <c r="W16" i="30" s="1"/>
  <c r="V16" i="30" a="1"/>
  <c r="V16" i="30" s="1"/>
  <c r="U16" i="30" a="1"/>
  <c r="U16" i="30" s="1"/>
  <c r="T16" i="30" a="1"/>
  <c r="T16" i="30" s="1"/>
  <c r="R18" i="30"/>
  <c r="B11" i="80"/>
  <c r="B12" i="79"/>
  <c r="Q12" i="79" l="1"/>
  <c r="AE18" i="30"/>
  <c r="S18" i="30"/>
  <c r="X17" i="30" a="1"/>
  <c r="X17" i="30" s="1"/>
  <c r="W17" i="30" a="1"/>
  <c r="W17" i="30" s="1"/>
  <c r="V17" i="30" a="1"/>
  <c r="V17" i="30" s="1"/>
  <c r="U17" i="30" a="1"/>
  <c r="U17" i="30" s="1"/>
  <c r="T17" i="30" a="1"/>
  <c r="T17" i="30" s="1"/>
  <c r="R19" i="30"/>
  <c r="B12" i="80"/>
  <c r="B13" i="79"/>
  <c r="Q13" i="79" l="1"/>
  <c r="AE19" i="30"/>
  <c r="S19" i="30"/>
  <c r="X18" i="30" a="1"/>
  <c r="X18" i="30" s="1"/>
  <c r="W18" i="30" a="1"/>
  <c r="W18" i="30" s="1"/>
  <c r="V18" i="30" a="1"/>
  <c r="V18" i="30" s="1"/>
  <c r="U18" i="30" a="1"/>
  <c r="U18" i="30" s="1"/>
  <c r="T18" i="30" a="1"/>
  <c r="T18" i="30" s="1"/>
  <c r="R20" i="30"/>
  <c r="B13" i="80"/>
  <c r="B14" i="79"/>
  <c r="Q14" i="79" l="1"/>
  <c r="AE20" i="30"/>
  <c r="S20" i="30"/>
  <c r="X19" i="30" a="1"/>
  <c r="X19" i="30" s="1"/>
  <c r="W19" i="30" a="1"/>
  <c r="W19" i="30" s="1"/>
  <c r="V19" i="30" a="1"/>
  <c r="V19" i="30" s="1"/>
  <c r="U19" i="30" a="1"/>
  <c r="U19" i="30" s="1"/>
  <c r="T19" i="30" a="1"/>
  <c r="T19" i="30" s="1"/>
  <c r="R21" i="30"/>
  <c r="B14" i="80"/>
  <c r="B15" i="79"/>
  <c r="Q15" i="79" l="1"/>
  <c r="AE21" i="30"/>
  <c r="S21" i="30"/>
  <c r="X20" i="30" a="1"/>
  <c r="X20" i="30" s="1"/>
  <c r="W20" i="30" a="1"/>
  <c r="W20" i="30" s="1"/>
  <c r="V20" i="30" a="1"/>
  <c r="V20" i="30" s="1"/>
  <c r="U20" i="30" a="1"/>
  <c r="U20" i="30" s="1"/>
  <c r="T20" i="30" a="1"/>
  <c r="T20" i="30" s="1"/>
  <c r="R22" i="30"/>
  <c r="B15" i="80"/>
  <c r="B16" i="79"/>
  <c r="Q16" i="79" l="1"/>
  <c r="AE22" i="30"/>
  <c r="S22" i="30"/>
  <c r="X21" i="30" a="1"/>
  <c r="X21" i="30" s="1"/>
  <c r="W21" i="30" a="1"/>
  <c r="W21" i="30" s="1"/>
  <c r="V21" i="30" a="1"/>
  <c r="V21" i="30" s="1"/>
  <c r="U21" i="30" a="1"/>
  <c r="U21" i="30" s="1"/>
  <c r="T21" i="30" a="1"/>
  <c r="T21" i="30" s="1"/>
  <c r="R23" i="30"/>
  <c r="B16" i="80"/>
  <c r="B17" i="79"/>
  <c r="Q17" i="79" l="1"/>
  <c r="AE23" i="30"/>
  <c r="S23" i="30"/>
  <c r="X22" i="30" a="1"/>
  <c r="X22" i="30" s="1"/>
  <c r="W22" i="30" a="1"/>
  <c r="W22" i="30" s="1"/>
  <c r="V22" i="30" a="1"/>
  <c r="V22" i="30" s="1"/>
  <c r="U22" i="30" a="1"/>
  <c r="U22" i="30" s="1"/>
  <c r="T22" i="30" a="1"/>
  <c r="T22" i="30" s="1"/>
  <c r="R24" i="30"/>
  <c r="B17" i="80"/>
  <c r="B18" i="79"/>
  <c r="Q18" i="79" l="1"/>
  <c r="AE24" i="30"/>
  <c r="S24" i="30"/>
  <c r="X23" i="30" a="1"/>
  <c r="X23" i="30" s="1"/>
  <c r="W23" i="30" a="1"/>
  <c r="W23" i="30" s="1"/>
  <c r="V23" i="30" a="1"/>
  <c r="V23" i="30" s="1"/>
  <c r="U23" i="30" a="1"/>
  <c r="U23" i="30" s="1"/>
  <c r="T23" i="30" a="1"/>
  <c r="T23" i="30" s="1"/>
  <c r="R25" i="30"/>
  <c r="B18" i="80"/>
  <c r="B19" i="79"/>
  <c r="Q19" i="79" l="1"/>
  <c r="AE25" i="30"/>
  <c r="S25" i="30"/>
  <c r="X24" i="30" a="1"/>
  <c r="X24" i="30" s="1"/>
  <c r="W24" i="30" a="1"/>
  <c r="W24" i="30" s="1"/>
  <c r="V24" i="30" a="1"/>
  <c r="V24" i="30" s="1"/>
  <c r="U24" i="30" a="1"/>
  <c r="U24" i="30" s="1"/>
  <c r="T24" i="30" a="1"/>
  <c r="T24" i="30" s="1"/>
  <c r="R26" i="30"/>
  <c r="B19" i="80"/>
  <c r="B20" i="79"/>
  <c r="Q20" i="79" l="1"/>
  <c r="AE26" i="30"/>
  <c r="S26" i="30"/>
  <c r="X25" i="30" a="1"/>
  <c r="X25" i="30" s="1"/>
  <c r="W25" i="30" a="1"/>
  <c r="W25" i="30" s="1"/>
  <c r="V25" i="30" a="1"/>
  <c r="V25" i="30" s="1"/>
  <c r="U25" i="30" a="1"/>
  <c r="U25" i="30" s="1"/>
  <c r="T25" i="30" a="1"/>
  <c r="T25" i="30" s="1"/>
  <c r="R27" i="30"/>
  <c r="B20" i="80"/>
  <c r="B21" i="79"/>
  <c r="Q21" i="79" l="1"/>
  <c r="AE27" i="30"/>
  <c r="S27" i="30"/>
  <c r="X26" i="30" a="1"/>
  <c r="X26" i="30" s="1"/>
  <c r="W26" i="30" a="1"/>
  <c r="W26" i="30" s="1"/>
  <c r="V26" i="30" a="1"/>
  <c r="V26" i="30" s="1"/>
  <c r="U26" i="30" a="1"/>
  <c r="U26" i="30" s="1"/>
  <c r="T26" i="30" a="1"/>
  <c r="T26" i="30" s="1"/>
  <c r="R28" i="30"/>
  <c r="B21" i="80"/>
  <c r="B22" i="79"/>
  <c r="Q22" i="79" l="1"/>
  <c r="AE28" i="30"/>
  <c r="S28" i="30"/>
  <c r="X27" i="30" a="1"/>
  <c r="X27" i="30" s="1"/>
  <c r="W27" i="30" a="1"/>
  <c r="W27" i="30" s="1"/>
  <c r="V27" i="30" a="1"/>
  <c r="V27" i="30" s="1"/>
  <c r="U27" i="30" a="1"/>
  <c r="U27" i="30" s="1"/>
  <c r="T27" i="30" a="1"/>
  <c r="T27" i="30" s="1"/>
  <c r="R29" i="30"/>
  <c r="B22" i="80"/>
  <c r="B23" i="79"/>
  <c r="Q23" i="79" l="1"/>
  <c r="AE29" i="30"/>
  <c r="S29" i="30"/>
  <c r="X28" i="30" a="1"/>
  <c r="X28" i="30" s="1"/>
  <c r="W28" i="30" a="1"/>
  <c r="W28" i="30" s="1"/>
  <c r="V28" i="30" a="1"/>
  <c r="V28" i="30" s="1"/>
  <c r="U28" i="30" a="1"/>
  <c r="U28" i="30" s="1"/>
  <c r="T28" i="30" a="1"/>
  <c r="T28" i="30" s="1"/>
  <c r="R30" i="30"/>
  <c r="B23" i="80"/>
  <c r="B24" i="79"/>
  <c r="Q24" i="79" l="1"/>
  <c r="AE30" i="30"/>
  <c r="S30" i="30"/>
  <c r="X29" i="30" a="1"/>
  <c r="X29" i="30" s="1"/>
  <c r="W29" i="30" a="1"/>
  <c r="W29" i="30" s="1"/>
  <c r="V29" i="30" a="1"/>
  <c r="V29" i="30" s="1"/>
  <c r="U29" i="30" a="1"/>
  <c r="U29" i="30" s="1"/>
  <c r="T29" i="30" a="1"/>
  <c r="T29" i="30" s="1"/>
  <c r="R31" i="30"/>
  <c r="B24" i="80"/>
  <c r="B25" i="79"/>
  <c r="Q25" i="79" l="1"/>
  <c r="AE31" i="30"/>
  <c r="S31" i="30"/>
  <c r="X30" i="30" a="1"/>
  <c r="X30" i="30" s="1"/>
  <c r="W30" i="30" a="1"/>
  <c r="W30" i="30" s="1"/>
  <c r="V30" i="30" a="1"/>
  <c r="V30" i="30" s="1"/>
  <c r="U30" i="30" a="1"/>
  <c r="U30" i="30" s="1"/>
  <c r="T30" i="30" a="1"/>
  <c r="T30" i="30" s="1"/>
  <c r="R32" i="30"/>
  <c r="B25" i="80"/>
  <c r="B26" i="79"/>
  <c r="Q26" i="79" l="1"/>
  <c r="H26" i="79"/>
  <c r="G26" i="79"/>
  <c r="K26" i="79" s="1"/>
  <c r="F26" i="79"/>
  <c r="C26" i="79"/>
  <c r="D26" i="79" s="1"/>
  <c r="E26" i="79" s="1"/>
  <c r="AE32" i="30"/>
  <c r="S32" i="30"/>
  <c r="X31" i="30" a="1"/>
  <c r="X31" i="30" s="1"/>
  <c r="W31" i="30" a="1"/>
  <c r="W31" i="30" s="1"/>
  <c r="V31" i="30" a="1"/>
  <c r="V31" i="30" s="1"/>
  <c r="U31" i="30" a="1"/>
  <c r="U31" i="30" s="1"/>
  <c r="T31" i="30" a="1"/>
  <c r="T31" i="30" s="1"/>
  <c r="R33" i="30"/>
  <c r="B26" i="80"/>
  <c r="B27" i="79"/>
  <c r="Q27" i="79" l="1"/>
  <c r="H27" i="79"/>
  <c r="G27" i="79"/>
  <c r="K27" i="79" s="1"/>
  <c r="F27" i="79"/>
  <c r="C27" i="79"/>
  <c r="D27" i="79" s="1"/>
  <c r="E27" i="79" s="1"/>
  <c r="J26" i="79"/>
  <c r="I26" i="79"/>
  <c r="L26" i="79" s="1"/>
  <c r="AE33" i="30"/>
  <c r="S33" i="30"/>
  <c r="X32" i="30" a="1"/>
  <c r="X32" i="30" s="1"/>
  <c r="W32" i="30" a="1"/>
  <c r="W32" i="30" s="1"/>
  <c r="V32" i="30" a="1"/>
  <c r="V32" i="30" s="1"/>
  <c r="U32" i="30" a="1"/>
  <c r="U32" i="30" s="1"/>
  <c r="T32" i="30" a="1"/>
  <c r="T32" i="30" s="1"/>
  <c r="R34" i="30"/>
  <c r="B27" i="80"/>
  <c r="B28" i="79"/>
  <c r="Q28" i="79" l="1"/>
  <c r="H28" i="79"/>
  <c r="G28" i="79"/>
  <c r="K28" i="79" s="1"/>
  <c r="F28" i="79"/>
  <c r="C28" i="79"/>
  <c r="D28" i="79" s="1"/>
  <c r="E28" i="79" s="1"/>
  <c r="N26" i="79"/>
  <c r="M26" i="79"/>
  <c r="O26" i="79" s="1"/>
  <c r="J27" i="79"/>
  <c r="I27" i="79"/>
  <c r="L27" i="79" s="1"/>
  <c r="AE34" i="30"/>
  <c r="S34" i="30"/>
  <c r="X33" i="30" a="1"/>
  <c r="X33" i="30" s="1"/>
  <c r="W33" i="30" a="1"/>
  <c r="W33" i="30" s="1"/>
  <c r="V33" i="30" a="1"/>
  <c r="V33" i="30" s="1"/>
  <c r="U33" i="30" a="1"/>
  <c r="U33" i="30" s="1"/>
  <c r="T33" i="30" a="1"/>
  <c r="T33" i="30" s="1"/>
  <c r="R35" i="30"/>
  <c r="B28" i="80"/>
  <c r="B29" i="79"/>
  <c r="Q29" i="79" l="1"/>
  <c r="H29" i="79"/>
  <c r="G29" i="79"/>
  <c r="K29" i="79" s="1"/>
  <c r="F29" i="79"/>
  <c r="C29" i="79"/>
  <c r="D29" i="79" s="1"/>
  <c r="E29" i="79" s="1"/>
  <c r="N27" i="79"/>
  <c r="M27" i="79"/>
  <c r="O27" i="79" s="1"/>
  <c r="J28" i="79"/>
  <c r="I28" i="79"/>
  <c r="L28" i="79" s="1"/>
  <c r="AE35" i="30"/>
  <c r="S35" i="30"/>
  <c r="X34" i="30" a="1"/>
  <c r="X34" i="30" s="1"/>
  <c r="W34" i="30" a="1"/>
  <c r="W34" i="30" s="1"/>
  <c r="V34" i="30" a="1"/>
  <c r="V34" i="30" s="1"/>
  <c r="U34" i="30" a="1"/>
  <c r="U34" i="30" s="1"/>
  <c r="T34" i="30" a="1"/>
  <c r="T34" i="30" s="1"/>
  <c r="R36" i="30"/>
  <c r="B29" i="80"/>
  <c r="B30" i="79"/>
  <c r="Q30" i="79" l="1"/>
  <c r="H30" i="79"/>
  <c r="G30" i="79"/>
  <c r="K30" i="79" s="1"/>
  <c r="F30" i="79"/>
  <c r="C30" i="79"/>
  <c r="D30" i="79" s="1"/>
  <c r="E30" i="79" s="1"/>
  <c r="N28" i="79"/>
  <c r="M28" i="79"/>
  <c r="O28" i="79" s="1"/>
  <c r="J29" i="79"/>
  <c r="I29" i="79"/>
  <c r="L29" i="79" s="1"/>
  <c r="AE36" i="30"/>
  <c r="S36" i="30"/>
  <c r="X35" i="30" a="1"/>
  <c r="X35" i="30" s="1"/>
  <c r="W35" i="30" a="1"/>
  <c r="W35" i="30" s="1"/>
  <c r="V35" i="30" a="1"/>
  <c r="V35" i="30" s="1"/>
  <c r="U35" i="30" a="1"/>
  <c r="U35" i="30" s="1"/>
  <c r="T35" i="30" a="1"/>
  <c r="T35" i="30" s="1"/>
  <c r="R37" i="30"/>
  <c r="B30" i="80"/>
  <c r="B31" i="79"/>
  <c r="Q31" i="79" l="1"/>
  <c r="H31" i="79"/>
  <c r="G31" i="79"/>
  <c r="K31" i="79" s="1"/>
  <c r="F31" i="79"/>
  <c r="C31" i="79"/>
  <c r="D31" i="79" s="1"/>
  <c r="E31" i="79" s="1"/>
  <c r="N29" i="79"/>
  <c r="M29" i="79"/>
  <c r="O29" i="79" s="1"/>
  <c r="J30" i="79"/>
  <c r="I30" i="79"/>
  <c r="L30" i="79" s="1"/>
  <c r="AE37" i="30"/>
  <c r="S37" i="30"/>
  <c r="X36" i="30" a="1"/>
  <c r="X36" i="30" s="1"/>
  <c r="W36" i="30" a="1"/>
  <c r="W36" i="30" s="1"/>
  <c r="V36" i="30" a="1"/>
  <c r="V36" i="30" s="1"/>
  <c r="U36" i="30" a="1"/>
  <c r="U36" i="30" s="1"/>
  <c r="T36" i="30" a="1"/>
  <c r="T36" i="30" s="1"/>
  <c r="R38" i="30"/>
  <c r="B31" i="80"/>
  <c r="B32" i="79"/>
  <c r="Q32" i="79" l="1"/>
  <c r="H32" i="79"/>
  <c r="G32" i="79"/>
  <c r="K32" i="79" s="1"/>
  <c r="F32" i="79"/>
  <c r="C32" i="79"/>
  <c r="D32" i="79" s="1"/>
  <c r="E32" i="79" s="1"/>
  <c r="N30" i="79"/>
  <c r="M30" i="79"/>
  <c r="O30" i="79" s="1"/>
  <c r="J31" i="79"/>
  <c r="I31" i="79"/>
  <c r="L31" i="79" s="1"/>
  <c r="AE38" i="30"/>
  <c r="S38" i="30"/>
  <c r="X37" i="30" a="1"/>
  <c r="X37" i="30" s="1"/>
  <c r="W37" i="30" a="1"/>
  <c r="W37" i="30" s="1"/>
  <c r="V37" i="30" a="1"/>
  <c r="V37" i="30" s="1"/>
  <c r="U37" i="30" a="1"/>
  <c r="U37" i="30" s="1"/>
  <c r="T37" i="30" a="1"/>
  <c r="T37" i="30" s="1"/>
  <c r="R39" i="30"/>
  <c r="B32" i="80"/>
  <c r="B33" i="79"/>
  <c r="Q33" i="79" l="1"/>
  <c r="H33" i="79"/>
  <c r="G33" i="79"/>
  <c r="K33" i="79" s="1"/>
  <c r="F33" i="79"/>
  <c r="C33" i="79"/>
  <c r="D33" i="79" s="1"/>
  <c r="E33" i="79" s="1"/>
  <c r="N31" i="79"/>
  <c r="M31" i="79"/>
  <c r="O31" i="79" s="1"/>
  <c r="J32" i="79"/>
  <c r="I32" i="79"/>
  <c r="L32" i="79" s="1"/>
  <c r="AE39" i="30"/>
  <c r="S39" i="30"/>
  <c r="X38" i="30" a="1"/>
  <c r="X38" i="30" s="1"/>
  <c r="W38" i="30" a="1"/>
  <c r="W38" i="30" s="1"/>
  <c r="V38" i="30" a="1"/>
  <c r="V38" i="30" s="1"/>
  <c r="U38" i="30" a="1"/>
  <c r="U38" i="30" s="1"/>
  <c r="T38" i="30" a="1"/>
  <c r="T38" i="30" s="1"/>
  <c r="R40" i="30"/>
  <c r="B33" i="80"/>
  <c r="B34" i="79"/>
  <c r="Q34" i="79" l="1"/>
  <c r="H34" i="79"/>
  <c r="G34" i="79"/>
  <c r="K34" i="79" s="1"/>
  <c r="F34" i="79"/>
  <c r="C34" i="79"/>
  <c r="D34" i="79" s="1"/>
  <c r="E34" i="79" s="1"/>
  <c r="N32" i="79"/>
  <c r="M32" i="79"/>
  <c r="O32" i="79" s="1"/>
  <c r="J33" i="79"/>
  <c r="I33" i="79"/>
  <c r="L33" i="79" s="1"/>
  <c r="AE40" i="30"/>
  <c r="S40" i="30"/>
  <c r="X39" i="30" a="1"/>
  <c r="X39" i="30" s="1"/>
  <c r="W39" i="30" a="1"/>
  <c r="W39" i="30" s="1"/>
  <c r="V39" i="30" a="1"/>
  <c r="V39" i="30" s="1"/>
  <c r="U39" i="30" a="1"/>
  <c r="U39" i="30" s="1"/>
  <c r="T39" i="30" a="1"/>
  <c r="T39" i="30" s="1"/>
  <c r="R41" i="30"/>
  <c r="B34" i="80"/>
  <c r="B35" i="79"/>
  <c r="Q35" i="79" l="1"/>
  <c r="H35" i="79"/>
  <c r="G35" i="79"/>
  <c r="K35" i="79" s="1"/>
  <c r="F35" i="79"/>
  <c r="C35" i="79"/>
  <c r="D35" i="79" s="1"/>
  <c r="E35" i="79" s="1"/>
  <c r="N33" i="79"/>
  <c r="M33" i="79"/>
  <c r="O33" i="79" s="1"/>
  <c r="J34" i="79"/>
  <c r="I34" i="79"/>
  <c r="L34" i="79" s="1"/>
  <c r="AE41" i="30"/>
  <c r="S41" i="30"/>
  <c r="X40" i="30" a="1"/>
  <c r="X40" i="30" s="1"/>
  <c r="W40" i="30" a="1"/>
  <c r="W40" i="30" s="1"/>
  <c r="V40" i="30" a="1"/>
  <c r="V40" i="30" s="1"/>
  <c r="U40" i="30" a="1"/>
  <c r="U40" i="30" s="1"/>
  <c r="T40" i="30" a="1"/>
  <c r="T40" i="30" s="1"/>
  <c r="R42" i="30"/>
  <c r="B36" i="79"/>
  <c r="B35" i="80"/>
  <c r="B37" i="79"/>
  <c r="Q37" i="79" l="1"/>
  <c r="H37" i="79"/>
  <c r="G37" i="79"/>
  <c r="K37" i="79" s="1"/>
  <c r="F37" i="79"/>
  <c r="C37" i="79"/>
  <c r="D37" i="79" s="1"/>
  <c r="E37" i="79" s="1"/>
  <c r="Q36" i="79"/>
  <c r="H36" i="79"/>
  <c r="G36" i="79"/>
  <c r="K36" i="79" s="1"/>
  <c r="F36" i="79"/>
  <c r="C36" i="79"/>
  <c r="D36" i="79" s="1"/>
  <c r="E36" i="79" s="1"/>
  <c r="N34" i="79"/>
  <c r="M34" i="79"/>
  <c r="O34" i="79" s="1"/>
  <c r="J35" i="79"/>
  <c r="I35" i="79"/>
  <c r="L35" i="79" s="1"/>
  <c r="AE42" i="30"/>
  <c r="S42" i="30"/>
  <c r="X41" i="30" a="1"/>
  <c r="X41" i="30" s="1"/>
  <c r="W41" i="30" a="1"/>
  <c r="W41" i="30" s="1"/>
  <c r="V41" i="30" a="1"/>
  <c r="V41" i="30" s="1"/>
  <c r="U41" i="30" a="1"/>
  <c r="U41" i="30" s="1"/>
  <c r="T41" i="30" a="1"/>
  <c r="T41" i="30" s="1"/>
  <c r="R43" i="30"/>
  <c r="B38" i="79"/>
  <c r="Q38" i="79" l="1"/>
  <c r="H38" i="79"/>
  <c r="G38" i="79"/>
  <c r="K38" i="79" s="1"/>
  <c r="F38" i="79"/>
  <c r="C38" i="79"/>
  <c r="D38" i="79" s="1"/>
  <c r="E38" i="79" s="1"/>
  <c r="N35" i="79"/>
  <c r="M35" i="79"/>
  <c r="O35" i="79" s="1"/>
  <c r="J36" i="79"/>
  <c r="I36" i="79"/>
  <c r="L36" i="79" s="1"/>
  <c r="J37" i="79"/>
  <c r="I37" i="79"/>
  <c r="L37" i="79" s="1"/>
  <c r="AE43" i="30"/>
  <c r="S43" i="30"/>
  <c r="X42" i="30" a="1"/>
  <c r="X42" i="30" s="1"/>
  <c r="W42" i="30" a="1"/>
  <c r="W42" i="30" s="1"/>
  <c r="V42" i="30" a="1"/>
  <c r="V42" i="30" s="1"/>
  <c r="U42" i="30" a="1"/>
  <c r="U42" i="30" s="1"/>
  <c r="T42" i="30" a="1"/>
  <c r="T42" i="30" s="1"/>
  <c r="R44" i="30"/>
  <c r="S38" i="79"/>
  <c r="R38" i="79"/>
  <c r="B39" i="79"/>
  <c r="Q39" i="79" l="1"/>
  <c r="H39" i="79"/>
  <c r="G39" i="79"/>
  <c r="K39" i="79" s="1"/>
  <c r="F39" i="79"/>
  <c r="C39" i="79"/>
  <c r="D39" i="79" s="1"/>
  <c r="E39" i="79" s="1"/>
  <c r="N37" i="79"/>
  <c r="M37" i="79"/>
  <c r="O37" i="79" s="1"/>
  <c r="N36" i="79"/>
  <c r="M36" i="79"/>
  <c r="O36" i="79" s="1"/>
  <c r="J38" i="79"/>
  <c r="I38" i="79"/>
  <c r="L38" i="79" s="1"/>
  <c r="AE44" i="30"/>
  <c r="S44" i="30"/>
  <c r="X43" i="30" a="1"/>
  <c r="X43" i="30" s="1"/>
  <c r="W43" i="30" a="1"/>
  <c r="W43" i="30" s="1"/>
  <c r="V43" i="30" a="1"/>
  <c r="V43" i="30" s="1"/>
  <c r="U43" i="30" a="1"/>
  <c r="U43" i="30" s="1"/>
  <c r="T43" i="30" a="1"/>
  <c r="T43" i="30" s="1"/>
  <c r="R45" i="30"/>
  <c r="S39" i="79"/>
  <c r="R39" i="79"/>
  <c r="B40" i="79"/>
  <c r="B6" i="78"/>
  <c r="L10" i="76"/>
  <c r="L6" i="76"/>
  <c r="L7" i="76"/>
  <c r="B6" i="76"/>
  <c r="AC8" i="30"/>
  <c r="Q40" i="79" l="1"/>
  <c r="H40" i="79"/>
  <c r="G40" i="79"/>
  <c r="K40" i="79" s="1"/>
  <c r="F40" i="79"/>
  <c r="C40" i="79"/>
  <c r="D40" i="79" s="1"/>
  <c r="E40" i="79" s="1"/>
  <c r="N38" i="79"/>
  <c r="M38" i="79"/>
  <c r="O38" i="79" s="1"/>
  <c r="J39" i="79"/>
  <c r="I39" i="79"/>
  <c r="L39" i="79" s="1"/>
  <c r="AG8" i="30" a="1"/>
  <c r="AG8" i="30" s="1"/>
  <c r="AH8" i="30" a="1"/>
  <c r="AH8" i="30" s="1"/>
  <c r="AI8" i="30" a="1"/>
  <c r="AI8" i="30" s="1"/>
  <c r="AJ8" i="30" a="1"/>
  <c r="AJ8" i="30" s="1"/>
  <c r="AF8" i="30" a="1"/>
  <c r="AF8" i="30" s="1"/>
  <c r="AE45" i="30"/>
  <c r="S45" i="30"/>
  <c r="X44" i="30" a="1"/>
  <c r="X44" i="30" s="1"/>
  <c r="W44" i="30" a="1"/>
  <c r="W44" i="30" s="1"/>
  <c r="V44" i="30" a="1"/>
  <c r="V44" i="30" s="1"/>
  <c r="U44" i="30" a="1"/>
  <c r="U44" i="30" s="1"/>
  <c r="T44" i="30" a="1"/>
  <c r="T44" i="30" s="1"/>
  <c r="R46" i="30"/>
  <c r="L46" i="76"/>
  <c r="L45" i="76"/>
  <c r="L35" i="76"/>
  <c r="L36" i="76"/>
  <c r="L40" i="76"/>
  <c r="L41" i="76"/>
  <c r="L50" i="76"/>
  <c r="L51" i="76"/>
  <c r="T9" i="76"/>
  <c r="X9" i="76"/>
  <c r="T10" i="76"/>
  <c r="X10" i="76"/>
  <c r="T29" i="76"/>
  <c r="X29" i="76"/>
  <c r="T30" i="76"/>
  <c r="X30" i="76"/>
  <c r="T31" i="76"/>
  <c r="X31" i="76"/>
  <c r="T32" i="76"/>
  <c r="X32" i="76"/>
  <c r="T33" i="76"/>
  <c r="X33" i="76"/>
  <c r="T34" i="76"/>
  <c r="X34" i="76"/>
  <c r="T35" i="76"/>
  <c r="X35" i="76"/>
  <c r="T36" i="76"/>
  <c r="X36" i="76"/>
  <c r="T37" i="76"/>
  <c r="X37" i="76"/>
  <c r="T38" i="76"/>
  <c r="X38" i="76"/>
  <c r="T39" i="76"/>
  <c r="X39" i="76"/>
  <c r="T40" i="76"/>
  <c r="X40" i="76"/>
  <c r="T41" i="76"/>
  <c r="X41" i="76"/>
  <c r="T42" i="76"/>
  <c r="X42" i="76"/>
  <c r="T43" i="76"/>
  <c r="X43" i="76"/>
  <c r="S40" i="79"/>
  <c r="R40" i="79"/>
  <c r="B7" i="76"/>
  <c r="T8" i="76"/>
  <c r="X8" i="76"/>
  <c r="B7" i="78"/>
  <c r="AC9" i="30"/>
  <c r="V28" i="76" l="1"/>
  <c r="V27" i="76"/>
  <c r="V26" i="76"/>
  <c r="V25" i="76"/>
  <c r="V24" i="76"/>
  <c r="V23" i="76"/>
  <c r="V22" i="76"/>
  <c r="V21" i="76"/>
  <c r="V20" i="76"/>
  <c r="V19" i="76"/>
  <c r="V18" i="76"/>
  <c r="V17" i="76"/>
  <c r="V16" i="76"/>
  <c r="V15" i="76"/>
  <c r="V14" i="76"/>
  <c r="V13" i="76"/>
  <c r="V12" i="76"/>
  <c r="V11" i="76"/>
  <c r="U28" i="76"/>
  <c r="U27" i="76"/>
  <c r="U26" i="76"/>
  <c r="U25" i="76"/>
  <c r="U24" i="76"/>
  <c r="U23" i="76"/>
  <c r="U22" i="76"/>
  <c r="U21" i="76"/>
  <c r="U20" i="76"/>
  <c r="U19" i="76"/>
  <c r="U18" i="76"/>
  <c r="U17" i="76"/>
  <c r="U16" i="76"/>
  <c r="U15" i="76"/>
  <c r="U14" i="76"/>
  <c r="U13" i="76"/>
  <c r="U12" i="76"/>
  <c r="U11" i="76"/>
  <c r="N39" i="79"/>
  <c r="M39" i="79"/>
  <c r="O39" i="79" s="1"/>
  <c r="J40" i="79"/>
  <c r="I40" i="79"/>
  <c r="L40" i="79" s="1"/>
  <c r="AG9" i="30" a="1"/>
  <c r="AG9" i="30" s="1"/>
  <c r="AH9" i="30" a="1"/>
  <c r="AH9" i="30" s="1"/>
  <c r="AI9" i="30" a="1"/>
  <c r="AI9" i="30" s="1"/>
  <c r="AJ9" i="30" a="1"/>
  <c r="AJ9" i="30" s="1"/>
  <c r="AF9" i="30" a="1"/>
  <c r="AF9" i="30" s="1"/>
  <c r="AE46" i="30"/>
  <c r="S46" i="30"/>
  <c r="Z18" i="76"/>
  <c r="Z17" i="76"/>
  <c r="Z16" i="76"/>
  <c r="Z15" i="76"/>
  <c r="Z14" i="76"/>
  <c r="Z13" i="76"/>
  <c r="Z12" i="76"/>
  <c r="Z11" i="76"/>
  <c r="X45" i="30" a="1"/>
  <c r="X45" i="30" s="1"/>
  <c r="W45" i="30" a="1"/>
  <c r="W45" i="30" s="1"/>
  <c r="V45" i="30" a="1"/>
  <c r="V45" i="30" s="1"/>
  <c r="U45" i="30" a="1"/>
  <c r="U45" i="30" s="1"/>
  <c r="T45" i="30" a="1"/>
  <c r="T45" i="30" s="1"/>
  <c r="W28" i="76"/>
  <c r="W27" i="76"/>
  <c r="W26" i="76"/>
  <c r="W25" i="76"/>
  <c r="W24" i="76"/>
  <c r="W23" i="76"/>
  <c r="W22" i="76"/>
  <c r="W21" i="76"/>
  <c r="W20" i="76"/>
  <c r="W19" i="76"/>
  <c r="AB43" i="76"/>
  <c r="AB42" i="76"/>
  <c r="AB41" i="76"/>
  <c r="B8" i="76"/>
  <c r="Z8" i="76"/>
  <c r="B8" i="78"/>
  <c r="AC10" i="30"/>
  <c r="N40" i="79" l="1"/>
  <c r="M40" i="79"/>
  <c r="O40" i="79" s="1"/>
  <c r="AG10" i="30" a="1"/>
  <c r="AG10" i="30" s="1"/>
  <c r="AH10" i="30" a="1"/>
  <c r="AH10" i="30" s="1"/>
  <c r="AI10" i="30" a="1"/>
  <c r="AI10" i="30" s="1"/>
  <c r="AJ10" i="30" a="1"/>
  <c r="AJ10" i="30" s="1"/>
  <c r="AF10" i="30" a="1"/>
  <c r="AF10" i="30" s="1"/>
  <c r="W11" i="76"/>
  <c r="X11" i="76"/>
  <c r="W12" i="76"/>
  <c r="X12" i="76"/>
  <c r="W13" i="76"/>
  <c r="X13" i="76"/>
  <c r="W14" i="76"/>
  <c r="X14" i="76"/>
  <c r="W15" i="76"/>
  <c r="X15" i="76"/>
  <c r="W16" i="76"/>
  <c r="X16" i="76"/>
  <c r="W17" i="76"/>
  <c r="X17" i="76"/>
  <c r="W18" i="76"/>
  <c r="X18" i="76"/>
  <c r="S11" i="76"/>
  <c r="AA11" i="76" s="1"/>
  <c r="Y11" i="76"/>
  <c r="T11" i="76"/>
  <c r="S12" i="76"/>
  <c r="AA12" i="76" s="1"/>
  <c r="Y12" i="76"/>
  <c r="T12" i="76"/>
  <c r="S13" i="76"/>
  <c r="AA13" i="76" s="1"/>
  <c r="Y13" i="76"/>
  <c r="T13" i="76"/>
  <c r="S14" i="76"/>
  <c r="AA14" i="76" s="1"/>
  <c r="Y14" i="76"/>
  <c r="T14" i="76"/>
  <c r="S15" i="76"/>
  <c r="AA15" i="76" s="1"/>
  <c r="Y15" i="76"/>
  <c r="T15" i="76"/>
  <c r="S16" i="76"/>
  <c r="AA16" i="76" s="1"/>
  <c r="Y16" i="76"/>
  <c r="T16" i="76"/>
  <c r="S17" i="76"/>
  <c r="AA17" i="76" s="1"/>
  <c r="Y17" i="76"/>
  <c r="T17" i="76"/>
  <c r="S18" i="76"/>
  <c r="AA18" i="76" s="1"/>
  <c r="Y18" i="76"/>
  <c r="T18" i="76"/>
  <c r="X46" i="30" a="1"/>
  <c r="X46" i="30" s="1"/>
  <c r="W46" i="30" a="1"/>
  <c r="W46" i="30" s="1"/>
  <c r="V46" i="30" a="1"/>
  <c r="V46" i="30" s="1"/>
  <c r="U46" i="30" a="1"/>
  <c r="U46" i="30" s="1"/>
  <c r="T46" i="30" a="1"/>
  <c r="T46" i="30" s="1"/>
  <c r="S19" i="76"/>
  <c r="AA19" i="76" s="1"/>
  <c r="Y19" i="76"/>
  <c r="T19" i="76"/>
  <c r="S20" i="76"/>
  <c r="AA20" i="76" s="1"/>
  <c r="Y20" i="76"/>
  <c r="T20" i="76"/>
  <c r="S21" i="76"/>
  <c r="AA21" i="76" s="1"/>
  <c r="Y21" i="76"/>
  <c r="T21" i="76"/>
  <c r="S22" i="76"/>
  <c r="AA22" i="76" s="1"/>
  <c r="Y22" i="76"/>
  <c r="T22" i="76"/>
  <c r="S23" i="76"/>
  <c r="AA23" i="76" s="1"/>
  <c r="Y23" i="76"/>
  <c r="T23" i="76"/>
  <c r="S24" i="76"/>
  <c r="AA24" i="76" s="1"/>
  <c r="Y24" i="76"/>
  <c r="T24" i="76"/>
  <c r="S25" i="76"/>
  <c r="AA25" i="76" s="1"/>
  <c r="Y25" i="76"/>
  <c r="T25" i="76"/>
  <c r="S26" i="76"/>
  <c r="AA26" i="76" s="1"/>
  <c r="Y26" i="76"/>
  <c r="T26" i="76"/>
  <c r="S27" i="76"/>
  <c r="AA27" i="76" s="1"/>
  <c r="Y27" i="76"/>
  <c r="T27" i="76"/>
  <c r="S28" i="76"/>
  <c r="AA28" i="76" s="1"/>
  <c r="Y28" i="76"/>
  <c r="T28" i="76"/>
  <c r="Z19" i="76"/>
  <c r="X19" i="76"/>
  <c r="Z20" i="76"/>
  <c r="X20" i="76"/>
  <c r="Z21" i="76"/>
  <c r="X21" i="76"/>
  <c r="Z22" i="76"/>
  <c r="X22" i="76"/>
  <c r="Z23" i="76"/>
  <c r="X23" i="76"/>
  <c r="Z24" i="76"/>
  <c r="X24" i="76"/>
  <c r="Z25" i="76"/>
  <c r="X25" i="76"/>
  <c r="Z26" i="76"/>
  <c r="X26" i="76"/>
  <c r="Z27" i="76"/>
  <c r="X27" i="76"/>
  <c r="Z28" i="76"/>
  <c r="X28" i="76"/>
  <c r="X29" i="78"/>
  <c r="Y29" i="78"/>
  <c r="X30" i="78"/>
  <c r="Y30" i="78"/>
  <c r="X31" i="78"/>
  <c r="Y31" i="78"/>
  <c r="X32" i="78"/>
  <c r="Y32" i="78"/>
  <c r="X33" i="78"/>
  <c r="Y33" i="78"/>
  <c r="X34" i="78"/>
  <c r="Y34" i="78"/>
  <c r="X35" i="78"/>
  <c r="Y35" i="78"/>
  <c r="X36" i="78"/>
  <c r="Y36" i="78"/>
  <c r="X37" i="78"/>
  <c r="Y37" i="78"/>
  <c r="X38" i="78"/>
  <c r="Y38" i="78"/>
  <c r="X39" i="78"/>
  <c r="Y39" i="78"/>
  <c r="X40" i="78"/>
  <c r="Y40" i="78"/>
  <c r="Z29" i="78"/>
  <c r="R26" i="79" s="1"/>
  <c r="T29" i="78"/>
  <c r="U29" i="78"/>
  <c r="AC29" i="78" s="1"/>
  <c r="Z30" i="78"/>
  <c r="R27" i="79" s="1"/>
  <c r="T30" i="78"/>
  <c r="U30" i="78"/>
  <c r="AC30" i="78" s="1"/>
  <c r="Z31" i="78"/>
  <c r="R28" i="79" s="1"/>
  <c r="T31" i="78"/>
  <c r="U31" i="78"/>
  <c r="AC31" i="78" s="1"/>
  <c r="Z32" i="78"/>
  <c r="R29" i="79" s="1"/>
  <c r="T32" i="78"/>
  <c r="U32" i="78"/>
  <c r="AC32" i="78" s="1"/>
  <c r="Z33" i="78"/>
  <c r="R30" i="79" s="1"/>
  <c r="T33" i="78"/>
  <c r="U33" i="78"/>
  <c r="AC33" i="78" s="1"/>
  <c r="Z34" i="78"/>
  <c r="R31" i="79" s="1"/>
  <c r="T34" i="78"/>
  <c r="U34" i="78"/>
  <c r="AC34" i="78" s="1"/>
  <c r="Z35" i="78"/>
  <c r="R32" i="79" s="1"/>
  <c r="T35" i="78"/>
  <c r="U35" i="78"/>
  <c r="AC35" i="78" s="1"/>
  <c r="Z36" i="78"/>
  <c r="R33" i="79" s="1"/>
  <c r="T36" i="78"/>
  <c r="U36" i="78"/>
  <c r="AC36" i="78" s="1"/>
  <c r="Z37" i="78"/>
  <c r="R34" i="79" s="1"/>
  <c r="T37" i="78"/>
  <c r="U37" i="78"/>
  <c r="AC37" i="78" s="1"/>
  <c r="Z38" i="78"/>
  <c r="R35" i="79" s="1"/>
  <c r="T38" i="78"/>
  <c r="U38" i="78"/>
  <c r="AC38" i="78" s="1"/>
  <c r="Z39" i="78"/>
  <c r="R36" i="79" s="1"/>
  <c r="T39" i="78"/>
  <c r="U39" i="78"/>
  <c r="AC39" i="78" s="1"/>
  <c r="Z40" i="78"/>
  <c r="R37" i="79" s="1"/>
  <c r="T40" i="78"/>
  <c r="U40" i="78"/>
  <c r="AC40" i="78" s="1"/>
  <c r="AA29" i="78"/>
  <c r="S26" i="79" s="1"/>
  <c r="AA30" i="78"/>
  <c r="S27" i="79" s="1"/>
  <c r="AA31" i="78"/>
  <c r="S28" i="79" s="1"/>
  <c r="AA32" i="78"/>
  <c r="S29" i="79" s="1"/>
  <c r="AA33" i="78"/>
  <c r="S30" i="79" s="1"/>
  <c r="AA34" i="78"/>
  <c r="S31" i="79" s="1"/>
  <c r="AA35" i="78"/>
  <c r="S32" i="79" s="1"/>
  <c r="AA36" i="78"/>
  <c r="S33" i="79" s="1"/>
  <c r="AA37" i="78"/>
  <c r="S34" i="79" s="1"/>
  <c r="AA38" i="78"/>
  <c r="S35" i="79" s="1"/>
  <c r="AA39" i="78"/>
  <c r="S36" i="79" s="1"/>
  <c r="AA40" i="78"/>
  <c r="S37" i="79" s="1"/>
  <c r="AA9" i="78"/>
  <c r="AA10" i="78"/>
  <c r="AA11" i="78"/>
  <c r="AA12" i="78"/>
  <c r="AA13" i="78"/>
  <c r="AA14" i="78"/>
  <c r="AA15" i="78"/>
  <c r="AA16" i="78"/>
  <c r="AA17" i="78"/>
  <c r="AA18" i="78"/>
  <c r="AA19" i="78"/>
  <c r="AA20" i="78"/>
  <c r="AA21" i="78"/>
  <c r="AA22" i="78"/>
  <c r="AA23" i="78"/>
  <c r="AA24" i="78"/>
  <c r="AA25" i="78"/>
  <c r="AA26" i="78"/>
  <c r="AA27" i="78"/>
  <c r="AA28" i="78"/>
  <c r="B9" i="76"/>
  <c r="Y9" i="78"/>
  <c r="X9" i="78"/>
  <c r="Y10" i="78"/>
  <c r="X10" i="78"/>
  <c r="Y11" i="78"/>
  <c r="X11" i="78"/>
  <c r="Y12" i="78"/>
  <c r="X12" i="78"/>
  <c r="Y13" i="78"/>
  <c r="X13" i="78"/>
  <c r="Y14" i="78"/>
  <c r="X14" i="78"/>
  <c r="Y15" i="78"/>
  <c r="X15" i="78"/>
  <c r="Y16" i="78"/>
  <c r="X16" i="78"/>
  <c r="Y17" i="78"/>
  <c r="X17" i="78"/>
  <c r="Y18" i="78"/>
  <c r="X18" i="78"/>
  <c r="Y19" i="78"/>
  <c r="X19" i="78"/>
  <c r="Y20" i="78"/>
  <c r="X20" i="78"/>
  <c r="Y21" i="78"/>
  <c r="X21" i="78"/>
  <c r="Y22" i="78"/>
  <c r="X22" i="78"/>
  <c r="Y23" i="78"/>
  <c r="X23" i="78"/>
  <c r="Y24" i="78"/>
  <c r="X24" i="78"/>
  <c r="Y25" i="78"/>
  <c r="X25" i="78"/>
  <c r="Y26" i="78"/>
  <c r="X26" i="78"/>
  <c r="Y27" i="78"/>
  <c r="X27" i="78"/>
  <c r="Y28" i="78"/>
  <c r="X28" i="78"/>
  <c r="Z9" i="78"/>
  <c r="U9" i="78"/>
  <c r="T9" i="78"/>
  <c r="Z10" i="78"/>
  <c r="U10" i="78"/>
  <c r="T10" i="78"/>
  <c r="Z11" i="78"/>
  <c r="U11" i="78"/>
  <c r="T11" i="78"/>
  <c r="Z12" i="78"/>
  <c r="U12" i="78"/>
  <c r="AC12" i="78" s="1"/>
  <c r="T12" i="78"/>
  <c r="Z13" i="78"/>
  <c r="U13" i="78"/>
  <c r="AC13" i="78" s="1"/>
  <c r="T13" i="78"/>
  <c r="Z14" i="78"/>
  <c r="U14" i="78"/>
  <c r="AC14" i="78" s="1"/>
  <c r="T14" i="78"/>
  <c r="Z15" i="78"/>
  <c r="U15" i="78"/>
  <c r="AC15" i="78" s="1"/>
  <c r="T15" i="78"/>
  <c r="Z16" i="78"/>
  <c r="U16" i="78"/>
  <c r="AC16" i="78" s="1"/>
  <c r="T16" i="78"/>
  <c r="Z17" i="78"/>
  <c r="R14" i="79" s="1"/>
  <c r="U17" i="78"/>
  <c r="AC17" i="78" s="1"/>
  <c r="T17" i="78"/>
  <c r="Z18" i="78"/>
  <c r="R15" i="79" s="1"/>
  <c r="U18" i="78"/>
  <c r="AC18" i="78" s="1"/>
  <c r="T18" i="78"/>
  <c r="Z19" i="78"/>
  <c r="R16" i="79" s="1"/>
  <c r="U19" i="78"/>
  <c r="AC19" i="78" s="1"/>
  <c r="T19" i="78"/>
  <c r="Z20" i="78"/>
  <c r="R17" i="79" s="1"/>
  <c r="U20" i="78"/>
  <c r="AC20" i="78" s="1"/>
  <c r="T20" i="78"/>
  <c r="Z21" i="78"/>
  <c r="R18" i="79" s="1"/>
  <c r="U21" i="78"/>
  <c r="AC21" i="78" s="1"/>
  <c r="T21" i="78"/>
  <c r="Z22" i="78"/>
  <c r="R19" i="79" s="1"/>
  <c r="U22" i="78"/>
  <c r="AC22" i="78" s="1"/>
  <c r="T22" i="78"/>
  <c r="Z23" i="78"/>
  <c r="R20" i="79" s="1"/>
  <c r="U23" i="78"/>
  <c r="AC23" i="78" s="1"/>
  <c r="T23" i="78"/>
  <c r="Z24" i="78"/>
  <c r="R21" i="79" s="1"/>
  <c r="U24" i="78"/>
  <c r="AC24" i="78" s="1"/>
  <c r="T24" i="78"/>
  <c r="Z25" i="78"/>
  <c r="R22" i="79" s="1"/>
  <c r="U25" i="78"/>
  <c r="AC25" i="78" s="1"/>
  <c r="T25" i="78"/>
  <c r="Z26" i="78"/>
  <c r="R23" i="79" s="1"/>
  <c r="U26" i="78"/>
  <c r="AC26" i="78" s="1"/>
  <c r="T26" i="78"/>
  <c r="Z27" i="78"/>
  <c r="R24" i="79" s="1"/>
  <c r="U27" i="78"/>
  <c r="AC27" i="78" s="1"/>
  <c r="T27" i="78"/>
  <c r="Z28" i="78"/>
  <c r="R25" i="79" s="1"/>
  <c r="U28" i="78"/>
  <c r="AC28" i="78" s="1"/>
  <c r="T28" i="78"/>
  <c r="S6" i="79"/>
  <c r="S7" i="79"/>
  <c r="S8" i="79"/>
  <c r="S9" i="79"/>
  <c r="S10" i="79"/>
  <c r="S11" i="79"/>
  <c r="S12" i="79"/>
  <c r="S13" i="79"/>
  <c r="S14" i="79"/>
  <c r="S15" i="79"/>
  <c r="S16" i="79"/>
  <c r="S17" i="79"/>
  <c r="S18" i="79"/>
  <c r="S19" i="79"/>
  <c r="S20" i="79"/>
  <c r="S21" i="79"/>
  <c r="S22" i="79"/>
  <c r="S23" i="79"/>
  <c r="S24" i="79"/>
  <c r="S25" i="79"/>
  <c r="Y8" i="78"/>
  <c r="X8" i="78"/>
  <c r="T8" i="78"/>
  <c r="Z8" i="78"/>
  <c r="AA8" i="78"/>
  <c r="B9" i="78"/>
  <c r="AC11" i="30"/>
  <c r="H25" i="79" l="1"/>
  <c r="G25" i="79"/>
  <c r="K25" i="79" s="1"/>
  <c r="F25" i="79"/>
  <c r="C25" i="79"/>
  <c r="D25" i="79" s="1"/>
  <c r="E25" i="79" s="1"/>
  <c r="H24" i="79"/>
  <c r="G24" i="79"/>
  <c r="K24" i="79" s="1"/>
  <c r="F24" i="79"/>
  <c r="C24" i="79"/>
  <c r="D24" i="79" s="1"/>
  <c r="E24" i="79" s="1"/>
  <c r="H23" i="79"/>
  <c r="G23" i="79"/>
  <c r="K23" i="79" s="1"/>
  <c r="F23" i="79"/>
  <c r="C23" i="79"/>
  <c r="D23" i="79" s="1"/>
  <c r="E23" i="79" s="1"/>
  <c r="H22" i="79"/>
  <c r="G22" i="79"/>
  <c r="K22" i="79" s="1"/>
  <c r="F22" i="79"/>
  <c r="C22" i="79"/>
  <c r="D22" i="79" s="1"/>
  <c r="E22" i="79" s="1"/>
  <c r="H21" i="79"/>
  <c r="G21" i="79"/>
  <c r="K21" i="79" s="1"/>
  <c r="F21" i="79"/>
  <c r="C21" i="79"/>
  <c r="D21" i="79" s="1"/>
  <c r="E21" i="79" s="1"/>
  <c r="H20" i="79"/>
  <c r="G20" i="79"/>
  <c r="K20" i="79" s="1"/>
  <c r="F20" i="79"/>
  <c r="C20" i="79"/>
  <c r="D20" i="79" s="1"/>
  <c r="E20" i="79" s="1"/>
  <c r="H19" i="79"/>
  <c r="G19" i="79"/>
  <c r="K19" i="79" s="1"/>
  <c r="F19" i="79"/>
  <c r="C19" i="79"/>
  <c r="D19" i="79" s="1"/>
  <c r="E19" i="79" s="1"/>
  <c r="H18" i="79"/>
  <c r="G18" i="79"/>
  <c r="K18" i="79" s="1"/>
  <c r="F18" i="79"/>
  <c r="C18" i="79"/>
  <c r="D18" i="79" s="1"/>
  <c r="E18" i="79" s="1"/>
  <c r="H17" i="79"/>
  <c r="G17" i="79"/>
  <c r="K17" i="79" s="1"/>
  <c r="F17" i="79"/>
  <c r="C17" i="79"/>
  <c r="D17" i="79" s="1"/>
  <c r="E17" i="79" s="1"/>
  <c r="H16" i="79"/>
  <c r="G16" i="79"/>
  <c r="K16" i="79" s="1"/>
  <c r="F16" i="79"/>
  <c r="C16" i="79"/>
  <c r="D16" i="79" s="1"/>
  <c r="E16" i="79" s="1"/>
  <c r="H15" i="79"/>
  <c r="G15" i="79"/>
  <c r="K15" i="79" s="1"/>
  <c r="F15" i="79"/>
  <c r="C15" i="79"/>
  <c r="D15" i="79" s="1"/>
  <c r="E15" i="79" s="1"/>
  <c r="H14" i="79"/>
  <c r="G14" i="79"/>
  <c r="K14" i="79" s="1"/>
  <c r="F14" i="79"/>
  <c r="C14" i="79"/>
  <c r="D14" i="79" s="1"/>
  <c r="E14" i="79" s="1"/>
  <c r="AG11" i="30" a="1"/>
  <c r="AG11" i="30" s="1"/>
  <c r="AH11" i="30" a="1"/>
  <c r="AH11" i="30" s="1"/>
  <c r="AI11" i="30" a="1"/>
  <c r="AI11" i="30" s="1"/>
  <c r="AJ11" i="30" a="1"/>
  <c r="AJ11" i="30" s="1"/>
  <c r="AF11" i="30" a="1"/>
  <c r="AF11" i="30" s="1"/>
  <c r="AB40" i="78"/>
  <c r="AB39" i="78"/>
  <c r="AB38" i="78"/>
  <c r="AB37" i="78"/>
  <c r="AB36" i="78"/>
  <c r="AB35" i="78"/>
  <c r="AB34" i="78"/>
  <c r="AB33" i="78"/>
  <c r="AB32" i="78"/>
  <c r="AB31" i="78"/>
  <c r="AB30" i="78"/>
  <c r="AB29" i="78"/>
  <c r="AB29" i="76"/>
  <c r="AB30" i="76"/>
  <c r="AB31" i="76"/>
  <c r="AB32" i="76"/>
  <c r="AB33" i="76"/>
  <c r="AB34" i="76"/>
  <c r="AB35" i="76"/>
  <c r="AB36" i="76"/>
  <c r="AB37" i="76"/>
  <c r="AB38" i="76"/>
  <c r="AB39" i="76"/>
  <c r="AB40" i="76"/>
  <c r="R13" i="79"/>
  <c r="R12" i="79"/>
  <c r="R11" i="79"/>
  <c r="R10" i="79"/>
  <c r="R9" i="79"/>
  <c r="C8" i="78"/>
  <c r="R8" i="79"/>
  <c r="C7" i="78"/>
  <c r="R7" i="79"/>
  <c r="C6" i="78"/>
  <c r="R6" i="79"/>
  <c r="E8" i="78"/>
  <c r="F8" i="78"/>
  <c r="E7" i="78"/>
  <c r="F7" i="78"/>
  <c r="E6" i="78"/>
  <c r="F6" i="78"/>
  <c r="C9" i="78"/>
  <c r="D9" i="78"/>
  <c r="E9" i="78"/>
  <c r="F9" i="78"/>
  <c r="AC11" i="78"/>
  <c r="D8" i="78"/>
  <c r="G8" i="78" s="1"/>
  <c r="AC10" i="78"/>
  <c r="D7" i="78"/>
  <c r="G7" i="78" s="1"/>
  <c r="AC9" i="78"/>
  <c r="D6" i="78"/>
  <c r="G6" i="78" s="1"/>
  <c r="B10" i="76"/>
  <c r="AB28" i="78"/>
  <c r="AB27" i="78"/>
  <c r="AB26" i="78"/>
  <c r="AB25" i="78"/>
  <c r="AB24" i="78"/>
  <c r="AB23" i="78"/>
  <c r="AB22" i="78"/>
  <c r="AB21" i="78"/>
  <c r="AB20" i="78"/>
  <c r="AB19" i="78"/>
  <c r="AB18" i="78"/>
  <c r="AB17" i="78"/>
  <c r="AB16" i="78"/>
  <c r="AB15" i="78"/>
  <c r="AB14" i="78"/>
  <c r="AB13" i="78"/>
  <c r="AB12" i="78"/>
  <c r="AB11" i="78"/>
  <c r="AB10" i="78"/>
  <c r="AB9" i="78"/>
  <c r="Y8" i="76"/>
  <c r="S8" i="76"/>
  <c r="AC8" i="78"/>
  <c r="AB8" i="78"/>
  <c r="B10" i="78"/>
  <c r="AC12" i="30"/>
  <c r="H6" i="79" l="1"/>
  <c r="G6" i="79"/>
  <c r="F6" i="79"/>
  <c r="C6" i="79"/>
  <c r="H7" i="79"/>
  <c r="G7" i="79"/>
  <c r="K7" i="79" s="1"/>
  <c r="F7" i="79"/>
  <c r="C7" i="79"/>
  <c r="D7" i="79" s="1"/>
  <c r="E7" i="79" s="1"/>
  <c r="H8" i="79"/>
  <c r="G8" i="79"/>
  <c r="K8" i="79" s="1"/>
  <c r="F8" i="79"/>
  <c r="C8" i="79"/>
  <c r="D8" i="79" s="1"/>
  <c r="E8" i="79" s="1"/>
  <c r="H9" i="79"/>
  <c r="G9" i="79"/>
  <c r="K9" i="79" s="1"/>
  <c r="F9" i="79"/>
  <c r="C9" i="79"/>
  <c r="D9" i="79" s="1"/>
  <c r="E9" i="79" s="1"/>
  <c r="H10" i="79"/>
  <c r="G10" i="79"/>
  <c r="K10" i="79" s="1"/>
  <c r="F10" i="79"/>
  <c r="C10" i="79"/>
  <c r="D10" i="79" s="1"/>
  <c r="E10" i="79" s="1"/>
  <c r="H11" i="79"/>
  <c r="G11" i="79"/>
  <c r="K11" i="79" s="1"/>
  <c r="F11" i="79"/>
  <c r="C11" i="79"/>
  <c r="D11" i="79" s="1"/>
  <c r="E11" i="79" s="1"/>
  <c r="H12" i="79"/>
  <c r="G12" i="79"/>
  <c r="K12" i="79" s="1"/>
  <c r="F12" i="79"/>
  <c r="C12" i="79"/>
  <c r="D12" i="79" s="1"/>
  <c r="E12" i="79" s="1"/>
  <c r="H13" i="79"/>
  <c r="G13" i="79"/>
  <c r="K13" i="79" s="1"/>
  <c r="F13" i="79"/>
  <c r="C13" i="79"/>
  <c r="D13" i="79" s="1"/>
  <c r="E13" i="79" s="1"/>
  <c r="J14" i="79"/>
  <c r="I14" i="79"/>
  <c r="L14" i="79" s="1"/>
  <c r="J15" i="79"/>
  <c r="I15" i="79"/>
  <c r="L15" i="79" s="1"/>
  <c r="J16" i="79"/>
  <c r="I16" i="79"/>
  <c r="L16" i="79" s="1"/>
  <c r="J17" i="79"/>
  <c r="I17" i="79"/>
  <c r="L17" i="79" s="1"/>
  <c r="J18" i="79"/>
  <c r="I18" i="79"/>
  <c r="L18" i="79" s="1"/>
  <c r="J19" i="79"/>
  <c r="I19" i="79"/>
  <c r="L19" i="79" s="1"/>
  <c r="J20" i="79"/>
  <c r="I20" i="79"/>
  <c r="L20" i="79" s="1"/>
  <c r="J21" i="79"/>
  <c r="I21" i="79"/>
  <c r="L21" i="79" s="1"/>
  <c r="J22" i="79"/>
  <c r="I22" i="79"/>
  <c r="L22" i="79" s="1"/>
  <c r="J23" i="79"/>
  <c r="I23" i="79"/>
  <c r="L23" i="79" s="1"/>
  <c r="J24" i="79"/>
  <c r="I24" i="79"/>
  <c r="L24" i="79" s="1"/>
  <c r="J25" i="79"/>
  <c r="I25" i="79"/>
  <c r="L25" i="79" s="1"/>
  <c r="AJ12" i="30" a="1"/>
  <c r="AJ12" i="30" s="1"/>
  <c r="AI12" i="30" a="1"/>
  <c r="AI12" i="30" s="1"/>
  <c r="AH12" i="30" a="1"/>
  <c r="AH12" i="30" s="1"/>
  <c r="AG12" i="30" a="1"/>
  <c r="AG12" i="30" s="1"/>
  <c r="AF12" i="30" a="1"/>
  <c r="AF12" i="30" s="1"/>
  <c r="C6" i="76"/>
  <c r="E9" i="76"/>
  <c r="F9" i="76"/>
  <c r="E8" i="76"/>
  <c r="F8" i="76"/>
  <c r="E7" i="76"/>
  <c r="F7" i="76"/>
  <c r="E6" i="76"/>
  <c r="F6" i="76"/>
  <c r="C10" i="78"/>
  <c r="D10" i="78"/>
  <c r="E10" i="78"/>
  <c r="F10" i="78"/>
  <c r="E10" i="76"/>
  <c r="F10" i="76"/>
  <c r="B11" i="76"/>
  <c r="G9" i="78"/>
  <c r="AB28" i="76"/>
  <c r="AB27" i="76"/>
  <c r="AB26" i="76"/>
  <c r="AB25" i="76"/>
  <c r="AB24" i="76"/>
  <c r="AB23" i="76"/>
  <c r="AB22" i="76"/>
  <c r="AB21" i="76"/>
  <c r="AB20" i="76"/>
  <c r="AB19" i="76"/>
  <c r="AB18" i="76"/>
  <c r="AB17" i="76"/>
  <c r="AB16" i="76"/>
  <c r="AB15" i="76"/>
  <c r="C11" i="76"/>
  <c r="AB14" i="76"/>
  <c r="D11" i="76"/>
  <c r="C10" i="76"/>
  <c r="AB13" i="76"/>
  <c r="D10" i="76"/>
  <c r="G10" i="76" s="1"/>
  <c r="C9" i="76"/>
  <c r="AB12" i="76"/>
  <c r="D9" i="76"/>
  <c r="G9" i="76" s="1"/>
  <c r="C8" i="76"/>
  <c r="AB11" i="76"/>
  <c r="D8" i="76"/>
  <c r="G8" i="76" s="1"/>
  <c r="C7" i="76"/>
  <c r="AB10" i="76"/>
  <c r="D7" i="76"/>
  <c r="G7" i="76" s="1"/>
  <c r="AB9" i="76"/>
  <c r="D6" i="76"/>
  <c r="G6" i="76" s="1"/>
  <c r="H8" i="76"/>
  <c r="H7" i="76"/>
  <c r="AA8" i="76"/>
  <c r="AB8" i="76"/>
  <c r="B11" i="78"/>
  <c r="AC13" i="30"/>
  <c r="N25" i="79" l="1"/>
  <c r="M25" i="79"/>
  <c r="O25" i="79" s="1"/>
  <c r="N24" i="79"/>
  <c r="M24" i="79"/>
  <c r="O24" i="79" s="1"/>
  <c r="N23" i="79"/>
  <c r="M23" i="79"/>
  <c r="O23" i="79" s="1"/>
  <c r="N22" i="79"/>
  <c r="M22" i="79"/>
  <c r="O22" i="79" s="1"/>
  <c r="N21" i="79"/>
  <c r="M21" i="79"/>
  <c r="O21" i="79" s="1"/>
  <c r="N20" i="79"/>
  <c r="M20" i="79"/>
  <c r="O20" i="79" s="1"/>
  <c r="N19" i="79"/>
  <c r="M19" i="79"/>
  <c r="O19" i="79" s="1"/>
  <c r="N18" i="79"/>
  <c r="M18" i="79"/>
  <c r="O18" i="79" s="1"/>
  <c r="N17" i="79"/>
  <c r="M17" i="79"/>
  <c r="O17" i="79" s="1"/>
  <c r="N16" i="79"/>
  <c r="M16" i="79"/>
  <c r="O16" i="79" s="1"/>
  <c r="N15" i="79"/>
  <c r="M15" i="79"/>
  <c r="O15" i="79" s="1"/>
  <c r="N14" i="79"/>
  <c r="M14" i="79"/>
  <c r="O14" i="79" s="1"/>
  <c r="J13" i="79"/>
  <c r="I13" i="79"/>
  <c r="L13" i="79" s="1"/>
  <c r="J12" i="79"/>
  <c r="I12" i="79"/>
  <c r="L12" i="79" s="1"/>
  <c r="J11" i="79"/>
  <c r="I11" i="79"/>
  <c r="L11" i="79" s="1"/>
  <c r="J10" i="79"/>
  <c r="I10" i="79"/>
  <c r="L10" i="79" s="1"/>
  <c r="J9" i="79"/>
  <c r="I9" i="79"/>
  <c r="L9" i="79" s="1"/>
  <c r="J8" i="79"/>
  <c r="I8" i="79"/>
  <c r="L8" i="79" s="1"/>
  <c r="J7" i="79"/>
  <c r="I7" i="79"/>
  <c r="L7" i="79" s="1"/>
  <c r="AJ13" i="30" a="1"/>
  <c r="AJ13" i="30" s="1"/>
  <c r="AI13" i="30" a="1"/>
  <c r="AI13" i="30" s="1"/>
  <c r="AH13" i="30" a="1"/>
  <c r="AH13" i="30" s="1"/>
  <c r="AG13" i="30" a="1"/>
  <c r="AG13" i="30" s="1"/>
  <c r="AF13" i="30" a="1"/>
  <c r="AF13" i="30" s="1"/>
  <c r="C11" i="78"/>
  <c r="D11" i="78"/>
  <c r="E11" i="78"/>
  <c r="F11" i="78"/>
  <c r="E11" i="76"/>
  <c r="F11" i="76"/>
  <c r="G11" i="76" s="1"/>
  <c r="B12" i="76"/>
  <c r="G10" i="78"/>
  <c r="H9" i="76"/>
  <c r="B12" i="78"/>
  <c r="AC14" i="30"/>
  <c r="N7" i="79" l="1"/>
  <c r="M7" i="79"/>
  <c r="O7" i="79" s="1"/>
  <c r="N8" i="79"/>
  <c r="M8" i="79"/>
  <c r="O8" i="79" s="1"/>
  <c r="N9" i="79"/>
  <c r="M9" i="79"/>
  <c r="O9" i="79" s="1"/>
  <c r="N10" i="79"/>
  <c r="M10" i="79"/>
  <c r="O10" i="79" s="1"/>
  <c r="N11" i="79"/>
  <c r="M11" i="79"/>
  <c r="O11" i="79" s="1"/>
  <c r="N12" i="79"/>
  <c r="M12" i="79"/>
  <c r="O12" i="79" s="1"/>
  <c r="N13" i="79"/>
  <c r="M13" i="79"/>
  <c r="O13" i="79" s="1"/>
  <c r="AJ14" i="30" a="1"/>
  <c r="AJ14" i="30" s="1"/>
  <c r="AI14" i="30" a="1"/>
  <c r="AI14" i="30" s="1"/>
  <c r="AH14" i="30" a="1"/>
  <c r="AH14" i="30" s="1"/>
  <c r="AG14" i="30" a="1"/>
  <c r="AG14" i="30" s="1"/>
  <c r="AF14" i="30" a="1"/>
  <c r="AF14" i="30" s="1"/>
  <c r="C12" i="78"/>
  <c r="D12" i="78"/>
  <c r="E12" i="78"/>
  <c r="F12" i="78"/>
  <c r="E12" i="76"/>
  <c r="F12" i="76"/>
  <c r="B13" i="76"/>
  <c r="C12" i="76"/>
  <c r="D12" i="76"/>
  <c r="G12" i="76" s="1"/>
  <c r="G11" i="78"/>
  <c r="H10" i="76"/>
  <c r="B13" i="78"/>
  <c r="AC15" i="30"/>
  <c r="AJ15" i="30" l="1" a="1"/>
  <c r="AJ15" i="30" s="1"/>
  <c r="AI15" i="30" a="1"/>
  <c r="AI15" i="30" s="1"/>
  <c r="AH15" i="30" a="1"/>
  <c r="AH15" i="30" s="1"/>
  <c r="AG15" i="30" a="1"/>
  <c r="AG15" i="30" s="1"/>
  <c r="AF15" i="30" a="1"/>
  <c r="AF15" i="30" s="1"/>
  <c r="C13" i="78"/>
  <c r="D13" i="78"/>
  <c r="E13" i="78"/>
  <c r="F13" i="78"/>
  <c r="E13" i="76"/>
  <c r="F13" i="76"/>
  <c r="B14" i="76"/>
  <c r="C13" i="76"/>
  <c r="D13" i="76"/>
  <c r="G13" i="76" s="1"/>
  <c r="G12" i="78"/>
  <c r="H11" i="76"/>
  <c r="B14" i="78"/>
  <c r="AC16" i="30"/>
  <c r="AJ16" i="30" l="1" a="1"/>
  <c r="AJ16" i="30" s="1"/>
  <c r="AI16" i="30" a="1"/>
  <c r="AI16" i="30" s="1"/>
  <c r="AH16" i="30" a="1"/>
  <c r="AH16" i="30" s="1"/>
  <c r="AG16" i="30" a="1"/>
  <c r="AG16" i="30" s="1"/>
  <c r="AF16" i="30" a="1"/>
  <c r="AF16" i="30" s="1"/>
  <c r="C14" i="78"/>
  <c r="D14" i="78"/>
  <c r="E14" i="78"/>
  <c r="F14" i="78"/>
  <c r="E14" i="76"/>
  <c r="F14" i="76"/>
  <c r="B15" i="76"/>
  <c r="C14" i="76"/>
  <c r="D14" i="76"/>
  <c r="G14" i="76" s="1"/>
  <c r="G13" i="78"/>
  <c r="H12" i="76"/>
  <c r="B15" i="78"/>
  <c r="AC17" i="30"/>
  <c r="AJ17" i="30" l="1" a="1"/>
  <c r="AJ17" i="30" s="1"/>
  <c r="AI17" i="30" a="1"/>
  <c r="AI17" i="30" s="1"/>
  <c r="AH17" i="30" a="1"/>
  <c r="AH17" i="30" s="1"/>
  <c r="AG17" i="30" a="1"/>
  <c r="AG17" i="30" s="1"/>
  <c r="AF17" i="30" a="1"/>
  <c r="AF17" i="30" s="1"/>
  <c r="C15" i="78"/>
  <c r="D15" i="78"/>
  <c r="E15" i="78"/>
  <c r="F15" i="78"/>
  <c r="E15" i="76"/>
  <c r="F15" i="76"/>
  <c r="B16" i="76"/>
  <c r="C15" i="76"/>
  <c r="D15" i="76"/>
  <c r="G15" i="76" s="1"/>
  <c r="G14" i="78"/>
  <c r="H13" i="76"/>
  <c r="B16" i="78"/>
  <c r="AC18" i="30"/>
  <c r="AJ18" i="30" l="1" a="1"/>
  <c r="AJ18" i="30" s="1"/>
  <c r="AI18" i="30" a="1"/>
  <c r="AI18" i="30" s="1"/>
  <c r="AH18" i="30" a="1"/>
  <c r="AH18" i="30" s="1"/>
  <c r="AG18" i="30" a="1"/>
  <c r="AG18" i="30" s="1"/>
  <c r="AF18" i="30" a="1"/>
  <c r="AF18" i="30" s="1"/>
  <c r="C16" i="78"/>
  <c r="D16" i="78"/>
  <c r="E16" i="78"/>
  <c r="F16" i="78"/>
  <c r="E16" i="76"/>
  <c r="F16" i="76"/>
  <c r="B17" i="76"/>
  <c r="C16" i="76"/>
  <c r="D16" i="76"/>
  <c r="G16" i="76" s="1"/>
  <c r="G15" i="78"/>
  <c r="H14" i="76"/>
  <c r="B17" i="78"/>
  <c r="AC19" i="30"/>
  <c r="AJ19" i="30" l="1" a="1"/>
  <c r="AJ19" i="30" s="1"/>
  <c r="AI19" i="30" a="1"/>
  <c r="AI19" i="30" s="1"/>
  <c r="AH19" i="30" a="1"/>
  <c r="AH19" i="30" s="1"/>
  <c r="AG19" i="30" a="1"/>
  <c r="AG19" i="30" s="1"/>
  <c r="AF19" i="30" a="1"/>
  <c r="AF19" i="30" s="1"/>
  <c r="C17" i="78"/>
  <c r="D17" i="78"/>
  <c r="E17" i="78"/>
  <c r="F17" i="78"/>
  <c r="E17" i="76"/>
  <c r="F17" i="76"/>
  <c r="B18" i="76"/>
  <c r="C17" i="76"/>
  <c r="D17" i="76"/>
  <c r="G17" i="76" s="1"/>
  <c r="G16" i="78"/>
  <c r="H15" i="76"/>
  <c r="B18" i="78"/>
  <c r="AC20" i="30"/>
  <c r="AJ20" i="30" l="1" a="1"/>
  <c r="AJ20" i="30" s="1"/>
  <c r="AI20" i="30" a="1"/>
  <c r="AI20" i="30" s="1"/>
  <c r="AH20" i="30" a="1"/>
  <c r="AH20" i="30" s="1"/>
  <c r="AG20" i="30" a="1"/>
  <c r="AG20" i="30" s="1"/>
  <c r="AF20" i="30" a="1"/>
  <c r="AF20" i="30" s="1"/>
  <c r="C18" i="78"/>
  <c r="D18" i="78"/>
  <c r="E18" i="78"/>
  <c r="F18" i="78"/>
  <c r="E18" i="76"/>
  <c r="F18" i="76"/>
  <c r="B19" i="76"/>
  <c r="C18" i="76"/>
  <c r="D18" i="76"/>
  <c r="G18" i="76" s="1"/>
  <c r="G17" i="78"/>
  <c r="H16" i="76"/>
  <c r="B19" i="78"/>
  <c r="AC21" i="30"/>
  <c r="AJ21" i="30" l="1" a="1"/>
  <c r="AJ21" i="30" s="1"/>
  <c r="AI21" i="30" a="1"/>
  <c r="AI21" i="30" s="1"/>
  <c r="AH21" i="30" a="1"/>
  <c r="AH21" i="30" s="1"/>
  <c r="AG21" i="30" a="1"/>
  <c r="AG21" i="30" s="1"/>
  <c r="AF21" i="30" a="1"/>
  <c r="AF21" i="30" s="1"/>
  <c r="C19" i="78"/>
  <c r="D19" i="78"/>
  <c r="E19" i="78"/>
  <c r="F19" i="78"/>
  <c r="E19" i="76"/>
  <c r="F19" i="76"/>
  <c r="B20" i="76"/>
  <c r="C19" i="76"/>
  <c r="D19" i="76"/>
  <c r="G19" i="76" s="1"/>
  <c r="G18" i="78"/>
  <c r="H17" i="76"/>
  <c r="B20" i="78"/>
  <c r="AC22" i="30"/>
  <c r="AJ22" i="30" l="1" a="1"/>
  <c r="AJ22" i="30" s="1"/>
  <c r="AI22" i="30" a="1"/>
  <c r="AI22" i="30" s="1"/>
  <c r="AH22" i="30" a="1"/>
  <c r="AH22" i="30" s="1"/>
  <c r="AG22" i="30" a="1"/>
  <c r="AG22" i="30" s="1"/>
  <c r="AF22" i="30" a="1"/>
  <c r="AF22" i="30" s="1"/>
  <c r="C20" i="78"/>
  <c r="D20" i="78"/>
  <c r="E20" i="78"/>
  <c r="F20" i="78"/>
  <c r="E20" i="76"/>
  <c r="F20" i="76"/>
  <c r="B21" i="76"/>
  <c r="C20" i="76"/>
  <c r="D20" i="76"/>
  <c r="G20" i="76" s="1"/>
  <c r="G19" i="78"/>
  <c r="H18" i="76"/>
  <c r="B21" i="78"/>
  <c r="AC23" i="30"/>
  <c r="AJ23" i="30" l="1" a="1"/>
  <c r="AJ23" i="30" s="1"/>
  <c r="AI23" i="30" a="1"/>
  <c r="AI23" i="30" s="1"/>
  <c r="AH23" i="30" a="1"/>
  <c r="AH23" i="30" s="1"/>
  <c r="AG23" i="30" a="1"/>
  <c r="AG23" i="30" s="1"/>
  <c r="AF23" i="30" a="1"/>
  <c r="AF23" i="30" s="1"/>
  <c r="C21" i="78"/>
  <c r="D21" i="78"/>
  <c r="E21" i="78"/>
  <c r="F21" i="78"/>
  <c r="E21" i="76"/>
  <c r="F21" i="76"/>
  <c r="B22" i="76"/>
  <c r="C21" i="76"/>
  <c r="D21" i="76"/>
  <c r="G21" i="76" s="1"/>
  <c r="G20" i="78"/>
  <c r="H19" i="76"/>
  <c r="B22" i="78"/>
  <c r="AC24" i="30"/>
  <c r="AJ24" i="30" l="1" a="1"/>
  <c r="AJ24" i="30" s="1"/>
  <c r="AI24" i="30" a="1"/>
  <c r="AI24" i="30" s="1"/>
  <c r="AH24" i="30" a="1"/>
  <c r="AH24" i="30" s="1"/>
  <c r="AG24" i="30" a="1"/>
  <c r="AG24" i="30" s="1"/>
  <c r="AF24" i="30" a="1"/>
  <c r="AF24" i="30" s="1"/>
  <c r="C22" i="78"/>
  <c r="D22" i="78"/>
  <c r="E22" i="78"/>
  <c r="F22" i="78"/>
  <c r="E22" i="76"/>
  <c r="F22" i="76"/>
  <c r="B23" i="76"/>
  <c r="C22" i="76"/>
  <c r="D22" i="76"/>
  <c r="G22" i="76" s="1"/>
  <c r="G21" i="78"/>
  <c r="H20" i="76"/>
  <c r="B23" i="78"/>
  <c r="AC25" i="30"/>
  <c r="AJ25" i="30" l="1" a="1"/>
  <c r="AJ25" i="30" s="1"/>
  <c r="AI25" i="30" a="1"/>
  <c r="AI25" i="30" s="1"/>
  <c r="AH25" i="30" a="1"/>
  <c r="AH25" i="30" s="1"/>
  <c r="AG25" i="30" a="1"/>
  <c r="AG25" i="30" s="1"/>
  <c r="AF25" i="30" a="1"/>
  <c r="AF25" i="30" s="1"/>
  <c r="C23" i="78"/>
  <c r="D23" i="78"/>
  <c r="E23" i="78"/>
  <c r="F23" i="78"/>
  <c r="E23" i="76"/>
  <c r="F23" i="76"/>
  <c r="B24" i="76"/>
  <c r="C23" i="76"/>
  <c r="D23" i="76"/>
  <c r="G23" i="76" s="1"/>
  <c r="G22" i="78"/>
  <c r="H21" i="76"/>
  <c r="B24" i="78"/>
  <c r="AC26" i="30"/>
  <c r="AJ26" i="30" l="1" a="1"/>
  <c r="AJ26" i="30" s="1"/>
  <c r="AI26" i="30" a="1"/>
  <c r="AI26" i="30" s="1"/>
  <c r="AH26" i="30" a="1"/>
  <c r="AH26" i="30" s="1"/>
  <c r="AG26" i="30" a="1"/>
  <c r="AG26" i="30" s="1"/>
  <c r="AF26" i="30" a="1"/>
  <c r="AF26" i="30" s="1"/>
  <c r="C24" i="78"/>
  <c r="D24" i="78"/>
  <c r="E24" i="78"/>
  <c r="F24" i="78"/>
  <c r="E24" i="76"/>
  <c r="F24" i="76"/>
  <c r="B25" i="76"/>
  <c r="C24" i="76"/>
  <c r="D24" i="76"/>
  <c r="G24" i="76" s="1"/>
  <c r="G23" i="78"/>
  <c r="H22" i="76"/>
  <c r="B25" i="78"/>
  <c r="AC27" i="30"/>
  <c r="AJ27" i="30" l="1" a="1"/>
  <c r="AJ27" i="30" s="1"/>
  <c r="AI27" i="30" a="1"/>
  <c r="AI27" i="30" s="1"/>
  <c r="AH27" i="30" a="1"/>
  <c r="AH27" i="30" s="1"/>
  <c r="AG27" i="30" a="1"/>
  <c r="AG27" i="30" s="1"/>
  <c r="AF27" i="30" a="1"/>
  <c r="AF27" i="30" s="1"/>
  <c r="C25" i="78"/>
  <c r="D25" i="78"/>
  <c r="E25" i="78"/>
  <c r="F25" i="78"/>
  <c r="E25" i="76"/>
  <c r="F25" i="76"/>
  <c r="B26" i="76"/>
  <c r="C25" i="76"/>
  <c r="D25" i="76"/>
  <c r="G25" i="76" s="1"/>
  <c r="G24" i="78"/>
  <c r="H23" i="76"/>
  <c r="B26" i="78"/>
  <c r="AC28" i="30"/>
  <c r="AJ28" i="30" l="1" a="1"/>
  <c r="AJ28" i="30" s="1"/>
  <c r="AI28" i="30" a="1"/>
  <c r="AI28" i="30" s="1"/>
  <c r="AH28" i="30" a="1"/>
  <c r="AH28" i="30" s="1"/>
  <c r="AG28" i="30" a="1"/>
  <c r="AG28" i="30" s="1"/>
  <c r="AF28" i="30" a="1"/>
  <c r="AF28" i="30" s="1"/>
  <c r="C26" i="78"/>
  <c r="D26" i="78"/>
  <c r="E26" i="78"/>
  <c r="F26" i="78"/>
  <c r="E26" i="76"/>
  <c r="F26" i="76"/>
  <c r="B27" i="76"/>
  <c r="C26" i="76"/>
  <c r="D26" i="76"/>
  <c r="G26" i="76" s="1"/>
  <c r="G25" i="78"/>
  <c r="H24" i="76"/>
  <c r="B27" i="78"/>
  <c r="AC29" i="30"/>
  <c r="AJ29" i="30" l="1" a="1"/>
  <c r="AJ29" i="30" s="1"/>
  <c r="AI29" i="30" a="1"/>
  <c r="AI29" i="30" s="1"/>
  <c r="AH29" i="30" a="1"/>
  <c r="AH29" i="30" s="1"/>
  <c r="AG29" i="30" a="1"/>
  <c r="AG29" i="30" s="1"/>
  <c r="AF29" i="30" a="1"/>
  <c r="AF29" i="30" s="1"/>
  <c r="C27" i="78"/>
  <c r="D27" i="78"/>
  <c r="E27" i="78"/>
  <c r="F27" i="78"/>
  <c r="E27" i="76"/>
  <c r="F27" i="76"/>
  <c r="B28" i="76"/>
  <c r="C27" i="76"/>
  <c r="D27" i="76"/>
  <c r="G27" i="76" s="1"/>
  <c r="G26" i="78"/>
  <c r="B28" i="78"/>
  <c r="AC30" i="30"/>
  <c r="AJ30" i="30" l="1" a="1"/>
  <c r="AJ30" i="30" s="1"/>
  <c r="AI30" i="30" a="1"/>
  <c r="AI30" i="30" s="1"/>
  <c r="AH30" i="30" a="1"/>
  <c r="AH30" i="30" s="1"/>
  <c r="AG30" i="30" a="1"/>
  <c r="AG30" i="30" s="1"/>
  <c r="AF30" i="30" a="1"/>
  <c r="AF30" i="30" s="1"/>
  <c r="C28" i="78"/>
  <c r="D28" i="78"/>
  <c r="E28" i="78"/>
  <c r="F28" i="78"/>
  <c r="E28" i="76"/>
  <c r="F28" i="76"/>
  <c r="B29" i="76"/>
  <c r="C28" i="76"/>
  <c r="D28" i="76"/>
  <c r="G28" i="76" s="1"/>
  <c r="G27" i="78"/>
  <c r="H25" i="76"/>
  <c r="B29" i="78"/>
  <c r="AC31" i="30"/>
  <c r="AJ31" i="30" l="1" a="1"/>
  <c r="AJ31" i="30" s="1"/>
  <c r="AI31" i="30" a="1"/>
  <c r="AI31" i="30" s="1"/>
  <c r="AH31" i="30" a="1"/>
  <c r="AH31" i="30" s="1"/>
  <c r="AG31" i="30" a="1"/>
  <c r="AG31" i="30" s="1"/>
  <c r="AF31" i="30" a="1"/>
  <c r="AF31" i="30" s="1"/>
  <c r="C29" i="78"/>
  <c r="D29" i="78"/>
  <c r="E29" i="78"/>
  <c r="F29" i="78"/>
  <c r="E29" i="76"/>
  <c r="F29" i="76"/>
  <c r="B30" i="76"/>
  <c r="C29" i="76"/>
  <c r="D29" i="76"/>
  <c r="G29" i="76" s="1"/>
  <c r="G28" i="78"/>
  <c r="H26" i="76"/>
  <c r="B30" i="78"/>
  <c r="AC32" i="30"/>
  <c r="AF32" i="30" l="1" a="1"/>
  <c r="AF32" i="30" s="1"/>
  <c r="AG32" i="30" a="1"/>
  <c r="AG32" i="30" s="1"/>
  <c r="AH32" i="30" a="1"/>
  <c r="AH32" i="30" s="1"/>
  <c r="AI32" i="30" a="1"/>
  <c r="AI32" i="30" s="1"/>
  <c r="AJ32" i="30" a="1"/>
  <c r="AJ32" i="30" s="1"/>
  <c r="C30" i="78"/>
  <c r="D30" i="78"/>
  <c r="E30" i="78"/>
  <c r="F30" i="78"/>
  <c r="E30" i="76"/>
  <c r="F30" i="76"/>
  <c r="B31" i="76"/>
  <c r="C30" i="76"/>
  <c r="D30" i="76"/>
  <c r="G30" i="76" s="1"/>
  <c r="G29" i="78"/>
  <c r="H27" i="76"/>
  <c r="B31" i="78"/>
  <c r="AC33" i="30"/>
  <c r="AF33" i="30" l="1" a="1"/>
  <c r="AF33" i="30" s="1"/>
  <c r="AG33" i="30" a="1"/>
  <c r="AG33" i="30" s="1"/>
  <c r="AH33" i="30" a="1"/>
  <c r="AH33" i="30" s="1"/>
  <c r="AI33" i="30" a="1"/>
  <c r="AI33" i="30" s="1"/>
  <c r="AJ33" i="30" a="1"/>
  <c r="AJ33" i="30" s="1"/>
  <c r="C31" i="78"/>
  <c r="D31" i="78"/>
  <c r="E31" i="78"/>
  <c r="F31" i="78"/>
  <c r="E31" i="76"/>
  <c r="F31" i="76"/>
  <c r="B32" i="76"/>
  <c r="C31" i="76"/>
  <c r="D31" i="76"/>
  <c r="G31" i="76" s="1"/>
  <c r="G30" i="78"/>
  <c r="H28" i="76"/>
  <c r="B32" i="78"/>
  <c r="AC34" i="30"/>
  <c r="AF34" i="30" l="1" a="1"/>
  <c r="AF34" i="30" s="1"/>
  <c r="AG34" i="30" a="1"/>
  <c r="AG34" i="30" s="1"/>
  <c r="AH34" i="30" a="1"/>
  <c r="AH34" i="30" s="1"/>
  <c r="AI34" i="30" a="1"/>
  <c r="AI34" i="30" s="1"/>
  <c r="AJ34" i="30" a="1"/>
  <c r="AJ34" i="30" s="1"/>
  <c r="C32" i="78"/>
  <c r="D32" i="78"/>
  <c r="E32" i="78"/>
  <c r="F32" i="78"/>
  <c r="E32" i="76"/>
  <c r="F32" i="76"/>
  <c r="B33" i="76"/>
  <c r="C32" i="76"/>
  <c r="D32" i="76"/>
  <c r="G32" i="76" s="1"/>
  <c r="G31" i="78"/>
  <c r="H29" i="76"/>
  <c r="B33" i="78"/>
  <c r="AC35" i="30"/>
  <c r="AF35" i="30" l="1" a="1"/>
  <c r="AF35" i="30" s="1"/>
  <c r="AG35" i="30" a="1"/>
  <c r="AG35" i="30" s="1"/>
  <c r="AH35" i="30" a="1"/>
  <c r="AH35" i="30" s="1"/>
  <c r="AI35" i="30" a="1"/>
  <c r="AI35" i="30" s="1"/>
  <c r="AJ35" i="30" a="1"/>
  <c r="AJ35" i="30" s="1"/>
  <c r="C33" i="78"/>
  <c r="D33" i="78"/>
  <c r="E33" i="78"/>
  <c r="F33" i="78"/>
  <c r="E33" i="76"/>
  <c r="F33" i="76"/>
  <c r="B34" i="76"/>
  <c r="C33" i="76"/>
  <c r="D33" i="76"/>
  <c r="G33" i="76" s="1"/>
  <c r="G32" i="78"/>
  <c r="H30" i="76"/>
  <c r="B34" i="78"/>
  <c r="AC36" i="30"/>
  <c r="AF36" i="30" l="1" a="1"/>
  <c r="AF36" i="30" s="1"/>
  <c r="AG36" i="30" a="1"/>
  <c r="AG36" i="30" s="1"/>
  <c r="AH36" i="30" a="1"/>
  <c r="AH36" i="30" s="1"/>
  <c r="AI36" i="30" a="1"/>
  <c r="AI36" i="30" s="1"/>
  <c r="AJ36" i="30" a="1"/>
  <c r="AJ36" i="30" s="1"/>
  <c r="C34" i="78"/>
  <c r="D34" i="78"/>
  <c r="E34" i="78"/>
  <c r="F34" i="78"/>
  <c r="E34" i="76"/>
  <c r="F34" i="76"/>
  <c r="B35" i="76"/>
  <c r="C34" i="76"/>
  <c r="D34" i="76"/>
  <c r="G34" i="76" s="1"/>
  <c r="G33" i="78"/>
  <c r="H31" i="76"/>
  <c r="AC37" i="30"/>
  <c r="AC38" i="30"/>
  <c r="B35" i="78"/>
  <c r="AF38" i="30" l="1" a="1"/>
  <c r="AF38" i="30" s="1"/>
  <c r="AG38" i="30" a="1"/>
  <c r="AG38" i="30" s="1"/>
  <c r="AH38" i="30" a="1"/>
  <c r="AH38" i="30" s="1"/>
  <c r="AI38" i="30" a="1"/>
  <c r="AI38" i="30" s="1"/>
  <c r="AJ38" i="30" a="1"/>
  <c r="AJ38" i="30" s="1"/>
  <c r="AF37" i="30" a="1"/>
  <c r="AF37" i="30" s="1"/>
  <c r="AG37" i="30" a="1"/>
  <c r="AG37" i="30" s="1"/>
  <c r="AH37" i="30" a="1"/>
  <c r="AH37" i="30" s="1"/>
  <c r="AI37" i="30" a="1"/>
  <c r="AI37" i="30" s="1"/>
  <c r="AJ37" i="30" a="1"/>
  <c r="AJ37" i="30" s="1"/>
  <c r="C35" i="78"/>
  <c r="D35" i="78"/>
  <c r="E35" i="78"/>
  <c r="F35" i="78"/>
  <c r="E35" i="76"/>
  <c r="F35" i="76"/>
  <c r="B36" i="76"/>
  <c r="C35" i="76"/>
  <c r="D35" i="76"/>
  <c r="G35" i="76" s="1"/>
  <c r="G34" i="78"/>
  <c r="H32" i="76"/>
  <c r="AC39" i="30"/>
  <c r="B36" i="78"/>
  <c r="AF39" i="30" l="1" a="1"/>
  <c r="AF39" i="30" s="1"/>
  <c r="AG39" i="30" a="1"/>
  <c r="AG39" i="30" s="1"/>
  <c r="AH39" i="30" a="1"/>
  <c r="AH39" i="30" s="1"/>
  <c r="AI39" i="30" a="1"/>
  <c r="AI39" i="30" s="1"/>
  <c r="AJ39" i="30" a="1"/>
  <c r="AJ39" i="30" s="1"/>
  <c r="C36" i="78"/>
  <c r="D36" i="78"/>
  <c r="E36" i="78"/>
  <c r="F36" i="78"/>
  <c r="E36" i="76"/>
  <c r="F36" i="76"/>
  <c r="B37" i="76"/>
  <c r="C36" i="76"/>
  <c r="D36" i="76"/>
  <c r="G36" i="76" s="1"/>
  <c r="G35" i="78"/>
  <c r="H33" i="76"/>
  <c r="AC40" i="30"/>
  <c r="B37" i="78"/>
  <c r="AF40" i="30" l="1" a="1"/>
  <c r="AF40" i="30" s="1"/>
  <c r="AG40" i="30" a="1"/>
  <c r="AG40" i="30" s="1"/>
  <c r="AH40" i="30" a="1"/>
  <c r="AH40" i="30" s="1"/>
  <c r="AI40" i="30" a="1"/>
  <c r="AI40" i="30" s="1"/>
  <c r="AJ40" i="30" a="1"/>
  <c r="AJ40" i="30" s="1"/>
  <c r="C37" i="78"/>
  <c r="D37" i="78"/>
  <c r="E37" i="78"/>
  <c r="F37" i="78"/>
  <c r="E37" i="76"/>
  <c r="F37" i="76"/>
  <c r="B38" i="76"/>
  <c r="C37" i="76"/>
  <c r="D37" i="76"/>
  <c r="G37" i="76" s="1"/>
  <c r="G36" i="78"/>
  <c r="H34" i="76"/>
  <c r="AC41" i="30"/>
  <c r="B38" i="78"/>
  <c r="B6" i="75"/>
  <c r="D6" i="75" l="1"/>
  <c r="C6" i="75"/>
  <c r="AF41" i="30" a="1"/>
  <c r="AF41" i="30" s="1"/>
  <c r="AG41" i="30" a="1"/>
  <c r="AG41" i="30" s="1"/>
  <c r="AH41" i="30" a="1"/>
  <c r="AH41" i="30" s="1"/>
  <c r="AI41" i="30" a="1"/>
  <c r="AI41" i="30" s="1"/>
  <c r="AJ41" i="30" a="1"/>
  <c r="AJ41" i="30" s="1"/>
  <c r="C38" i="78"/>
  <c r="D38" i="78"/>
  <c r="E38" i="78"/>
  <c r="F38" i="78"/>
  <c r="E38" i="76"/>
  <c r="F38" i="76"/>
  <c r="B39" i="76"/>
  <c r="C38" i="76"/>
  <c r="D38" i="76"/>
  <c r="G38" i="76" s="1"/>
  <c r="G37" i="78"/>
  <c r="H35" i="76"/>
  <c r="AC42" i="30"/>
  <c r="B39" i="78"/>
  <c r="B7" i="75"/>
  <c r="D7" i="75" l="1"/>
  <c r="C7" i="75"/>
  <c r="AF42" i="30" a="1"/>
  <c r="AF42" i="30" s="1"/>
  <c r="AG42" i="30" a="1"/>
  <c r="AG42" i="30" s="1"/>
  <c r="AH42" i="30" a="1"/>
  <c r="AH42" i="30" s="1"/>
  <c r="AI42" i="30" a="1"/>
  <c r="AI42" i="30" s="1"/>
  <c r="AJ42" i="30" a="1"/>
  <c r="AJ42" i="30" s="1"/>
  <c r="C39" i="78"/>
  <c r="D39" i="78"/>
  <c r="E39" i="78"/>
  <c r="F39" i="78"/>
  <c r="E39" i="76"/>
  <c r="F39" i="76"/>
  <c r="B40" i="76"/>
  <c r="C39" i="76"/>
  <c r="D39" i="76"/>
  <c r="G39" i="76" s="1"/>
  <c r="G38" i="78"/>
  <c r="H36" i="76"/>
  <c r="AC43" i="30"/>
  <c r="B40" i="78"/>
  <c r="B8" i="75"/>
  <c r="D8" i="75" l="1"/>
  <c r="C8" i="75"/>
  <c r="AF43" i="30" a="1"/>
  <c r="AF43" i="30" s="1"/>
  <c r="AG43" i="30" a="1"/>
  <c r="AG43" i="30" s="1"/>
  <c r="AH43" i="30" a="1"/>
  <c r="AH43" i="30" s="1"/>
  <c r="AI43" i="30" a="1"/>
  <c r="AI43" i="30" s="1"/>
  <c r="AJ43" i="30" a="1"/>
  <c r="AJ43" i="30" s="1"/>
  <c r="C40" i="78"/>
  <c r="D40" i="78"/>
  <c r="E40" i="78"/>
  <c r="F40" i="78"/>
  <c r="E40" i="76"/>
  <c r="F40" i="76"/>
  <c r="B41" i="76"/>
  <c r="C40" i="76"/>
  <c r="D40" i="76"/>
  <c r="G40" i="76" s="1"/>
  <c r="G39" i="78"/>
  <c r="H37" i="76"/>
  <c r="AC44" i="30"/>
  <c r="B41" i="78"/>
  <c r="B9" i="75"/>
  <c r="D9" i="75" l="1"/>
  <c r="C9" i="75"/>
  <c r="AF44" i="30" a="1"/>
  <c r="AF44" i="30" s="1"/>
  <c r="AG44" i="30" a="1"/>
  <c r="AG44" i="30" s="1"/>
  <c r="AH44" i="30" a="1"/>
  <c r="AH44" i="30" s="1"/>
  <c r="AI44" i="30" a="1"/>
  <c r="AI44" i="30" s="1"/>
  <c r="AJ44" i="30" a="1"/>
  <c r="AJ44" i="30" s="1"/>
  <c r="C41" i="78"/>
  <c r="D41" i="78"/>
  <c r="E41" i="78"/>
  <c r="F41" i="78"/>
  <c r="C41" i="76"/>
  <c r="D41" i="76"/>
  <c r="E41" i="76"/>
  <c r="F41" i="76"/>
  <c r="G40" i="78"/>
  <c r="H38" i="76"/>
  <c r="AC45" i="30"/>
  <c r="B10" i="75"/>
  <c r="D10" i="75" l="1"/>
  <c r="C10" i="75"/>
  <c r="AF45" i="30" a="1"/>
  <c r="AF45" i="30" s="1"/>
  <c r="AG45" i="30" a="1"/>
  <c r="AG45" i="30" s="1"/>
  <c r="AH45" i="30" a="1"/>
  <c r="AH45" i="30" s="1"/>
  <c r="AI45" i="30" a="1"/>
  <c r="AI45" i="30" s="1"/>
  <c r="AJ45" i="30" a="1"/>
  <c r="AJ45" i="30" s="1"/>
  <c r="G41" i="76"/>
  <c r="H41" i="76" s="1"/>
  <c r="G41" i="78"/>
  <c r="H39" i="76"/>
  <c r="AC46" i="30"/>
  <c r="B11" i="75"/>
  <c r="D11" i="75" l="1"/>
  <c r="C11" i="75"/>
  <c r="AF46" i="30" a="1"/>
  <c r="AF46" i="30" s="1"/>
  <c r="AG46" i="30" a="1"/>
  <c r="AG46" i="30" s="1"/>
  <c r="AH46" i="30" a="1"/>
  <c r="AH46" i="30" s="1"/>
  <c r="AI46" i="30" a="1"/>
  <c r="AI46" i="30" s="1"/>
  <c r="AJ46" i="30" a="1"/>
  <c r="AJ46" i="30" s="1"/>
  <c r="H40" i="76"/>
  <c r="B12" i="75"/>
  <c r="D12" i="75" l="1"/>
  <c r="C12" i="75"/>
  <c r="B13" i="75"/>
  <c r="D13" i="75" l="1"/>
  <c r="C13" i="75"/>
  <c r="B14" i="75"/>
  <c r="D14" i="75" l="1"/>
  <c r="C14" i="75"/>
  <c r="B15" i="75"/>
  <c r="D15" i="75" l="1"/>
  <c r="C15" i="75"/>
  <c r="B16" i="75"/>
  <c r="D16" i="75" l="1"/>
  <c r="C16" i="75"/>
  <c r="B17" i="75"/>
  <c r="D17" i="75" l="1"/>
  <c r="C17" i="75"/>
  <c r="B18" i="75"/>
  <c r="D18" i="75" l="1"/>
  <c r="C18" i="75"/>
  <c r="B19" i="75"/>
  <c r="D19" i="75" l="1"/>
  <c r="C19" i="75"/>
  <c r="B20" i="75"/>
  <c r="D20" i="75" l="1"/>
  <c r="C20" i="75"/>
  <c r="B21" i="75"/>
  <c r="D21" i="75" l="1"/>
  <c r="C21" i="75"/>
  <c r="B22" i="75"/>
  <c r="D22" i="75" l="1"/>
  <c r="C22" i="75"/>
  <c r="B23" i="75"/>
  <c r="D23" i="75" l="1"/>
  <c r="C23" i="75"/>
  <c r="B24" i="75"/>
  <c r="D24" i="75" l="1"/>
  <c r="C24" i="75"/>
  <c r="B25" i="75"/>
  <c r="D25" i="75" l="1"/>
  <c r="C25" i="75"/>
  <c r="B26" i="75"/>
  <c r="D26" i="75" l="1"/>
  <c r="C26" i="75"/>
  <c r="B27" i="75"/>
  <c r="D27" i="75" l="1"/>
  <c r="C27" i="75"/>
  <c r="B28" i="75"/>
  <c r="D28" i="75" l="1"/>
  <c r="C28" i="75"/>
  <c r="B29" i="75"/>
  <c r="D29" i="75" l="1"/>
  <c r="C29" i="75"/>
  <c r="B30" i="75"/>
  <c r="D30" i="75" l="1"/>
  <c r="C30" i="75"/>
  <c r="B31" i="75"/>
  <c r="D31" i="75" l="1"/>
  <c r="C31" i="75"/>
  <c r="B32" i="75"/>
  <c r="D32" i="75" l="1"/>
  <c r="C32" i="75"/>
  <c r="B33" i="75"/>
  <c r="D33" i="75" l="1"/>
  <c r="C33" i="75"/>
  <c r="B34" i="75"/>
  <c r="D34" i="75" l="1"/>
  <c r="C34" i="75"/>
  <c r="B35" i="75"/>
  <c r="D35" i="75" l="1"/>
  <c r="C35" i="75"/>
  <c r="B36" i="75"/>
  <c r="D36" i="75" l="1"/>
  <c r="C36" i="75"/>
  <c r="B37" i="75"/>
  <c r="D37" i="75" l="1"/>
  <c r="C37" i="75"/>
  <c r="B38" i="75"/>
  <c r="D38" i="75" l="1"/>
  <c r="C38" i="75"/>
  <c r="B39" i="75"/>
  <c r="D39" i="75" l="1"/>
  <c r="C39" i="75"/>
  <c r="B40" i="75"/>
  <c r="D40" i="75" l="1"/>
  <c r="C40" i="75"/>
  <c r="B7" i="30"/>
  <c r="B8" i="30" l="1"/>
  <c r="B9" i="30" l="1"/>
  <c r="B10" i="30" l="1"/>
  <c r="E6" i="42"/>
  <c r="B11" i="30" l="1"/>
  <c r="D6" i="42"/>
  <c r="E7" i="42" l="1"/>
  <c r="B12" i="30"/>
  <c r="D7" i="42"/>
  <c r="E8" i="42"/>
  <c r="E9" i="42"/>
  <c r="B13" i="30" l="1"/>
  <c r="D9" i="42"/>
  <c r="D8" i="42"/>
  <c r="E10" i="42"/>
  <c r="B14" i="30" l="1"/>
  <c r="D10" i="42"/>
  <c r="E11" i="42"/>
  <c r="B15" i="30" l="1"/>
  <c r="D11" i="42"/>
  <c r="E12" i="42"/>
  <c r="B16" i="30" l="1"/>
  <c r="D12" i="42"/>
  <c r="E13" i="42"/>
  <c r="B17" i="30" l="1"/>
  <c r="D13" i="42"/>
  <c r="E14" i="42"/>
  <c r="B18" i="30" l="1"/>
  <c r="D14" i="42"/>
  <c r="E15" i="42"/>
  <c r="B19" i="30" l="1"/>
  <c r="D15" i="42"/>
  <c r="E16" i="42"/>
  <c r="B20" i="30" l="1"/>
  <c r="D16" i="42"/>
  <c r="E17" i="42"/>
  <c r="B21" i="30" l="1"/>
  <c r="D17" i="42"/>
  <c r="E18" i="42"/>
  <c r="B22" i="30" l="1"/>
  <c r="D18" i="42"/>
  <c r="E19" i="42"/>
  <c r="B23" i="30" l="1"/>
  <c r="D19" i="42"/>
  <c r="E20" i="42"/>
  <c r="B24" i="30" l="1"/>
  <c r="D20" i="42"/>
  <c r="E21" i="42"/>
  <c r="B25" i="30" l="1"/>
  <c r="D21" i="42"/>
  <c r="E22" i="42"/>
  <c r="B26" i="30" l="1"/>
  <c r="D22" i="42"/>
  <c r="E23" i="42"/>
  <c r="D26" i="30" l="1"/>
  <c r="C26" i="30"/>
  <c r="B27" i="30"/>
  <c r="D23" i="42"/>
  <c r="E24" i="42"/>
  <c r="D27" i="30" l="1"/>
  <c r="C27" i="30"/>
  <c r="B28" i="30"/>
  <c r="D24" i="42"/>
  <c r="E25" i="42"/>
  <c r="D28" i="30" l="1"/>
  <c r="C28" i="30"/>
  <c r="B29" i="30"/>
  <c r="D25" i="42"/>
  <c r="E26" i="42"/>
  <c r="D29" i="30" l="1"/>
  <c r="C29" i="30"/>
  <c r="B30" i="30"/>
  <c r="D26" i="42"/>
  <c r="E27" i="42"/>
  <c r="D30" i="30" l="1"/>
  <c r="C30" i="30"/>
  <c r="B31" i="30"/>
  <c r="D27" i="42"/>
  <c r="D31" i="30" l="1"/>
  <c r="C31" i="30"/>
  <c r="B32" i="30"/>
  <c r="D28" i="42"/>
  <c r="D32" i="30" l="1"/>
  <c r="C32" i="30"/>
  <c r="B33" i="30"/>
  <c r="D29" i="42"/>
  <c r="D33" i="30" l="1"/>
  <c r="C33" i="30"/>
  <c r="B34" i="30"/>
  <c r="D30" i="42"/>
  <c r="E31" i="42"/>
  <c r="D34" i="30" l="1"/>
  <c r="C34" i="30"/>
  <c r="B35" i="30"/>
  <c r="D31" i="42"/>
  <c r="E32" i="42"/>
  <c r="D35" i="30" l="1"/>
  <c r="C35" i="30"/>
  <c r="D32" i="42"/>
  <c r="E33" i="42"/>
  <c r="D33" i="42" l="1"/>
  <c r="E34" i="42"/>
  <c r="D34" i="42" l="1"/>
  <c r="E35" i="42"/>
  <c r="D35" i="42" l="1"/>
  <c r="E36" i="42"/>
  <c r="D36" i="42" l="1"/>
  <c r="E37" i="42"/>
  <c r="D37" i="42" l="1"/>
  <c r="E38" i="42"/>
  <c r="D38" i="42" l="1"/>
  <c r="E39" i="42"/>
  <c r="D39" i="42" l="1"/>
  <c r="E40" i="42"/>
  <c r="D40" i="42" l="1"/>
  <c r="D41" i="42" l="1"/>
  <c r="D42" i="42" s="1"/>
  <c r="E115" i="46" s="1"/>
  <c r="E78" i="46"/>
  <c r="C8" i="46"/>
  <c r="I8" i="46" l="1"/>
  <c r="G8" i="46"/>
  <c r="H8" i="46"/>
  <c r="F8" i="46"/>
  <c r="E8" i="46"/>
  <c r="D8" i="46"/>
  <c r="K8" i="46"/>
  <c r="J8" i="46"/>
  <c r="C79" i="46"/>
  <c r="D79" i="46" s="1"/>
  <c r="E79" i="46" s="1"/>
  <c r="C80" i="46" l="1"/>
  <c r="D80" i="46" s="1"/>
  <c r="E80" i="46" s="1"/>
  <c r="C81" i="46" l="1"/>
  <c r="D81" i="46" s="1"/>
  <c r="E81" i="46" s="1"/>
  <c r="C82" i="46" l="1"/>
  <c r="D82" i="46" s="1"/>
  <c r="E82" i="46" s="1"/>
  <c r="C83" i="46" l="1"/>
  <c r="D83" i="46" s="1"/>
  <c r="E83" i="46" s="1"/>
  <c r="C84" i="46" l="1"/>
  <c r="D84" i="46" s="1"/>
  <c r="E84" i="46" s="1"/>
  <c r="C85" i="46" l="1"/>
  <c r="D85" i="46" s="1"/>
  <c r="E85" i="46" s="1"/>
  <c r="C86" i="46" l="1"/>
  <c r="D86" i="46" s="1"/>
  <c r="E86" i="46" s="1"/>
  <c r="C9" i="46"/>
  <c r="I9" i="46" l="1"/>
  <c r="G9" i="46"/>
  <c r="H9" i="46"/>
  <c r="E9" i="46"/>
  <c r="D9" i="46"/>
  <c r="M9" i="46"/>
  <c r="C87" i="46"/>
  <c r="D87" i="46" s="1"/>
  <c r="E87" i="46" s="1"/>
  <c r="C10" i="46"/>
  <c r="I10" i="46" l="1"/>
  <c r="G10" i="46"/>
  <c r="M10" i="46"/>
  <c r="H10" i="46"/>
  <c r="E10" i="46"/>
  <c r="D10" i="46"/>
  <c r="C88" i="46"/>
  <c r="D88" i="46" s="1"/>
  <c r="E88" i="46" s="1"/>
  <c r="C11" i="46"/>
  <c r="M11" i="46" l="1"/>
  <c r="E11" i="46"/>
  <c r="D11" i="46"/>
  <c r="C89" i="46"/>
  <c r="D89" i="46" s="1"/>
  <c r="E89" i="46" s="1"/>
  <c r="C12" i="46"/>
  <c r="M12" i="46" l="1"/>
  <c r="E12" i="46"/>
  <c r="D12" i="46"/>
  <c r="C90" i="46"/>
  <c r="D90" i="46" s="1"/>
  <c r="E90" i="46" s="1"/>
  <c r="C13" i="46"/>
  <c r="M13" i="46" l="1"/>
  <c r="E13" i="46"/>
  <c r="D13" i="46"/>
  <c r="C91" i="46"/>
  <c r="D91" i="46" s="1"/>
  <c r="E91" i="46" s="1"/>
  <c r="C14" i="46"/>
  <c r="M14" i="46" l="1"/>
  <c r="E14" i="46"/>
  <c r="D14" i="46"/>
  <c r="C92" i="46"/>
  <c r="D92" i="46" s="1"/>
  <c r="E92" i="46" s="1"/>
  <c r="C15" i="46"/>
  <c r="M15" i="46" l="1"/>
  <c r="E15" i="46"/>
  <c r="D15" i="46"/>
  <c r="C93" i="46"/>
  <c r="D93" i="46" s="1"/>
  <c r="E93" i="46" s="1"/>
  <c r="C16" i="46"/>
  <c r="M16" i="46" l="1"/>
  <c r="E16" i="46"/>
  <c r="D16" i="46"/>
  <c r="C94" i="46"/>
  <c r="D94" i="46" s="1"/>
  <c r="E94" i="46" s="1"/>
  <c r="C17" i="46"/>
  <c r="M17" i="46" l="1"/>
  <c r="E17" i="46"/>
  <c r="D17" i="46"/>
  <c r="C95" i="46"/>
  <c r="D95" i="46" s="1"/>
  <c r="E95" i="46" s="1"/>
  <c r="C18" i="46"/>
  <c r="M18" i="46" l="1"/>
  <c r="E18" i="46"/>
  <c r="D18" i="46"/>
  <c r="C96" i="46"/>
  <c r="D96" i="46" s="1"/>
  <c r="E96" i="46" s="1"/>
  <c r="C19" i="46"/>
  <c r="M19" i="46" l="1"/>
  <c r="E19" i="46"/>
  <c r="D19" i="46"/>
  <c r="C97" i="46"/>
  <c r="D97" i="46" s="1"/>
  <c r="E97" i="46" s="1"/>
  <c r="C20" i="46"/>
  <c r="M20" i="46" l="1"/>
  <c r="E20" i="46"/>
  <c r="D20" i="46"/>
  <c r="C98" i="46"/>
  <c r="D98" i="46" s="1"/>
  <c r="E98" i="46" s="1"/>
  <c r="C21" i="46"/>
  <c r="M21" i="46" l="1"/>
  <c r="E21" i="46"/>
  <c r="D21" i="46"/>
  <c r="C99" i="46"/>
  <c r="D99" i="46" s="1"/>
  <c r="E99" i="46" s="1"/>
  <c r="C22" i="46"/>
  <c r="M22" i="46" l="1"/>
  <c r="E22" i="46"/>
  <c r="D22" i="46"/>
  <c r="C100" i="46"/>
  <c r="D100" i="46" s="1"/>
  <c r="E100" i="46" s="1"/>
  <c r="C23" i="46"/>
  <c r="M23" i="46" l="1"/>
  <c r="E23" i="46"/>
  <c r="D23" i="46"/>
  <c r="C101" i="46"/>
  <c r="D101" i="46" s="1"/>
  <c r="E101" i="46" s="1"/>
  <c r="C24" i="46"/>
  <c r="M24" i="46" l="1"/>
  <c r="E24" i="46"/>
  <c r="D24" i="46"/>
  <c r="C102" i="46"/>
  <c r="D102" i="46" s="1"/>
  <c r="E102" i="46" s="1"/>
  <c r="C25" i="46"/>
  <c r="M25" i="46" l="1"/>
  <c r="E25" i="46"/>
  <c r="D25" i="46"/>
  <c r="C103" i="46"/>
  <c r="D103" i="46" s="1"/>
  <c r="E103" i="46" s="1"/>
  <c r="C26" i="46"/>
  <c r="M26" i="46" l="1"/>
  <c r="E26" i="46"/>
  <c r="D26" i="46"/>
  <c r="C104" i="46"/>
  <c r="D104" i="46" s="1"/>
  <c r="E104" i="46" s="1"/>
  <c r="C27" i="46"/>
  <c r="M27" i="46" l="1"/>
  <c r="E27" i="46"/>
  <c r="D27" i="46"/>
  <c r="C105" i="46"/>
  <c r="D105" i="46" s="1"/>
  <c r="E105" i="46" s="1"/>
  <c r="C28" i="46"/>
  <c r="E28" i="46" l="1"/>
  <c r="D28" i="46"/>
  <c r="C106" i="46"/>
  <c r="D106" i="46" s="1"/>
  <c r="E106" i="46" s="1"/>
  <c r="C29" i="46"/>
  <c r="E29" i="46" l="1"/>
  <c r="D29" i="46"/>
  <c r="C107" i="46"/>
  <c r="D107" i="46" s="1"/>
  <c r="E107" i="46" s="1"/>
  <c r="C30" i="46"/>
  <c r="E30" i="46" l="1"/>
  <c r="D30" i="46"/>
  <c r="C108" i="46"/>
  <c r="D108" i="46" s="1"/>
  <c r="E108" i="46" s="1"/>
  <c r="C31" i="46"/>
  <c r="E31" i="46" l="1"/>
  <c r="D31" i="46"/>
  <c r="C109" i="46"/>
  <c r="D109" i="46" s="1"/>
  <c r="E109" i="46" s="1"/>
  <c r="C32" i="46"/>
  <c r="M32" i="46" l="1"/>
  <c r="E32" i="46"/>
  <c r="D32" i="46"/>
  <c r="C110" i="46"/>
  <c r="D110" i="46" s="1"/>
  <c r="E110" i="46" s="1"/>
  <c r="C33" i="46"/>
  <c r="E33" i="46" l="1"/>
  <c r="D33" i="46"/>
  <c r="C111" i="46"/>
  <c r="D111" i="46" s="1"/>
  <c r="E111" i="46" s="1"/>
  <c r="C34" i="46"/>
  <c r="M34" i="46" l="1"/>
  <c r="E34" i="46"/>
  <c r="D34" i="46"/>
  <c r="C112" i="46"/>
  <c r="D112" i="46" s="1"/>
  <c r="E112" i="46" s="1"/>
  <c r="C35" i="46"/>
  <c r="M35" i="46" l="1"/>
  <c r="E35" i="46"/>
  <c r="D35" i="46"/>
  <c r="E21" i="75"/>
  <c r="E22" i="75"/>
  <c r="E23" i="75"/>
  <c r="E24" i="75"/>
  <c r="E25" i="75"/>
  <c r="E26" i="75"/>
  <c r="E27" i="75"/>
  <c r="E28" i="75"/>
  <c r="E29" i="75"/>
  <c r="E30" i="75"/>
  <c r="E31" i="75"/>
  <c r="E32" i="75"/>
  <c r="F32" i="75" s="1"/>
  <c r="E33" i="75"/>
  <c r="F33" i="75" s="1"/>
  <c r="E34" i="75"/>
  <c r="F34" i="75" s="1"/>
  <c r="E35" i="75"/>
  <c r="F35" i="75" s="1"/>
  <c r="E36" i="75"/>
  <c r="F36" i="75" s="1"/>
  <c r="E37" i="75"/>
  <c r="F37" i="75" s="1"/>
  <c r="E38" i="75"/>
  <c r="F38" i="75" s="1"/>
  <c r="E39" i="75"/>
  <c r="F39" i="75" s="1"/>
  <c r="E40" i="75"/>
  <c r="F40" i="75" s="1"/>
  <c r="H41" i="78"/>
  <c r="H40" i="78"/>
  <c r="H39" i="78"/>
  <c r="H38" i="78"/>
  <c r="H37" i="78"/>
  <c r="H36" i="78"/>
  <c r="H6" i="76"/>
  <c r="N20" i="42"/>
  <c r="G22" i="46"/>
  <c r="G21" i="46"/>
  <c r="G20" i="46"/>
  <c r="G19" i="46"/>
  <c r="G18" i="46"/>
  <c r="G17" i="46"/>
  <c r="G16" i="46"/>
  <c r="G15" i="46"/>
  <c r="G14" i="46"/>
  <c r="G13" i="46"/>
  <c r="G12" i="46"/>
  <c r="K6" i="79"/>
  <c r="D6" i="79"/>
  <c r="G11" i="46" s="1"/>
  <c r="G23" i="46"/>
  <c r="G35" i="46"/>
  <c r="G34" i="46"/>
  <c r="G33" i="46"/>
  <c r="G32" i="46"/>
  <c r="G31" i="46"/>
  <c r="G30" i="46"/>
  <c r="G29" i="46"/>
  <c r="G28" i="46"/>
  <c r="G27" i="46"/>
  <c r="G26" i="46"/>
  <c r="G25" i="46"/>
  <c r="G24" i="46"/>
  <c r="C113" i="46"/>
  <c r="D113" i="46" s="1"/>
  <c r="E113" i="46" s="1"/>
  <c r="C36" i="46"/>
  <c r="E29" i="42" l="1"/>
  <c r="E41" i="42"/>
  <c r="E28" i="42"/>
  <c r="E30" i="42"/>
  <c r="M31" i="46" s="1"/>
  <c r="M30" i="46"/>
  <c r="M33" i="46"/>
  <c r="G36" i="46"/>
  <c r="M36" i="46"/>
  <c r="E36" i="46"/>
  <c r="D36" i="46"/>
  <c r="F9" i="46"/>
  <c r="F31" i="75"/>
  <c r="F30" i="75"/>
  <c r="F29" i="75"/>
  <c r="F28" i="75"/>
  <c r="F27" i="75"/>
  <c r="F26" i="75"/>
  <c r="F25" i="75"/>
  <c r="F24" i="75"/>
  <c r="F23" i="75"/>
  <c r="F22" i="75"/>
  <c r="F21" i="75"/>
  <c r="I36" i="46"/>
  <c r="F10" i="46"/>
  <c r="H33" i="78"/>
  <c r="H34" i="78"/>
  <c r="H35" i="78"/>
  <c r="F37" i="42"/>
  <c r="F38" i="42"/>
  <c r="F39" i="42"/>
  <c r="F40" i="42"/>
  <c r="F41" i="42"/>
  <c r="E6" i="79"/>
  <c r="J6" i="79"/>
  <c r="I6" i="79"/>
  <c r="I12" i="46"/>
  <c r="I13" i="46"/>
  <c r="I14" i="46"/>
  <c r="I15" i="46"/>
  <c r="I16" i="46"/>
  <c r="I17" i="46"/>
  <c r="I18" i="46"/>
  <c r="I19" i="46"/>
  <c r="I20" i="46"/>
  <c r="I21" i="46"/>
  <c r="I22" i="46"/>
  <c r="H6" i="78"/>
  <c r="E20" i="75"/>
  <c r="E19" i="75"/>
  <c r="E18" i="75"/>
  <c r="L36" i="46" s="1"/>
  <c r="E17" i="75"/>
  <c r="L35" i="46" s="1"/>
  <c r="E16" i="75"/>
  <c r="L34" i="46" s="1"/>
  <c r="E15" i="75"/>
  <c r="L33" i="46" s="1"/>
  <c r="E14" i="75"/>
  <c r="L32" i="46" s="1"/>
  <c r="E13" i="75"/>
  <c r="L31" i="46" s="1"/>
  <c r="E12" i="75"/>
  <c r="L30" i="46" s="1"/>
  <c r="E11" i="75"/>
  <c r="L29" i="46" s="1"/>
  <c r="E10" i="75"/>
  <c r="L28" i="46" s="1"/>
  <c r="E9" i="75"/>
  <c r="L27" i="46" s="1"/>
  <c r="E8" i="75"/>
  <c r="E7" i="75"/>
  <c r="L10" i="46" s="1"/>
  <c r="E6" i="75"/>
  <c r="L9" i="46" s="1"/>
  <c r="E5" i="75"/>
  <c r="L8" i="46" s="1"/>
  <c r="I24" i="46"/>
  <c r="I25" i="46"/>
  <c r="I26" i="46"/>
  <c r="I27" i="46"/>
  <c r="I28" i="46"/>
  <c r="I29" i="46"/>
  <c r="I30" i="46"/>
  <c r="I31" i="46"/>
  <c r="I32" i="46"/>
  <c r="I33" i="46"/>
  <c r="I34" i="46"/>
  <c r="I35" i="46"/>
  <c r="E114" i="46"/>
  <c r="C37" i="46"/>
  <c r="I11" i="46" l="1"/>
  <c r="I23" i="46"/>
  <c r="L11" i="46"/>
  <c r="L12" i="46"/>
  <c r="L13" i="46"/>
  <c r="L14" i="46"/>
  <c r="L15" i="46"/>
  <c r="L16" i="46"/>
  <c r="L17" i="46"/>
  <c r="L18" i="46"/>
  <c r="L19" i="46"/>
  <c r="L20" i="46"/>
  <c r="L21" i="46"/>
  <c r="L24" i="46"/>
  <c r="L22" i="46"/>
  <c r="L25" i="46"/>
  <c r="L23" i="46"/>
  <c r="L26" i="46"/>
  <c r="M28" i="46"/>
  <c r="M29" i="46"/>
  <c r="H36" i="46"/>
  <c r="H35" i="46"/>
  <c r="H34" i="46"/>
  <c r="H33" i="46"/>
  <c r="H32" i="46"/>
  <c r="H31" i="46"/>
  <c r="H30" i="46"/>
  <c r="H29" i="46"/>
  <c r="H28" i="46"/>
  <c r="H27" i="46"/>
  <c r="H26" i="46"/>
  <c r="H25" i="46"/>
  <c r="H24" i="46"/>
  <c r="H22" i="46"/>
  <c r="H21" i="46"/>
  <c r="H20" i="46"/>
  <c r="H19" i="46"/>
  <c r="H18" i="46"/>
  <c r="H16" i="46"/>
  <c r="H14" i="46"/>
  <c r="H12" i="46"/>
  <c r="I37" i="46"/>
  <c r="G37" i="46"/>
  <c r="M37" i="46"/>
  <c r="H37" i="46"/>
  <c r="E37" i="46"/>
  <c r="D37" i="46"/>
  <c r="F21" i="46"/>
  <c r="F27" i="42"/>
  <c r="L6" i="79"/>
  <c r="F6" i="42"/>
  <c r="M8" i="46"/>
  <c r="O8" i="46" s="1"/>
  <c r="F37" i="46"/>
  <c r="L37" i="46"/>
  <c r="H32" i="78"/>
  <c r="F36" i="46"/>
  <c r="H31" i="78"/>
  <c r="F35" i="46"/>
  <c r="H30" i="78"/>
  <c r="F34" i="46"/>
  <c r="H29" i="78"/>
  <c r="F33" i="46"/>
  <c r="H28" i="78"/>
  <c r="F32" i="46"/>
  <c r="H27" i="78"/>
  <c r="F31" i="46"/>
  <c r="H26" i="78"/>
  <c r="F30" i="46"/>
  <c r="H25" i="78"/>
  <c r="F29" i="46"/>
  <c r="H24" i="78"/>
  <c r="F28" i="46"/>
  <c r="H23" i="78"/>
  <c r="F27" i="46"/>
  <c r="H22" i="78"/>
  <c r="F26" i="46"/>
  <c r="H21" i="78"/>
  <c r="F25" i="46"/>
  <c r="H20" i="78"/>
  <c r="F24" i="46"/>
  <c r="H19" i="78"/>
  <c r="F23" i="46"/>
  <c r="H18" i="78"/>
  <c r="F22" i="46"/>
  <c r="H16" i="78"/>
  <c r="F20" i="46"/>
  <c r="H15" i="78"/>
  <c r="F19" i="46"/>
  <c r="H14" i="78"/>
  <c r="F18" i="46"/>
  <c r="H13" i="78"/>
  <c r="F17" i="46"/>
  <c r="H12" i="78"/>
  <c r="F16" i="46"/>
  <c r="H11" i="78"/>
  <c r="F15" i="46"/>
  <c r="H10" i="78"/>
  <c r="F14" i="46"/>
  <c r="H9" i="78"/>
  <c r="F13" i="46"/>
  <c r="H8" i="78"/>
  <c r="F12" i="46"/>
  <c r="H7" i="78"/>
  <c r="F11" i="46"/>
  <c r="F36" i="42"/>
  <c r="F35" i="42"/>
  <c r="F34" i="42"/>
  <c r="F33" i="42"/>
  <c r="F32" i="42"/>
  <c r="F31" i="42"/>
  <c r="F30" i="42"/>
  <c r="F29" i="42"/>
  <c r="F28" i="42"/>
  <c r="F26" i="42"/>
  <c r="F25" i="42"/>
  <c r="F24" i="42"/>
  <c r="F23" i="42"/>
  <c r="F22" i="42"/>
  <c r="F21" i="42"/>
  <c r="F20" i="42"/>
  <c r="F19" i="42"/>
  <c r="F18" i="42"/>
  <c r="F17" i="42"/>
  <c r="F16" i="42"/>
  <c r="F15" i="42"/>
  <c r="F14" i="42"/>
  <c r="F13" i="42"/>
  <c r="F12" i="42"/>
  <c r="F11" i="42"/>
  <c r="F10" i="42"/>
  <c r="F8" i="42"/>
  <c r="F9" i="42"/>
  <c r="F7" i="42"/>
  <c r="H17" i="78"/>
  <c r="H42" i="78" s="1"/>
  <c r="M6" i="79"/>
  <c r="N6" i="79"/>
  <c r="F5" i="75"/>
  <c r="F6" i="75"/>
  <c r="F7" i="75"/>
  <c r="F8" i="75"/>
  <c r="F9" i="75"/>
  <c r="H42" i="76"/>
  <c r="F10" i="75"/>
  <c r="F11" i="75"/>
  <c r="F12" i="75"/>
  <c r="F13" i="75"/>
  <c r="F14" i="75"/>
  <c r="F15" i="75"/>
  <c r="F16" i="75"/>
  <c r="F17" i="75"/>
  <c r="F18" i="75"/>
  <c r="F19" i="75"/>
  <c r="F20" i="75"/>
  <c r="C38" i="46"/>
  <c r="H11" i="46" l="1"/>
  <c r="H23" i="46"/>
  <c r="O6" i="79"/>
  <c r="H13" i="46"/>
  <c r="H17" i="46"/>
  <c r="H15" i="46"/>
  <c r="I38" i="46"/>
  <c r="G38" i="46"/>
  <c r="M38" i="46"/>
  <c r="H38" i="46"/>
  <c r="E38" i="46"/>
  <c r="D38" i="46"/>
  <c r="N8" i="46"/>
  <c r="F42" i="42"/>
  <c r="F38" i="46"/>
  <c r="L38" i="46"/>
  <c r="F41" i="75"/>
  <c r="C39" i="46"/>
  <c r="M41" i="79" l="1"/>
  <c r="O41" i="79"/>
  <c r="I39" i="46"/>
  <c r="G39" i="46"/>
  <c r="M39" i="46"/>
  <c r="H39" i="46"/>
  <c r="E39" i="46"/>
  <c r="D39" i="46"/>
  <c r="F39" i="46"/>
  <c r="L39" i="46"/>
  <c r="C40" i="46"/>
  <c r="I40" i="46" l="1"/>
  <c r="G40" i="46"/>
  <c r="M40" i="46"/>
  <c r="H40" i="46"/>
  <c r="E40" i="46"/>
  <c r="D40" i="46"/>
  <c r="F40" i="46"/>
  <c r="L40" i="46"/>
  <c r="C41" i="46"/>
  <c r="I41" i="46" l="1"/>
  <c r="G41" i="46"/>
  <c r="M41" i="46"/>
  <c r="H41" i="46"/>
  <c r="E41" i="46"/>
  <c r="D41" i="46"/>
  <c r="F41" i="46"/>
  <c r="L41" i="46"/>
  <c r="C42" i="46"/>
  <c r="I42" i="46" l="1"/>
  <c r="G42" i="46"/>
  <c r="M42" i="46"/>
  <c r="H42" i="46"/>
  <c r="E42" i="46"/>
  <c r="D42" i="46"/>
  <c r="F42" i="46"/>
  <c r="L42" i="46"/>
  <c r="C43" i="46"/>
  <c r="I43" i="46" l="1"/>
  <c r="G43" i="46"/>
  <c r="M43" i="46"/>
  <c r="H43" i="46"/>
  <c r="E43" i="46"/>
  <c r="D43" i="46"/>
  <c r="F43" i="46"/>
  <c r="L43" i="46"/>
  <c r="C44" i="46"/>
  <c r="I44" i="46" l="1"/>
  <c r="G44" i="46"/>
  <c r="M44" i="46"/>
  <c r="H44" i="46"/>
  <c r="E44" i="46"/>
  <c r="D44" i="46"/>
  <c r="F44" i="46"/>
  <c r="L44" i="46"/>
  <c r="C45" i="46"/>
  <c r="I45" i="46" l="1"/>
  <c r="G45" i="46"/>
  <c r="M45" i="46"/>
  <c r="H45" i="46"/>
  <c r="E45" i="46"/>
  <c r="D45" i="46"/>
  <c r="F45" i="46"/>
  <c r="L45" i="46"/>
  <c r="C46" i="46"/>
  <c r="I46" i="46" l="1"/>
  <c r="G46" i="46"/>
  <c r="M46" i="46"/>
  <c r="H46" i="46"/>
  <c r="E46" i="46"/>
  <c r="D46" i="46"/>
  <c r="F46" i="46"/>
  <c r="L46" i="46"/>
  <c r="C47" i="46"/>
  <c r="I47" i="46" l="1"/>
  <c r="G47" i="46"/>
  <c r="M47" i="46"/>
  <c r="H47" i="46"/>
  <c r="E47" i="46"/>
  <c r="D47" i="46"/>
  <c r="F47" i="46"/>
  <c r="L47" i="46"/>
  <c r="C48" i="46"/>
  <c r="I48" i="46" l="1"/>
  <c r="G48" i="46"/>
  <c r="M48" i="46"/>
  <c r="H48" i="46"/>
  <c r="E48" i="46"/>
  <c r="D48" i="46"/>
  <c r="F48" i="46"/>
  <c r="L48" i="46"/>
  <c r="C49" i="46"/>
  <c r="I49" i="46" l="1"/>
  <c r="G49" i="46"/>
  <c r="M49" i="46"/>
  <c r="H49" i="46"/>
  <c r="E49" i="46"/>
  <c r="D49" i="46"/>
  <c r="F49" i="46"/>
  <c r="L49" i="46"/>
  <c r="C50" i="46"/>
  <c r="I50" i="46" l="1"/>
  <c r="G50" i="46"/>
  <c r="M50" i="46"/>
  <c r="H50" i="46"/>
  <c r="E50" i="46"/>
  <c r="D50" i="46"/>
  <c r="F50" i="46"/>
  <c r="L50" i="46"/>
  <c r="C51" i="46"/>
  <c r="I51" i="46" l="1"/>
  <c r="G51" i="46"/>
  <c r="M51" i="46"/>
  <c r="H51" i="46"/>
  <c r="E51" i="46"/>
  <c r="D51" i="46"/>
  <c r="F51" i="46"/>
  <c r="L51" i="46"/>
  <c r="C52" i="46"/>
  <c r="I52" i="46" l="1"/>
  <c r="G52" i="46"/>
  <c r="M52" i="46"/>
  <c r="H52" i="46"/>
  <c r="E52" i="46"/>
  <c r="D52" i="46"/>
  <c r="F52" i="46"/>
  <c r="L52" i="46"/>
  <c r="C53" i="46"/>
  <c r="I53" i="46" l="1"/>
  <c r="G53" i="46"/>
  <c r="M53" i="46"/>
  <c r="H53" i="46"/>
  <c r="E53" i="46"/>
  <c r="D53" i="46"/>
  <c r="K53" i="46"/>
  <c r="J53" i="46"/>
  <c r="F53" i="46"/>
  <c r="L53" i="46"/>
  <c r="C54" i="46"/>
  <c r="I54" i="46" l="1"/>
  <c r="G54" i="46"/>
  <c r="O53" i="46"/>
  <c r="M54" i="46"/>
  <c r="H54" i="46"/>
  <c r="E54" i="46"/>
  <c r="D54" i="46"/>
  <c r="N53" i="46"/>
  <c r="K54" i="46"/>
  <c r="J54" i="46"/>
  <c r="F54" i="46"/>
  <c r="L54" i="46"/>
  <c r="C55" i="46"/>
  <c r="I55" i="46" l="1"/>
  <c r="G55" i="46"/>
  <c r="O54" i="46"/>
  <c r="M55" i="46"/>
  <c r="H55" i="46"/>
  <c r="E55" i="46"/>
  <c r="D55" i="46"/>
  <c r="N54" i="46"/>
  <c r="K55" i="46"/>
  <c r="J55" i="46"/>
  <c r="F55" i="46"/>
  <c r="L55" i="46"/>
  <c r="C56" i="46"/>
  <c r="I56" i="46" l="1"/>
  <c r="G56" i="46"/>
  <c r="O55" i="46"/>
  <c r="M56" i="46"/>
  <c r="H56" i="46"/>
  <c r="E56" i="46"/>
  <c r="D56" i="46"/>
  <c r="N55" i="46"/>
  <c r="K56" i="46"/>
  <c r="J56" i="46"/>
  <c r="F56" i="46"/>
  <c r="L56" i="46"/>
  <c r="C57" i="46"/>
  <c r="I57" i="46" l="1"/>
  <c r="G57" i="46"/>
  <c r="O56" i="46"/>
  <c r="M57" i="46"/>
  <c r="H57" i="46"/>
  <c r="E57" i="46"/>
  <c r="D57" i="46"/>
  <c r="N56" i="46"/>
  <c r="K57" i="46"/>
  <c r="J57" i="46"/>
  <c r="F57" i="46"/>
  <c r="L57" i="46"/>
  <c r="C58" i="46"/>
  <c r="I58" i="46" l="1"/>
  <c r="G58" i="46"/>
  <c r="O57" i="46"/>
  <c r="M58" i="46"/>
  <c r="H58" i="46"/>
  <c r="E58" i="46"/>
  <c r="D58" i="46"/>
  <c r="N57" i="46"/>
  <c r="K58" i="46"/>
  <c r="J58" i="46"/>
  <c r="F58" i="46"/>
  <c r="L58" i="46"/>
  <c r="C59" i="46"/>
  <c r="I59" i="46" l="1"/>
  <c r="G59" i="46"/>
  <c r="O58" i="46"/>
  <c r="M59" i="46"/>
  <c r="H59" i="46"/>
  <c r="E59" i="46"/>
  <c r="D59" i="46"/>
  <c r="N58" i="46"/>
  <c r="K59" i="46"/>
  <c r="J59" i="46"/>
  <c r="F59" i="46"/>
  <c r="L59" i="46"/>
  <c r="C60" i="46"/>
  <c r="I60" i="46" l="1"/>
  <c r="G60" i="46"/>
  <c r="O59" i="46"/>
  <c r="M60" i="46"/>
  <c r="H60" i="46"/>
  <c r="E60" i="46"/>
  <c r="D60" i="46"/>
  <c r="N59" i="46"/>
  <c r="K60" i="46"/>
  <c r="J60" i="46"/>
  <c r="F60" i="46"/>
  <c r="L60" i="46"/>
  <c r="C61" i="46"/>
  <c r="I61" i="46" l="1"/>
  <c r="G61" i="46"/>
  <c r="O60" i="46"/>
  <c r="M61" i="46"/>
  <c r="H61" i="46"/>
  <c r="E61" i="46"/>
  <c r="D61" i="46"/>
  <c r="N60" i="46"/>
  <c r="K61" i="46"/>
  <c r="J61" i="46"/>
  <c r="F61" i="46"/>
  <c r="L61" i="46"/>
  <c r="C62" i="46"/>
  <c r="I62" i="46" l="1"/>
  <c r="G62" i="46"/>
  <c r="O61" i="46"/>
  <c r="M62" i="46"/>
  <c r="H62" i="46"/>
  <c r="E62" i="46"/>
  <c r="D62" i="46"/>
  <c r="N61" i="46"/>
  <c r="K62" i="46"/>
  <c r="J62" i="46"/>
  <c r="F62" i="46"/>
  <c r="L62" i="46"/>
  <c r="C63" i="46"/>
  <c r="I63" i="46" l="1"/>
  <c r="G63" i="46"/>
  <c r="O62" i="46"/>
  <c r="M63" i="46"/>
  <c r="H63" i="46"/>
  <c r="E63" i="46"/>
  <c r="D63" i="46"/>
  <c r="N62" i="46"/>
  <c r="K63" i="46"/>
  <c r="J63" i="46"/>
  <c r="F63" i="46"/>
  <c r="L63" i="46"/>
  <c r="C64" i="46"/>
  <c r="I64" i="46" l="1"/>
  <c r="G64" i="46"/>
  <c r="O63" i="46"/>
  <c r="M64" i="46"/>
  <c r="H64" i="46"/>
  <c r="E64" i="46"/>
  <c r="D64" i="46"/>
  <c r="N63" i="46"/>
  <c r="K64" i="46"/>
  <c r="J64" i="46"/>
  <c r="F64" i="46"/>
  <c r="L64" i="46"/>
  <c r="C65" i="46"/>
  <c r="I65" i="46" l="1"/>
  <c r="G65" i="46"/>
  <c r="O64" i="46"/>
  <c r="M65" i="46"/>
  <c r="H65" i="46"/>
  <c r="E65" i="46"/>
  <c r="D65" i="46"/>
  <c r="N64" i="46"/>
  <c r="K65" i="46"/>
  <c r="J65" i="46"/>
  <c r="F65" i="46"/>
  <c r="L65" i="46"/>
  <c r="C66" i="46"/>
  <c r="I66" i="46" l="1"/>
  <c r="G66" i="46"/>
  <c r="O65" i="46"/>
  <c r="M66" i="46"/>
  <c r="H66" i="46"/>
  <c r="E66" i="46"/>
  <c r="D66" i="46"/>
  <c r="N65" i="46"/>
  <c r="K66" i="46"/>
  <c r="J66" i="46"/>
  <c r="F66" i="46"/>
  <c r="L66" i="46"/>
  <c r="C67" i="46"/>
  <c r="I67" i="46" l="1"/>
  <c r="G67" i="46"/>
  <c r="O66" i="46"/>
  <c r="M67" i="46"/>
  <c r="H67" i="46"/>
  <c r="E67" i="46"/>
  <c r="D67" i="46"/>
  <c r="N66" i="46"/>
  <c r="K67" i="46"/>
  <c r="J67" i="46"/>
  <c r="F67" i="46"/>
  <c r="L67" i="46"/>
  <c r="C68" i="46"/>
  <c r="I68" i="46" l="1"/>
  <c r="G68" i="46"/>
  <c r="O67" i="46"/>
  <c r="M68" i="46"/>
  <c r="H68" i="46"/>
  <c r="E68" i="46"/>
  <c r="D68" i="46"/>
  <c r="N67" i="46"/>
  <c r="K68" i="46"/>
  <c r="J68" i="46"/>
  <c r="F68" i="46"/>
  <c r="L68" i="46"/>
  <c r="O68" i="46" l="1"/>
  <c r="N68" i="46"/>
  <c r="D119" i="46" l="1"/>
  <c r="D127" i="46" s="1"/>
  <c r="D114" i="46"/>
  <c r="Y7" i="30" l="1"/>
  <c r="AJ54" i="80" l="1"/>
  <c r="AJ53" i="80"/>
  <c r="AJ52" i="80"/>
  <c r="AJ19" i="80"/>
  <c r="AJ18" i="80"/>
  <c r="AJ17" i="80"/>
  <c r="AJ16" i="80"/>
  <c r="AJ15" i="80"/>
  <c r="AJ14" i="80"/>
  <c r="AJ13" i="80"/>
  <c r="AJ12" i="80"/>
  <c r="AJ11" i="80"/>
  <c r="AJ10" i="80"/>
  <c r="AD54" i="80"/>
  <c r="AD53" i="80"/>
  <c r="AD52" i="80"/>
  <c r="AD19" i="80"/>
  <c r="AD18" i="80"/>
  <c r="AD17" i="80"/>
  <c r="AD16" i="80"/>
  <c r="AD15" i="80"/>
  <c r="AD14" i="80"/>
  <c r="AD13" i="80"/>
  <c r="AD12" i="80"/>
  <c r="AD11" i="80"/>
  <c r="AD10" i="80"/>
  <c r="J10" i="46" l="1"/>
  <c r="J9" i="46" l="1"/>
  <c r="AJ39" i="80" l="1"/>
  <c r="AJ38" i="80"/>
  <c r="AJ37" i="80"/>
  <c r="AJ36" i="80"/>
  <c r="AJ35" i="80"/>
  <c r="AJ34" i="80"/>
  <c r="AJ33" i="80"/>
  <c r="AJ32" i="80"/>
  <c r="AJ31" i="80"/>
  <c r="AJ30" i="80"/>
  <c r="AJ29" i="80"/>
  <c r="AJ28" i="80"/>
  <c r="AJ27" i="80"/>
  <c r="D13" i="80"/>
  <c r="AJ26" i="80"/>
  <c r="D12" i="80"/>
  <c r="AJ25" i="80"/>
  <c r="D11" i="80"/>
  <c r="AJ24" i="80"/>
  <c r="D10" i="80"/>
  <c r="AJ23" i="80"/>
  <c r="D9" i="80"/>
  <c r="AJ22" i="80"/>
  <c r="D8" i="80"/>
  <c r="AJ21" i="80"/>
  <c r="D7" i="80"/>
  <c r="AJ20" i="80"/>
  <c r="D6" i="80"/>
  <c r="AD39" i="80"/>
  <c r="AD38" i="80"/>
  <c r="AD37" i="80"/>
  <c r="AD36" i="80"/>
  <c r="AD35" i="80"/>
  <c r="AD34" i="80"/>
  <c r="AD33" i="80"/>
  <c r="AD32" i="80"/>
  <c r="AD31" i="80"/>
  <c r="AD30" i="80"/>
  <c r="AD29" i="80"/>
  <c r="AD28" i="80"/>
  <c r="AD27" i="80"/>
  <c r="C13" i="80"/>
  <c r="AD26" i="80"/>
  <c r="C12" i="80"/>
  <c r="AD25" i="80"/>
  <c r="C11" i="80"/>
  <c r="AD24" i="80"/>
  <c r="C10" i="80"/>
  <c r="AD23" i="80"/>
  <c r="C9" i="80"/>
  <c r="AD22" i="80"/>
  <c r="C8" i="80"/>
  <c r="AD21" i="80"/>
  <c r="C7" i="80"/>
  <c r="AD20" i="80"/>
  <c r="C6" i="80"/>
  <c r="E6" i="80"/>
  <c r="K9" i="46"/>
  <c r="O9" i="46" s="1"/>
  <c r="E7" i="80"/>
  <c r="K10" i="46"/>
  <c r="O10" i="46" s="1"/>
  <c r="E8" i="80"/>
  <c r="K11" i="46"/>
  <c r="E9" i="80"/>
  <c r="K12" i="46"/>
  <c r="E10" i="80"/>
  <c r="K13" i="46"/>
  <c r="E11" i="80"/>
  <c r="K14" i="46"/>
  <c r="E12" i="80"/>
  <c r="K15" i="46"/>
  <c r="E13" i="80"/>
  <c r="K16" i="46"/>
  <c r="K17" i="46"/>
  <c r="K18" i="46"/>
  <c r="F6" i="80"/>
  <c r="F7" i="80"/>
  <c r="F8" i="80"/>
  <c r="F9" i="80"/>
  <c r="F10" i="80"/>
  <c r="F11" i="80"/>
  <c r="F12" i="80"/>
  <c r="F13" i="80"/>
  <c r="AJ51" i="80"/>
  <c r="AJ50" i="80"/>
  <c r="AJ49" i="80"/>
  <c r="D35" i="80"/>
  <c r="AJ48" i="80"/>
  <c r="D34" i="80"/>
  <c r="AJ47" i="80"/>
  <c r="D33" i="80"/>
  <c r="AJ46" i="80"/>
  <c r="D32" i="80"/>
  <c r="AJ45" i="80"/>
  <c r="D31" i="80"/>
  <c r="AJ44" i="80"/>
  <c r="D30" i="80"/>
  <c r="AJ43" i="80"/>
  <c r="D29" i="80"/>
  <c r="AJ42" i="80"/>
  <c r="D28" i="80"/>
  <c r="AJ41" i="80"/>
  <c r="D27" i="80"/>
  <c r="AJ40" i="80"/>
  <c r="D26" i="80"/>
  <c r="AD51" i="80"/>
  <c r="AD50" i="80"/>
  <c r="AD49" i="80"/>
  <c r="C35" i="80"/>
  <c r="E35" i="80"/>
  <c r="K52" i="46"/>
  <c r="AD48" i="80"/>
  <c r="C34" i="80"/>
  <c r="E34" i="80"/>
  <c r="K51" i="46"/>
  <c r="AD47" i="80"/>
  <c r="C33" i="80"/>
  <c r="E33" i="80"/>
  <c r="K50" i="46"/>
  <c r="AD46" i="80"/>
  <c r="C32" i="80"/>
  <c r="E32" i="80"/>
  <c r="K49" i="46"/>
  <c r="AD45" i="80"/>
  <c r="C31" i="80"/>
  <c r="E31" i="80"/>
  <c r="AD44" i="80"/>
  <c r="C30" i="80"/>
  <c r="E30" i="80"/>
  <c r="K47" i="46"/>
  <c r="AD43" i="80"/>
  <c r="C29" i="80"/>
  <c r="E29" i="80"/>
  <c r="K46" i="46"/>
  <c r="AD42" i="80"/>
  <c r="C28" i="80"/>
  <c r="E28" i="80"/>
  <c r="K45" i="46"/>
  <c r="AD41" i="80"/>
  <c r="C27" i="80"/>
  <c r="E27" i="80"/>
  <c r="AD40" i="80"/>
  <c r="C26" i="80"/>
  <c r="E26" i="80"/>
  <c r="F26" i="80"/>
  <c r="K43" i="46"/>
  <c r="F27" i="80"/>
  <c r="K44" i="46"/>
  <c r="F31" i="80"/>
  <c r="K48" i="46"/>
  <c r="F28" i="80"/>
  <c r="F29" i="80"/>
  <c r="F30" i="80"/>
  <c r="F32" i="80"/>
  <c r="F33" i="80"/>
  <c r="F34" i="80"/>
  <c r="F35" i="80"/>
  <c r="D25" i="80"/>
  <c r="D24" i="80"/>
  <c r="D23" i="80"/>
  <c r="D22" i="80"/>
  <c r="D21" i="80"/>
  <c r="D20" i="80"/>
  <c r="D19" i="80"/>
  <c r="D18" i="80"/>
  <c r="D17" i="80"/>
  <c r="D16" i="80"/>
  <c r="D15" i="80"/>
  <c r="D14" i="80"/>
  <c r="C25" i="80"/>
  <c r="C24" i="80"/>
  <c r="C23" i="80"/>
  <c r="C22" i="80"/>
  <c r="C21" i="80"/>
  <c r="C20" i="80"/>
  <c r="C19" i="80"/>
  <c r="C18" i="80"/>
  <c r="C17" i="80"/>
  <c r="C16" i="80"/>
  <c r="C15" i="80"/>
  <c r="C14" i="80"/>
  <c r="E23" i="80"/>
  <c r="K28" i="46" s="1"/>
  <c r="K40" i="46"/>
  <c r="E19" i="80"/>
  <c r="K24" i="46" s="1"/>
  <c r="K36" i="46"/>
  <c r="E14" i="80"/>
  <c r="K19" i="46" s="1"/>
  <c r="K31" i="46"/>
  <c r="E15" i="80"/>
  <c r="K20" i="46" s="1"/>
  <c r="K32" i="46"/>
  <c r="E16" i="80"/>
  <c r="K21" i="46" s="1"/>
  <c r="K33" i="46"/>
  <c r="E17" i="80"/>
  <c r="K22" i="46" s="1"/>
  <c r="K34" i="46"/>
  <c r="F14" i="80"/>
  <c r="F15" i="80"/>
  <c r="F16" i="80"/>
  <c r="E18" i="80"/>
  <c r="K23" i="46" s="1"/>
  <c r="K35" i="46"/>
  <c r="F18" i="80"/>
  <c r="E21" i="80"/>
  <c r="K26" i="46" s="1"/>
  <c r="K38" i="46"/>
  <c r="E25" i="80"/>
  <c r="K30" i="46" s="1"/>
  <c r="K42" i="46"/>
  <c r="E20" i="80"/>
  <c r="K25" i="46" s="1"/>
  <c r="K37" i="46"/>
  <c r="E24" i="80"/>
  <c r="K29" i="46" s="1"/>
  <c r="K41" i="46"/>
  <c r="E22" i="80"/>
  <c r="K27" i="46" s="1"/>
  <c r="K39" i="46"/>
  <c r="F20" i="80"/>
  <c r="F22" i="80"/>
  <c r="F21" i="80"/>
  <c r="F25" i="80"/>
  <c r="F23" i="80"/>
  <c r="F19" i="80"/>
  <c r="F17" i="80"/>
  <c r="F24" i="80"/>
  <c r="F36" i="80"/>
  <c r="N10" i="46" l="1"/>
  <c r="N9" i="46"/>
  <c r="Y46" i="30"/>
  <c r="Y45" i="30"/>
  <c r="Y44" i="30"/>
  <c r="Y43" i="30"/>
  <c r="Y42" i="30"/>
  <c r="Y41" i="30"/>
  <c r="Y40" i="30"/>
  <c r="Y39" i="30"/>
  <c r="Y38" i="30"/>
  <c r="Y37" i="30"/>
  <c r="Y36" i="30"/>
  <c r="Y35" i="30"/>
  <c r="Y34" i="30"/>
  <c r="Y33" i="30"/>
  <c r="Y32" i="30"/>
  <c r="Y31" i="30"/>
  <c r="C25" i="30" s="1"/>
  <c r="Y30" i="30"/>
  <c r="C24" i="30" s="1"/>
  <c r="Y29" i="30"/>
  <c r="C23" i="30" s="1"/>
  <c r="Y28" i="30"/>
  <c r="C22" i="30" s="1"/>
  <c r="Y27" i="30"/>
  <c r="C21" i="30" s="1"/>
  <c r="Y26" i="30"/>
  <c r="C20" i="30" s="1"/>
  <c r="Y25" i="30"/>
  <c r="C19" i="30" s="1"/>
  <c r="Y24" i="30"/>
  <c r="C18" i="30" s="1"/>
  <c r="Y23" i="30"/>
  <c r="C17" i="30" s="1"/>
  <c r="Y22" i="30"/>
  <c r="C16" i="30" s="1"/>
  <c r="Y21" i="30"/>
  <c r="C15" i="30" s="1"/>
  <c r="Y20" i="30"/>
  <c r="C14" i="30" s="1"/>
  <c r="Y19" i="30"/>
  <c r="C13" i="30" s="1"/>
  <c r="Y18" i="30"/>
  <c r="C12" i="30" s="1"/>
  <c r="Y17" i="30"/>
  <c r="C11" i="30" s="1"/>
  <c r="Y16" i="30"/>
  <c r="C10" i="30" s="1"/>
  <c r="Y15" i="30"/>
  <c r="C9" i="30" s="1"/>
  <c r="Y14" i="30"/>
  <c r="C8" i="30" s="1"/>
  <c r="Y13" i="30"/>
  <c r="C7" i="30" s="1"/>
  <c r="Y12" i="30"/>
  <c r="C6" i="30" s="1"/>
  <c r="Y11" i="30"/>
  <c r="Y10" i="30"/>
  <c r="Y9" i="30"/>
  <c r="Y8" i="30"/>
  <c r="AK7" i="30"/>
  <c r="AK8" i="30"/>
  <c r="AK9" i="30"/>
  <c r="AK10" i="30"/>
  <c r="AK11" i="30"/>
  <c r="AK12" i="30"/>
  <c r="AK13" i="30"/>
  <c r="AK14" i="30"/>
  <c r="AK15" i="30"/>
  <c r="AK16" i="30"/>
  <c r="AK17" i="30"/>
  <c r="AK18" i="30"/>
  <c r="AK19" i="30"/>
  <c r="AK20" i="30"/>
  <c r="AK21" i="30"/>
  <c r="AK22" i="30"/>
  <c r="AK23" i="30"/>
  <c r="AK24" i="30"/>
  <c r="AK25" i="30"/>
  <c r="AK26" i="30"/>
  <c r="AK27" i="30"/>
  <c r="AK28" i="30"/>
  <c r="AK29" i="30"/>
  <c r="AK30" i="30"/>
  <c r="AK31" i="30"/>
  <c r="AK32" i="30"/>
  <c r="AK33" i="30"/>
  <c r="AK34" i="30"/>
  <c r="AK35" i="30"/>
  <c r="AK36" i="30"/>
  <c r="AK37" i="30"/>
  <c r="AK38" i="30"/>
  <c r="AK39" i="30"/>
  <c r="AK40" i="30"/>
  <c r="AK41" i="30"/>
  <c r="AK42" i="30"/>
  <c r="AK43" i="30"/>
  <c r="AK44" i="30"/>
  <c r="AK45" i="30"/>
  <c r="AK46" i="30"/>
  <c r="E35" i="30"/>
  <c r="J52" i="46" s="1"/>
  <c r="O52" i="46" s="1"/>
  <c r="E34" i="30"/>
  <c r="J51" i="46" s="1"/>
  <c r="O51" i="46" s="1"/>
  <c r="E33" i="30"/>
  <c r="J50" i="46" s="1"/>
  <c r="O50" i="46" s="1"/>
  <c r="E32" i="30"/>
  <c r="J49" i="46" s="1"/>
  <c r="O49" i="46" s="1"/>
  <c r="E31" i="30"/>
  <c r="J48" i="46" s="1"/>
  <c r="O48" i="46" s="1"/>
  <c r="E30" i="30"/>
  <c r="J47" i="46" s="1"/>
  <c r="O47" i="46" s="1"/>
  <c r="E29" i="30"/>
  <c r="J46" i="46" s="1"/>
  <c r="O46" i="46" s="1"/>
  <c r="E28" i="30"/>
  <c r="J45" i="46" s="1"/>
  <c r="O45" i="46" s="1"/>
  <c r="E27" i="30"/>
  <c r="J44" i="46" s="1"/>
  <c r="O44" i="46" s="1"/>
  <c r="F27" i="30"/>
  <c r="F28" i="30"/>
  <c r="F29" i="30"/>
  <c r="F30" i="30"/>
  <c r="F31" i="30"/>
  <c r="F32" i="30"/>
  <c r="F33" i="30"/>
  <c r="F34" i="30"/>
  <c r="F35" i="30"/>
  <c r="E26" i="30"/>
  <c r="J43" i="46" s="1"/>
  <c r="F26" i="30"/>
  <c r="O43" i="46" l="1"/>
  <c r="N43" i="46"/>
  <c r="D25" i="30"/>
  <c r="E25" i="30" s="1"/>
  <c r="D24" i="30"/>
  <c r="E24" i="30" s="1"/>
  <c r="D23" i="30"/>
  <c r="E23" i="30" s="1"/>
  <c r="D22" i="30"/>
  <c r="E22" i="30" s="1"/>
  <c r="D21" i="30"/>
  <c r="E21" i="30" s="1"/>
  <c r="D20" i="30"/>
  <c r="E20" i="30" s="1"/>
  <c r="D19" i="30"/>
  <c r="E19" i="30" s="1"/>
  <c r="D18" i="30"/>
  <c r="E18" i="30" s="1"/>
  <c r="D17" i="30"/>
  <c r="E17" i="30" s="1"/>
  <c r="J22" i="46" s="1"/>
  <c r="O22" i="46" s="1"/>
  <c r="D16" i="30"/>
  <c r="E16" i="30" s="1"/>
  <c r="J21" i="46" s="1"/>
  <c r="O21" i="46" s="1"/>
  <c r="D15" i="30"/>
  <c r="E15" i="30" s="1"/>
  <c r="J20" i="46" s="1"/>
  <c r="O20" i="46" s="1"/>
  <c r="D14" i="30"/>
  <c r="E14" i="30" s="1"/>
  <c r="J19" i="46" s="1"/>
  <c r="O19" i="46" s="1"/>
  <c r="D13" i="30"/>
  <c r="E13" i="30" s="1"/>
  <c r="J18" i="46" s="1"/>
  <c r="O18" i="46" s="1"/>
  <c r="D12" i="30"/>
  <c r="E12" i="30" s="1"/>
  <c r="J17" i="46" s="1"/>
  <c r="O17" i="46" s="1"/>
  <c r="D11" i="30"/>
  <c r="E11" i="30" s="1"/>
  <c r="J16" i="46" s="1"/>
  <c r="O16" i="46" s="1"/>
  <c r="D10" i="30"/>
  <c r="E10" i="30" s="1"/>
  <c r="J15" i="46" s="1"/>
  <c r="O15" i="46" s="1"/>
  <c r="D9" i="30"/>
  <c r="E9" i="30" s="1"/>
  <c r="J14" i="46" s="1"/>
  <c r="O14" i="46" s="1"/>
  <c r="D8" i="30"/>
  <c r="E8" i="30" s="1"/>
  <c r="J13" i="46" s="1"/>
  <c r="O13" i="46" s="1"/>
  <c r="D7" i="30"/>
  <c r="E7" i="30" s="1"/>
  <c r="J12" i="46" s="1"/>
  <c r="O12" i="46" s="1"/>
  <c r="D6" i="30"/>
  <c r="E6" i="30" s="1"/>
  <c r="J11" i="46" s="1"/>
  <c r="O11" i="46" s="1"/>
  <c r="N22" i="46"/>
  <c r="N21" i="46"/>
  <c r="N20" i="46"/>
  <c r="N19" i="46"/>
  <c r="N18" i="46"/>
  <c r="N17" i="46"/>
  <c r="N16" i="46"/>
  <c r="N15" i="46"/>
  <c r="N14" i="46"/>
  <c r="N13" i="46"/>
  <c r="N12" i="46"/>
  <c r="N11" i="46"/>
  <c r="N44" i="46"/>
  <c r="N45" i="46"/>
  <c r="N46" i="46"/>
  <c r="N47" i="46"/>
  <c r="N48" i="46"/>
  <c r="N49" i="46"/>
  <c r="N50" i="46"/>
  <c r="N51" i="46"/>
  <c r="N52" i="46"/>
  <c r="F6" i="30" l="1"/>
  <c r="J23" i="46"/>
  <c r="F7" i="30"/>
  <c r="J24" i="46"/>
  <c r="F8" i="30"/>
  <c r="J25" i="46"/>
  <c r="F9" i="30"/>
  <c r="J26" i="46"/>
  <c r="F10" i="30"/>
  <c r="J27" i="46"/>
  <c r="F11" i="30"/>
  <c r="J28" i="46"/>
  <c r="F12" i="30"/>
  <c r="J29" i="46"/>
  <c r="F13" i="30"/>
  <c r="J30" i="46"/>
  <c r="F14" i="30"/>
  <c r="J31" i="46"/>
  <c r="J32" i="46"/>
  <c r="F15" i="30"/>
  <c r="J33" i="46"/>
  <c r="F16" i="30"/>
  <c r="J34" i="46"/>
  <c r="F17" i="30"/>
  <c r="J35" i="46"/>
  <c r="F18" i="30"/>
  <c r="J36" i="46"/>
  <c r="F19" i="30"/>
  <c r="J37" i="46"/>
  <c r="F20" i="30"/>
  <c r="J38" i="46"/>
  <c r="F21" i="30"/>
  <c r="J39" i="46"/>
  <c r="F22" i="30"/>
  <c r="J40" i="46"/>
  <c r="F23" i="30"/>
  <c r="J41" i="46"/>
  <c r="F24" i="30"/>
  <c r="J42" i="46"/>
  <c r="F25" i="30"/>
  <c r="O42" i="46" l="1"/>
  <c r="N42" i="46"/>
  <c r="O41" i="46"/>
  <c r="N41" i="46"/>
  <c r="O40" i="46"/>
  <c r="N40" i="46"/>
  <c r="O39" i="46"/>
  <c r="N39" i="46"/>
  <c r="O38" i="46"/>
  <c r="N38" i="46"/>
  <c r="O37" i="46"/>
  <c r="N37" i="46"/>
  <c r="O36" i="46"/>
  <c r="N36" i="46"/>
  <c r="O35" i="46"/>
  <c r="N35" i="46"/>
  <c r="O34" i="46"/>
  <c r="N34" i="46"/>
  <c r="O33" i="46"/>
  <c r="N33" i="46"/>
  <c r="O32" i="46"/>
  <c r="N32" i="46"/>
  <c r="O31" i="46"/>
  <c r="N31" i="46"/>
  <c r="O30" i="46"/>
  <c r="N30" i="46"/>
  <c r="O29" i="46"/>
  <c r="N29" i="46"/>
  <c r="O28" i="46"/>
  <c r="N28" i="46"/>
  <c r="O27" i="46"/>
  <c r="N27" i="46"/>
  <c r="O26" i="46"/>
  <c r="N26" i="46"/>
  <c r="O25" i="46"/>
  <c r="N25" i="46"/>
  <c r="O24" i="46"/>
  <c r="N24" i="46"/>
  <c r="O23" i="46"/>
  <c r="O69" i="46" s="1"/>
  <c r="D118" i="46" s="1"/>
  <c r="D126" i="46" s="1"/>
  <c r="N23" i="46"/>
  <c r="N69" i="46" s="1"/>
  <c r="F36" i="30"/>
  <c r="O70" i="46" s="1"/>
  <c r="D121" i="46"/>
  <c r="D120" i="46"/>
  <c r="D128" i="46" l="1"/>
  <c r="D129" i="46"/>
  <c r="N4" i="108" l="1"/>
  <c r="N3" i="108" l="1"/>
  <c r="M5" i="108" l="1"/>
  <c r="J13" i="108" l="1"/>
  <c r="J14" i="108"/>
  <c r="J15" i="108"/>
  <c r="J16" i="108"/>
  <c r="J18" i="108"/>
  <c r="J20" i="108"/>
  <c r="J21" i="108"/>
  <c r="J23" i="108"/>
  <c r="J27" i="108"/>
  <c r="J28" i="108"/>
  <c r="J29" i="108"/>
  <c r="J30" i="108"/>
  <c r="J31" i="108"/>
  <c r="J35" i="108"/>
  <c r="J36" i="108"/>
  <c r="J37" i="108"/>
  <c r="J38" i="108"/>
  <c r="J39" i="108"/>
  <c r="J40" i="108"/>
  <c r="J41" i="108"/>
  <c r="J42" i="108"/>
  <c r="J43" i="108"/>
  <c r="J44" i="108"/>
  <c r="J47" i="108"/>
  <c r="J48" i="108"/>
  <c r="J49" i="108"/>
  <c r="J50" i="108"/>
  <c r="J51" i="108"/>
  <c r="J52" i="108"/>
  <c r="J55" i="108"/>
  <c r="J56" i="108"/>
  <c r="J57" i="108"/>
  <c r="J58" i="108"/>
  <c r="J59" i="108"/>
  <c r="J60" i="108"/>
  <c r="J61" i="108"/>
  <c r="J62" i="108"/>
  <c r="I75" i="108"/>
  <c r="I76" i="108"/>
  <c r="I77" i="108"/>
  <c r="I78" i="108"/>
  <c r="I79" i="108"/>
  <c r="I80" i="108"/>
  <c r="I81" i="108"/>
  <c r="I82" i="108"/>
  <c r="I83" i="108"/>
  <c r="I84" i="108"/>
  <c r="I85" i="108"/>
  <c r="I86" i="108"/>
  <c r="I87" i="108"/>
  <c r="I88" i="108"/>
  <c r="I92" i="108"/>
  <c r="I93" i="108"/>
  <c r="I94" i="108"/>
  <c r="I95" i="108"/>
  <c r="I117" i="108"/>
  <c r="I118" i="108" s="1"/>
  <c r="K95" i="108" l="1"/>
  <c r="M95" i="108"/>
  <c r="K94" i="108"/>
  <c r="M94" i="108"/>
  <c r="K93" i="108"/>
  <c r="M93" i="108"/>
  <c r="K92" i="108"/>
  <c r="J96" i="108" s="1"/>
  <c r="M92" i="108"/>
  <c r="L96" i="108" s="1"/>
  <c r="I96" i="108"/>
  <c r="K88" i="108"/>
  <c r="M88" i="108"/>
  <c r="K87" i="108"/>
  <c r="M87" i="108"/>
  <c r="K86" i="108"/>
  <c r="M86" i="108"/>
  <c r="K85" i="108"/>
  <c r="M85" i="108"/>
  <c r="K84" i="108"/>
  <c r="M84" i="108"/>
  <c r="K83" i="108"/>
  <c r="M83" i="108"/>
  <c r="K82" i="108"/>
  <c r="M82" i="108"/>
  <c r="K81" i="108"/>
  <c r="M81" i="108"/>
  <c r="K80" i="108"/>
  <c r="M80" i="108"/>
  <c r="K79" i="108"/>
  <c r="M79" i="108"/>
  <c r="K78" i="108"/>
  <c r="M78" i="108"/>
  <c r="K77" i="108"/>
  <c r="M77" i="108"/>
  <c r="K76" i="108"/>
  <c r="M76" i="108"/>
  <c r="K75" i="108"/>
  <c r="J89" i="108" s="1"/>
  <c r="M75" i="108"/>
  <c r="L89" i="108" s="1"/>
  <c r="I89" i="108"/>
  <c r="N89" i="108" s="1"/>
  <c r="L62" i="108"/>
  <c r="N62" i="108"/>
  <c r="L61" i="108"/>
  <c r="N61" i="108"/>
  <c r="L60" i="108"/>
  <c r="N60" i="108"/>
  <c r="L59" i="108"/>
  <c r="N59" i="108"/>
  <c r="L58" i="108"/>
  <c r="N58" i="108"/>
  <c r="L57" i="108"/>
  <c r="N57" i="108"/>
  <c r="L56" i="108"/>
  <c r="L63" i="108" s="1"/>
  <c r="N56" i="108"/>
  <c r="N63" i="108" s="1"/>
  <c r="L55" i="108"/>
  <c r="K63" i="108" s="1"/>
  <c r="N55" i="108"/>
  <c r="M63" i="108" s="1"/>
  <c r="J63" i="108"/>
  <c r="L52" i="108"/>
  <c r="N52" i="108"/>
  <c r="L51" i="108"/>
  <c r="N51" i="108"/>
  <c r="L50" i="108"/>
  <c r="N50" i="108"/>
  <c r="L49" i="108"/>
  <c r="N49" i="108"/>
  <c r="L48" i="108"/>
  <c r="L53" i="108" s="1"/>
  <c r="N48" i="108"/>
  <c r="N53" i="108" s="1"/>
  <c r="L47" i="108"/>
  <c r="K53" i="108" s="1"/>
  <c r="N47" i="108"/>
  <c r="M53" i="108" s="1"/>
  <c r="J53" i="108"/>
  <c r="O53" i="108" s="1"/>
  <c r="L44" i="108"/>
  <c r="N44" i="108"/>
  <c r="L43" i="108"/>
  <c r="N43" i="108"/>
  <c r="L42" i="108"/>
  <c r="N42" i="108"/>
  <c r="L41" i="108"/>
  <c r="N41" i="108"/>
  <c r="L40" i="108"/>
  <c r="N40" i="108"/>
  <c r="L39" i="108"/>
  <c r="N39" i="108"/>
  <c r="L38" i="108"/>
  <c r="N38" i="108"/>
  <c r="L37" i="108"/>
  <c r="N37" i="108"/>
  <c r="L36" i="108"/>
  <c r="N36" i="108"/>
  <c r="N45" i="108" s="1"/>
  <c r="L35" i="108"/>
  <c r="K45" i="108" s="1"/>
  <c r="N35" i="108"/>
  <c r="M45" i="108" s="1"/>
  <c r="J45" i="108"/>
  <c r="O45" i="108" s="1"/>
  <c r="L31" i="108"/>
  <c r="N31" i="108"/>
  <c r="L30" i="108"/>
  <c r="N30" i="108"/>
  <c r="L29" i="108"/>
  <c r="N29" i="108"/>
  <c r="L28" i="108"/>
  <c r="N28" i="108"/>
  <c r="L27" i="108"/>
  <c r="K32" i="108" s="1"/>
  <c r="N27" i="108"/>
  <c r="M32" i="108" s="1"/>
  <c r="J32" i="108"/>
  <c r="O32" i="108" s="1"/>
  <c r="L23" i="108"/>
  <c r="N23" i="108"/>
  <c r="L21" i="108"/>
  <c r="N21" i="108"/>
  <c r="L20" i="108"/>
  <c r="N20" i="108"/>
  <c r="L18" i="108"/>
  <c r="N18" i="108"/>
  <c r="L16" i="108"/>
  <c r="N16" i="108"/>
  <c r="L15" i="108"/>
  <c r="N15" i="108"/>
  <c r="L14" i="108"/>
  <c r="N14" i="108"/>
  <c r="L13" i="108"/>
  <c r="K25" i="108" s="1"/>
  <c r="N13" i="108"/>
  <c r="M25" i="108" s="1"/>
  <c r="J25" i="108"/>
  <c r="O25" i="108" l="1"/>
  <c r="J33" i="108"/>
  <c r="O63" i="108"/>
  <c r="O65" i="108" s="1"/>
  <c r="J65" i="108"/>
  <c r="I68" i="108" s="1"/>
  <c r="M65" i="108"/>
  <c r="L68" i="108" s="1"/>
  <c r="K65" i="108"/>
  <c r="J68" i="108" s="1"/>
  <c r="N96" i="108"/>
  <c r="I98" i="108"/>
  <c r="L98" i="108"/>
  <c r="J98" i="108"/>
  <c r="I122" i="108" l="1"/>
  <c r="I121" i="108"/>
  <c r="N98" i="108"/>
  <c r="O33" i="108"/>
  <c r="N68" i="108" s="1"/>
  <c r="J121" i="108" l="1"/>
  <c r="J122" i="10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Bridget Miller</author>
    <author>guan1rac</author>
    <author>John Isackson</author>
  </authors>
  <commentList>
    <comment ref="M3" authorId="0" shapeId="0" xr:uid="{C07D8354-B813-4DFE-8259-1BE27EEF6AA8}">
      <text>
        <r>
          <rPr>
            <b/>
            <sz val="9"/>
            <color indexed="81"/>
            <rFont val="Tahoma"/>
            <family val="2"/>
          </rPr>
          <t>Bridget Miller:</t>
        </r>
        <r>
          <rPr>
            <sz val="9"/>
            <color indexed="81"/>
            <rFont val="Tahoma"/>
            <family val="2"/>
          </rPr>
          <t xml:space="preserve">
Month/Date/Year
</t>
        </r>
      </text>
    </comment>
    <comment ref="M4" authorId="0" shapeId="0" xr:uid="{157BB464-FAE8-4EB7-AF00-9D7512234EB3}">
      <text>
        <r>
          <rPr>
            <b/>
            <sz val="9"/>
            <color indexed="81"/>
            <rFont val="Tahoma"/>
            <family val="2"/>
          </rPr>
          <t>Bridget Miller:</t>
        </r>
        <r>
          <rPr>
            <sz val="9"/>
            <color indexed="81"/>
            <rFont val="Tahoma"/>
            <family val="2"/>
          </rPr>
          <t xml:space="preserve">
Month/Date/Year
</t>
        </r>
      </text>
    </comment>
    <comment ref="H8" authorId="1" shapeId="0" xr:uid="{00000000-0006-0000-0100-000001000000}">
      <text>
        <r>
          <rPr>
            <b/>
            <sz val="12"/>
            <color indexed="81"/>
            <rFont val="Tahoma"/>
            <family val="2"/>
          </rPr>
          <t>Amount based on Expected Value (Risk Assessment) [PxI]</t>
        </r>
      </text>
    </comment>
    <comment ref="C11" authorId="0" shapeId="0" xr:uid="{044EC79E-4291-466C-8509-385C480CB3CF}">
      <text>
        <r>
          <rPr>
            <b/>
            <sz val="9"/>
            <color indexed="81"/>
            <rFont val="Tahoma"/>
            <family val="2"/>
          </rPr>
          <t>Bridget Miller:</t>
        </r>
        <r>
          <rPr>
            <sz val="9"/>
            <color indexed="81"/>
            <rFont val="Tahoma"/>
            <family val="2"/>
          </rPr>
          <t xml:space="preserve">
</t>
        </r>
        <r>
          <rPr>
            <sz val="14"/>
            <color indexed="81"/>
            <rFont val="Tahoma"/>
            <family val="2"/>
          </rPr>
          <t xml:space="preserve">for TH projects, this is updated to show the amounts of the annual estimate.  Upon award of the construction contract, the latest estimate is replaced with the construction contract award amount. </t>
        </r>
      </text>
    </comment>
    <comment ref="I25" authorId="2" shapeId="0" xr:uid="{00000000-0006-0000-0100-000002000000}">
      <text>
        <r>
          <rPr>
            <b/>
            <sz val="24"/>
            <color indexed="81"/>
            <rFont val="Tahoma"/>
            <family val="2"/>
          </rPr>
          <t xml:space="preserve">
</t>
        </r>
        <r>
          <rPr>
            <b/>
            <sz val="28"/>
            <color indexed="81"/>
            <rFont val="Tahoma"/>
            <family val="2"/>
          </rPr>
          <t>If the letting was today, this would be the cost.</t>
        </r>
        <r>
          <rPr>
            <sz val="9"/>
            <color indexed="81"/>
            <rFont val="Tahoma"/>
            <family val="2"/>
          </rPr>
          <t xml:space="preserve">
</t>
        </r>
      </text>
    </comment>
    <comment ref="J25" authorId="2" shapeId="0" xr:uid="{00000000-0006-0000-0100-000003000000}">
      <text>
        <r>
          <rPr>
            <b/>
            <sz val="28"/>
            <color indexed="81"/>
            <rFont val="Tahoma"/>
            <family val="2"/>
          </rPr>
          <t xml:space="preserve">
This is the estimated bid amount for the future scheduled letting date.
This number includes inflation.</t>
        </r>
        <r>
          <rPr>
            <sz val="9"/>
            <color indexed="81"/>
            <rFont val="Tahoma"/>
            <family val="2"/>
          </rPr>
          <t xml:space="preserve">
</t>
        </r>
      </text>
    </comment>
    <comment ref="C27" authorId="0" shapeId="0" xr:uid="{498E6171-B92A-444D-B598-7AA44A4C63C6}">
      <text>
        <r>
          <rPr>
            <b/>
            <sz val="9"/>
            <color indexed="81"/>
            <rFont val="Tahoma"/>
            <family val="2"/>
          </rPr>
          <t>Bridget Miller:</t>
        </r>
        <r>
          <rPr>
            <sz val="9"/>
            <color indexed="81"/>
            <rFont val="Tahoma"/>
            <family val="2"/>
          </rPr>
          <t xml:space="preserve">
</t>
        </r>
        <r>
          <rPr>
            <sz val="14"/>
            <color indexed="81"/>
            <rFont val="Tahoma"/>
            <family val="2"/>
          </rPr>
          <t xml:space="preserve">For TH projects only.  Includes any changes to the initial construction contract award amount. 
</t>
        </r>
      </text>
    </comment>
    <comment ref="I32" authorId="2" shapeId="0" xr:uid="{FEA0A76A-8965-4B9A-9F97-1B0A58DF3C5E}">
      <text>
        <r>
          <rPr>
            <b/>
            <sz val="24"/>
            <color indexed="81"/>
            <rFont val="Tahoma"/>
            <family val="2"/>
          </rPr>
          <t xml:space="preserve">
</t>
        </r>
        <r>
          <rPr>
            <b/>
            <sz val="28"/>
            <color indexed="81"/>
            <rFont val="Tahoma"/>
            <family val="2"/>
          </rPr>
          <t>If the letting was today, this would be the cost.</t>
        </r>
        <r>
          <rPr>
            <sz val="9"/>
            <color indexed="81"/>
            <rFont val="Tahoma"/>
            <family val="2"/>
          </rPr>
          <t xml:space="preserve">
</t>
        </r>
      </text>
    </comment>
    <comment ref="J32" authorId="2" shapeId="0" xr:uid="{B378DEEB-C3B1-41AC-872C-1B3F54F0E567}">
      <text>
        <r>
          <rPr>
            <b/>
            <sz val="28"/>
            <color indexed="81"/>
            <rFont val="Tahoma"/>
            <family val="2"/>
          </rPr>
          <t xml:space="preserve">
This is the estimated bid amount for the future scheduled letting date.
This number includes inflation.</t>
        </r>
        <r>
          <rPr>
            <sz val="9"/>
            <color indexed="81"/>
            <rFont val="Tahoma"/>
            <family val="2"/>
          </rPr>
          <t xml:space="preserve">
</t>
        </r>
      </text>
    </comment>
    <comment ref="B35" authorId="0" shapeId="0" xr:uid="{1874D985-FD41-4D52-A891-350DDA4FECE3}">
      <text>
        <r>
          <rPr>
            <b/>
            <sz val="9"/>
            <color indexed="81"/>
            <rFont val="Tahoma"/>
            <family val="2"/>
          </rPr>
          <t>Bridget Miller:</t>
        </r>
        <r>
          <rPr>
            <sz val="9"/>
            <color indexed="81"/>
            <rFont val="Tahoma"/>
            <family val="2"/>
          </rPr>
          <t xml:space="preserve">
</t>
        </r>
        <r>
          <rPr>
            <sz val="16"/>
            <color indexed="81"/>
            <rFont val="Tahoma"/>
            <family val="2"/>
          </rPr>
          <t>For TH projects only.  Other Elements are for agreements that support the construction phase of the project and are for work not included in the construction contract.  See pull down menu tab for examples</t>
        </r>
      </text>
    </comment>
    <comment ref="G71" authorId="1" shapeId="0" xr:uid="{F6C02729-0FA5-48EA-A7E4-64EE4AFFEE62}">
      <text>
        <r>
          <rPr>
            <b/>
            <sz val="12"/>
            <color indexed="81"/>
            <rFont val="Tahoma"/>
            <family val="2"/>
          </rPr>
          <t>Amount based on Expected Value (Risk Assessment) [PxI]</t>
        </r>
      </text>
    </comment>
    <comment ref="C74" authorId="0" shapeId="0" xr:uid="{6B60FF45-164B-45DE-8DCA-6CB307A3C45F}">
      <text>
        <r>
          <rPr>
            <b/>
            <sz val="16"/>
            <color indexed="81"/>
            <rFont val="Tahoma"/>
            <family val="2"/>
          </rPr>
          <t>Bridget Miller:</t>
        </r>
        <r>
          <rPr>
            <sz val="16"/>
            <color indexed="81"/>
            <rFont val="Tahoma"/>
            <family val="2"/>
          </rPr>
          <t xml:space="preserve">
cost incurred to get project ready for construction, through project award/award encumbrance date, this includes salaries, consultants, equipment used, materials to do the engineering</t>
        </r>
      </text>
    </comment>
    <comment ref="N89" authorId="0" shapeId="0" xr:uid="{70FF8224-BC2C-4564-9D98-21889AA6D273}">
      <text>
        <r>
          <rPr>
            <b/>
            <sz val="9"/>
            <color indexed="81"/>
            <rFont val="Tahoma"/>
            <family val="2"/>
          </rPr>
          <t xml:space="preserve">Bridget Miller
Rule of thumb is 12% construction cost
</t>
        </r>
      </text>
    </comment>
    <comment ref="C91" authorId="0" shapeId="0" xr:uid="{D508F554-A7E9-4E4D-9D34-1A367B2DCE8B}">
      <text>
        <r>
          <rPr>
            <b/>
            <sz val="12"/>
            <color indexed="81"/>
            <rFont val="Tahoma"/>
            <family val="2"/>
          </rPr>
          <t>Bridget Miller:</t>
        </r>
        <r>
          <rPr>
            <sz val="12"/>
            <color indexed="81"/>
            <rFont val="Tahoma"/>
            <family val="2"/>
          </rPr>
          <t xml:space="preserve">
</t>
        </r>
        <r>
          <rPr>
            <sz val="14"/>
            <color indexed="81"/>
            <rFont val="Tahoma"/>
            <family val="2"/>
          </rPr>
          <t>all engineering and oversight costs incurred during the construction phase of a project, from the date of award/award encumbrance through final project closeout, including internal salary, consultants equipment used in the field, materials needed to do engineering</t>
        </r>
      </text>
    </comment>
    <comment ref="N96" authorId="0" shapeId="0" xr:uid="{FF7A8B80-8C18-458A-BA6C-6201A7E34C92}">
      <text>
        <r>
          <rPr>
            <b/>
            <sz val="9"/>
            <color indexed="81"/>
            <rFont val="Tahoma"/>
            <family val="2"/>
          </rPr>
          <t>Bridget Miller:</t>
        </r>
        <r>
          <rPr>
            <sz val="9"/>
            <color indexed="81"/>
            <rFont val="Tahoma"/>
            <family val="2"/>
          </rPr>
          <t xml:space="preserve">
Rule of thumb is 8%</t>
        </r>
      </text>
    </comment>
    <comment ref="G100" authorId="1" shapeId="0" xr:uid="{94B2D426-2DB1-4019-BF12-E8C7DB98D9CC}">
      <text>
        <r>
          <rPr>
            <b/>
            <sz val="12"/>
            <color indexed="81"/>
            <rFont val="Tahoma"/>
            <family val="2"/>
          </rPr>
          <t>Amount based on Expected Value (Risk Assessment) [PxI]</t>
        </r>
      </text>
    </comment>
    <comment ref="L110" authorId="0" shapeId="0" xr:uid="{20AC25A0-B8AB-46C6-8358-CE5801228579}">
      <text>
        <r>
          <rPr>
            <b/>
            <sz val="9"/>
            <color indexed="81"/>
            <rFont val="Tahoma"/>
            <family val="2"/>
          </rPr>
          <t>Bridget Miller:</t>
        </r>
        <r>
          <rPr>
            <sz val="9"/>
            <color indexed="81"/>
            <rFont val="Tahoma"/>
            <family val="2"/>
          </rPr>
          <t xml:space="preserve">
</t>
        </r>
        <r>
          <rPr>
            <sz val="14"/>
            <color indexed="81"/>
            <rFont val="Tahoma"/>
            <family val="2"/>
          </rPr>
          <t>If using ROW from your ROW engineer estimating tool, put the rounded cost information here to overwrite calculations.  ROW is rounded differently</t>
        </r>
        <r>
          <rPr>
            <sz val="9"/>
            <color indexed="81"/>
            <rFont val="Tahoma"/>
            <family val="2"/>
          </rPr>
          <t xml:space="preserve">
</t>
        </r>
      </text>
    </comment>
    <comment ref="N110" authorId="0" shapeId="0" xr:uid="{C2F89BBA-C212-48B0-9739-72FD02514F1C}">
      <text>
        <r>
          <rPr>
            <b/>
            <sz val="9"/>
            <color indexed="81"/>
            <rFont val="Tahoma"/>
            <family val="2"/>
          </rPr>
          <t>Bridget Miller:</t>
        </r>
        <r>
          <rPr>
            <sz val="9"/>
            <color indexed="81"/>
            <rFont val="Tahoma"/>
            <family val="2"/>
          </rPr>
          <t xml:space="preserve">
Need to fill in, see yellow note above
</t>
        </r>
      </text>
    </comment>
    <comment ref="G114" authorId="1" shapeId="0" xr:uid="{B33E2E88-013E-44CE-B821-E9EC46810742}">
      <text>
        <r>
          <rPr>
            <b/>
            <sz val="12"/>
            <color indexed="81"/>
            <rFont val="Tahoma"/>
            <family val="2"/>
          </rPr>
          <t>Amount based on Expected Value (Risk Assessment) [PxI]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<sst xmlns="http://schemas.openxmlformats.org/spreadsheetml/2006/main" count="4837" uniqueCount="939">
  <si>
    <t>Analysis Year</t>
  </si>
  <si>
    <t>7% Discount</t>
  </si>
  <si>
    <t>Total Benefit</t>
  </si>
  <si>
    <t>NOTES:</t>
  </si>
  <si>
    <t>Total</t>
  </si>
  <si>
    <t>RCV</t>
  </si>
  <si>
    <t>BENEFITS</t>
  </si>
  <si>
    <t>COSTS</t>
  </si>
  <si>
    <t>Economic Competitiveness</t>
  </si>
  <si>
    <t>Safety</t>
  </si>
  <si>
    <t>Benefits</t>
  </si>
  <si>
    <t>Costs</t>
  </si>
  <si>
    <t>B/C Ratio</t>
  </si>
  <si>
    <t>SUMMARY</t>
  </si>
  <si>
    <t>Build</t>
  </si>
  <si>
    <t>Service Life</t>
  </si>
  <si>
    <t>1)</t>
  </si>
  <si>
    <t>K</t>
  </si>
  <si>
    <t>A</t>
  </si>
  <si>
    <t>B</t>
  </si>
  <si>
    <t>C</t>
  </si>
  <si>
    <t>PDO</t>
  </si>
  <si>
    <t>2)</t>
  </si>
  <si>
    <t>3)</t>
  </si>
  <si>
    <t>5)</t>
  </si>
  <si>
    <t>Years of Benefit-Cost Analysis Period</t>
  </si>
  <si>
    <t>Truck Vehicle Occupancy</t>
  </si>
  <si>
    <t>Travel Time Cost Savings</t>
  </si>
  <si>
    <t>Total (7% Discount)</t>
  </si>
  <si>
    <t>Environmental Sustainability</t>
  </si>
  <si>
    <t>Year</t>
  </si>
  <si>
    <t>NPV</t>
  </si>
  <si>
    <t xml:space="preserve">Capital Costs    </t>
  </si>
  <si>
    <t>No-Build</t>
  </si>
  <si>
    <t>Reduction in the Annual Cost of Crashes</t>
  </si>
  <si>
    <t>Motorcycle</t>
  </si>
  <si>
    <t>No Build Annual Crash Cost</t>
  </si>
  <si>
    <t>Build Annual Crash Cost</t>
  </si>
  <si>
    <t>Location</t>
  </si>
  <si>
    <t>Cost</t>
  </si>
  <si>
    <t>% Life Remaining</t>
  </si>
  <si>
    <t>End Year of Benefit</t>
  </si>
  <si>
    <t>Operation and Maintenance Savings</t>
  </si>
  <si>
    <t>7% Discount Total (Carbon discounted at 3%)</t>
  </si>
  <si>
    <t>Remaining Capital Value</t>
  </si>
  <si>
    <t>Total Cost:</t>
  </si>
  <si>
    <t>AADT</t>
  </si>
  <si>
    <t>No Build Travel Time Cost</t>
  </si>
  <si>
    <t>Build Travel Time Cost</t>
  </si>
  <si>
    <t>Truck Travel Time Cost (per hour)</t>
  </si>
  <si>
    <t>Truck Percentage</t>
  </si>
  <si>
    <t>No-Build Conditions</t>
  </si>
  <si>
    <t>Build Conditions</t>
  </si>
  <si>
    <t>Vehicle Hours Traveled (VHT)</t>
  </si>
  <si>
    <t>All-Purpose Travel Time Cost (per hour)</t>
  </si>
  <si>
    <t>Auto Percentage</t>
  </si>
  <si>
    <t>Auto Vehicle Occupancy</t>
  </si>
  <si>
    <t>Table 1 - Per-hour Travel Time Cost by Mode</t>
  </si>
  <si>
    <t>Table 2 - Fleet Composition</t>
  </si>
  <si>
    <t>Table 3 - Vehicle Occupancy</t>
  </si>
  <si>
    <t>No Build Annual VHT</t>
  </si>
  <si>
    <t>Build Annual VHT</t>
  </si>
  <si>
    <t>Table 1 - Per-mile Travel Time Cost by Mode</t>
  </si>
  <si>
    <t>Type</t>
  </si>
  <si>
    <t>Base Year Dollars</t>
  </si>
  <si>
    <t>Current Year</t>
  </si>
  <si>
    <t>N/A</t>
  </si>
  <si>
    <t>Vehicle Operating Costs</t>
  </si>
  <si>
    <t>Corridor Wide Annual Growth Rate</t>
  </si>
  <si>
    <t>No Build &amp; Build</t>
  </si>
  <si>
    <t>State of Good Repair</t>
  </si>
  <si>
    <t>Vehicle occupancy assumptions, and the value of time used in this analysis is consistent with values and methodology presented in the USDOT (US Department of Transportation) Benefit Cost Analysis Guidance for Discretionary Grant Programs, dated January 2023.</t>
  </si>
  <si>
    <t>Project Component</t>
  </si>
  <si>
    <t>PD</t>
  </si>
  <si>
    <t>Maintenance and Significant Rehab Cost Savings</t>
  </si>
  <si>
    <t>Total Crash Cost Impacts</t>
  </si>
  <si>
    <t>Cars</t>
  </si>
  <si>
    <t>Trucks</t>
  </si>
  <si>
    <t>Type PD Crash Rate</t>
  </si>
  <si>
    <t>Type C Crash Rate</t>
  </si>
  <si>
    <t>Type B Crash Rate</t>
  </si>
  <si>
    <t>Type A Crash Rate</t>
  </si>
  <si>
    <t>Type K Crash Rate</t>
  </si>
  <si>
    <t>Impacted Vehicle Type</t>
  </si>
  <si>
    <t>Route Description</t>
  </si>
  <si>
    <t>No Build Annual VMT</t>
  </si>
  <si>
    <t>Build Annual VMT</t>
  </si>
  <si>
    <t>No Build Vehicle Operating Cost</t>
  </si>
  <si>
    <t>Build Vehicle Operating Cost</t>
  </si>
  <si>
    <t>Vehicle Operating Cost Savings</t>
  </si>
  <si>
    <t>ENVIRONMENTAL SUSTAINABILITY - AIR QUALITY</t>
  </si>
  <si>
    <r>
      <t>CO</t>
    </r>
    <r>
      <rPr>
        <b/>
        <vertAlign val="subscript"/>
        <sz val="11"/>
        <color theme="1"/>
        <rFont val="Calibri"/>
        <family val="2"/>
        <scheme val="minor"/>
      </rPr>
      <t>2</t>
    </r>
    <r>
      <rPr>
        <b/>
        <sz val="11"/>
        <color theme="1"/>
        <rFont val="Calibri"/>
        <family val="2"/>
        <scheme val="minor"/>
      </rPr>
      <t xml:space="preserve"> Savings Estimations</t>
    </r>
  </si>
  <si>
    <t>Total (Carbon + Other Emissions)</t>
  </si>
  <si>
    <t>3% Discount</t>
  </si>
  <si>
    <t>Subtotal</t>
  </si>
  <si>
    <t xml:space="preserve"> 7%Discounted (Carbon Discounted @ 3%)</t>
  </si>
  <si>
    <t>Mode</t>
  </si>
  <si>
    <r>
      <t>NO</t>
    </r>
    <r>
      <rPr>
        <b/>
        <vertAlign val="subscript"/>
        <sz val="11"/>
        <color theme="1"/>
        <rFont val="Calibri"/>
        <family val="2"/>
        <scheme val="minor"/>
      </rPr>
      <t>X</t>
    </r>
  </si>
  <si>
    <r>
      <t>SO</t>
    </r>
    <r>
      <rPr>
        <b/>
        <vertAlign val="subscript"/>
        <sz val="11"/>
        <color theme="1"/>
        <rFont val="Calibri"/>
        <family val="2"/>
        <scheme val="minor"/>
      </rPr>
      <t>2</t>
    </r>
  </si>
  <si>
    <r>
      <t>PM</t>
    </r>
    <r>
      <rPr>
        <b/>
        <vertAlign val="subscript"/>
        <sz val="11"/>
        <color theme="1"/>
        <rFont val="Calibri"/>
        <family val="2"/>
        <scheme val="minor"/>
      </rPr>
      <t>2.5</t>
    </r>
  </si>
  <si>
    <r>
      <t>CO</t>
    </r>
    <r>
      <rPr>
        <b/>
        <vertAlign val="subscript"/>
        <sz val="11"/>
        <color theme="1"/>
        <rFont val="Calibri"/>
        <family val="2"/>
        <scheme val="minor"/>
      </rPr>
      <t>2</t>
    </r>
  </si>
  <si>
    <t>Source Type</t>
  </si>
  <si>
    <t>HPMS Description</t>
  </si>
  <si>
    <t>Auto/Truck</t>
  </si>
  <si>
    <t>Automobile</t>
  </si>
  <si>
    <t>Auto</t>
  </si>
  <si>
    <t>Light-Duty Vehicle</t>
  </si>
  <si>
    <t>Buses</t>
  </si>
  <si>
    <t>Truck</t>
  </si>
  <si>
    <t>Single-Unit Truck</t>
  </si>
  <si>
    <t>Combination Truck</t>
  </si>
  <si>
    <t>*Note on Emission Cost per Metric Ton: Damage costs for emissions in years beyond 2050 assume costs provided for year 2050.</t>
  </si>
  <si>
    <t>VMT Cars</t>
  </si>
  <si>
    <t>VMT Trucks</t>
  </si>
  <si>
    <t>Delta VMT Car</t>
  </si>
  <si>
    <t>Delta VMT Truck</t>
  </si>
  <si>
    <t>Comparison</t>
  </si>
  <si>
    <t>Total Crash Cost</t>
  </si>
  <si>
    <t>Table 1 - Crash Cost Assumptions</t>
  </si>
  <si>
    <t>Operation &amp; Maintenance/Rehab Costs No-Build</t>
  </si>
  <si>
    <t>Operation &amp; Maintenance/Rehab Costs Build</t>
  </si>
  <si>
    <t>South</t>
  </si>
  <si>
    <t>North</t>
  </si>
  <si>
    <t>West</t>
  </si>
  <si>
    <t>Table 1 - Annual Vehicle Miles Traveled by Vehicle Type</t>
  </si>
  <si>
    <t>Table 2 - Pollution Emission by Mode (g/VMT)</t>
  </si>
  <si>
    <t>Table 3 - Damage Costs for Emissions per metric ton</t>
  </si>
  <si>
    <t>Table 4 - MOVES Model Output (grams per VMT)</t>
  </si>
  <si>
    <t>Table 5 - Aggregated MOVES Model Output (grams per VMT)</t>
  </si>
  <si>
    <t>Safety Improvements</t>
  </si>
  <si>
    <t>SUMMARY (ROUNDED)</t>
  </si>
  <si>
    <t>Table 1 - Total Project Cost</t>
  </si>
  <si>
    <t>Reconstruction</t>
  </si>
  <si>
    <t>VHT Cars</t>
  </si>
  <si>
    <t>VHT Trucks</t>
  </si>
  <si>
    <t>Total VHT Cost</t>
  </si>
  <si>
    <t>Delta VHT Car</t>
  </si>
  <si>
    <t>Delta VHT Truck</t>
  </si>
  <si>
    <t>Delta VHT Cost</t>
  </si>
  <si>
    <t>Total VHT</t>
  </si>
  <si>
    <t>Delta Total VHT</t>
  </si>
  <si>
    <t>Delta VMT Total</t>
  </si>
  <si>
    <t>VMT Total</t>
  </si>
  <si>
    <t>Table 7 - Annual Vehicle Hours Traveled by Vehicle Type</t>
  </si>
  <si>
    <t>Existing Year Traffic Volume Assumptions</t>
  </si>
  <si>
    <t>VOC Total</t>
  </si>
  <si>
    <t>Delta VOC</t>
  </si>
  <si>
    <t>Table 6 - Annual Vehicle Miles Traveled by Vehicle Type</t>
  </si>
  <si>
    <t>Total Cost Savings
($2021 - Undiscounted)</t>
  </si>
  <si>
    <t>Benefit-Cost First Year of Benefit</t>
  </si>
  <si>
    <t>Benefit-Cost Final Year of Benefit</t>
  </si>
  <si>
    <t>Percent Autos</t>
  </si>
  <si>
    <t>Percent Trucks</t>
  </si>
  <si>
    <t>Auto Occupancy</t>
  </si>
  <si>
    <t>Truck Occupancy</t>
  </si>
  <si>
    <t>Number of Days in a Year</t>
  </si>
  <si>
    <t>Value of Time - All-Purpose Travel</t>
  </si>
  <si>
    <t>Value of Time - Truck Travel</t>
  </si>
  <si>
    <t>Cost per Mile - Auto</t>
  </si>
  <si>
    <t>Cost per Mile - Truck</t>
  </si>
  <si>
    <t>The per-mile vehicle operating cost used in this analysis is consistent with values and methodology presented in the USDOT (US Department of Transportation) Benefit Cost Analysis Guidance for Discretionary Grant Programs, dated January 2023.</t>
  </si>
  <si>
    <t>Figure 1. Project Location Map</t>
  </si>
  <si>
    <t>4)</t>
  </si>
  <si>
    <t>Capital Cost</t>
  </si>
  <si>
    <t>Unknown</t>
  </si>
  <si>
    <t>Daylight</t>
  </si>
  <si>
    <t>Dry</t>
  </si>
  <si>
    <t>Passenger Car</t>
  </si>
  <si>
    <t>Not Applicable</t>
  </si>
  <si>
    <t>T Intersection</t>
  </si>
  <si>
    <t>Stop Sign</t>
  </si>
  <si>
    <t>Clear</t>
  </si>
  <si>
    <t>East</t>
  </si>
  <si>
    <t>Head On</t>
  </si>
  <si>
    <t>Turning Right</t>
  </si>
  <si>
    <t>Deer</t>
  </si>
  <si>
    <t>Embankment</t>
  </si>
  <si>
    <t>Turning Left</t>
  </si>
  <si>
    <t>Rear End</t>
  </si>
  <si>
    <t>Cloudy</t>
  </si>
  <si>
    <t>Hillcrest</t>
  </si>
  <si>
    <t>Other</t>
  </si>
  <si>
    <t>Ditch</t>
  </si>
  <si>
    <t>Snow</t>
  </si>
  <si>
    <t>Possible Injury</t>
  </si>
  <si>
    <t>Fatal</t>
  </si>
  <si>
    <t>Parked Motor Vehicle</t>
  </si>
  <si>
    <t>Wet</t>
  </si>
  <si>
    <t>Rain</t>
  </si>
  <si>
    <t>Number of Months</t>
  </si>
  <si>
    <t>Construction Travel Time Impacts</t>
  </si>
  <si>
    <t>Crash Costs Associated with Alternate Routes</t>
  </si>
  <si>
    <t>CMF Star Rating</t>
  </si>
  <si>
    <t>Applicable Crash Severity</t>
  </si>
  <si>
    <t>All</t>
  </si>
  <si>
    <t>5 of 5</t>
  </si>
  <si>
    <t>CMF Value</t>
  </si>
  <si>
    <t xml:space="preserve">CMF ID: </t>
  </si>
  <si>
    <t>The present value of all benefits and costs was calculated using 2021 as the year of current dollars.</t>
  </si>
  <si>
    <t>This analysis assumed a 365-day year to account for benefits incurred on weekends and recreational peaks in the project area.</t>
  </si>
  <si>
    <t>Crash cost assumptions for the KABCO scale are consistent with values and methodologies published in the Benefit Cost Analysis Guidance for Discretionary Grant Programs, dated January 2023.</t>
  </si>
  <si>
    <r>
      <t>Yearly Emissions Savings for Only CO</t>
    </r>
    <r>
      <rPr>
        <vertAlign val="subscript"/>
        <sz val="11"/>
        <color theme="1"/>
        <rFont val="Calibri"/>
        <family val="2"/>
        <scheme val="minor"/>
      </rPr>
      <t>2</t>
    </r>
  </si>
  <si>
    <t>Yearly Emissions Savings (Without CO2)</t>
  </si>
  <si>
    <t>Conversion Factor</t>
  </si>
  <si>
    <t>Table 2 - GDP Deflator Method</t>
  </si>
  <si>
    <t>CMF For Countermeasure: Install centerline and shoulder rumble strips (CMF ID: 6942  Study Citation: Lyon, Craig; Bhagwant Persaud; and Kimberly Eccles. "Safety Evaluation of Centerline Plus Shoulder Rumble Strips." Federal Highway Administration, Report FHWA-HRT-15-048 (June 2015). The base case in this study involved rural two lane roadways with no existing rumble strips. For additional details, refer to: https://www.cmfclearinghouse.org/detail.cfm?facid=6942. This CMF predicts an annual reduction of 35 percent for all applicable crash severities and all crash types.</t>
  </si>
  <si>
    <t>Table 4 - Applicable Crash Modification Factors (Install Centerline and Shoulder Rumble Strips)</t>
  </si>
  <si>
    <t>Applicable Manner of Collision</t>
  </si>
  <si>
    <t>Factor</t>
  </si>
  <si>
    <r>
      <t>Air quality  CO</t>
    </r>
    <r>
      <rPr>
        <vertAlign val="subscript"/>
        <sz val="11"/>
        <color theme="1"/>
        <rFont val="Calibri"/>
        <family val="2"/>
        <scheme val="minor"/>
      </rPr>
      <t>2</t>
    </r>
  </si>
  <si>
    <r>
      <t>Air quality (no CO</t>
    </r>
    <r>
      <rPr>
        <vertAlign val="subscript"/>
        <sz val="11"/>
        <color theme="1"/>
        <rFont val="Calibri"/>
        <family val="2"/>
        <scheme val="minor"/>
      </rPr>
      <t>2</t>
    </r>
    <r>
      <rPr>
        <sz val="11"/>
        <color theme="1"/>
        <rFont val="Calibri"/>
        <family val="2"/>
        <scheme val="minor"/>
      </rPr>
      <t>)</t>
    </r>
  </si>
  <si>
    <r>
      <t>CO</t>
    </r>
    <r>
      <rPr>
        <vertAlign val="subscript"/>
        <sz val="11"/>
        <color theme="1"/>
        <rFont val="Calibri"/>
        <family val="2"/>
        <scheme val="minor"/>
      </rPr>
      <t>2</t>
    </r>
    <r>
      <rPr>
        <sz val="11"/>
        <color theme="1"/>
        <rFont val="Calibri"/>
        <family val="2"/>
        <scheme val="minor"/>
      </rPr>
      <t xml:space="preserve"> Discounted at 3%</t>
    </r>
  </si>
  <si>
    <r>
      <t>Change in CO</t>
    </r>
    <r>
      <rPr>
        <vertAlign val="subscript"/>
        <sz val="11"/>
        <color theme="1"/>
        <rFont val="Calibri"/>
        <family val="2"/>
        <scheme val="minor"/>
      </rPr>
      <t xml:space="preserve">2 </t>
    </r>
    <r>
      <rPr>
        <sz val="11"/>
        <color theme="1"/>
        <rFont val="Calibri"/>
        <family val="2"/>
        <scheme val="minor"/>
      </rPr>
      <t>(metric tons)</t>
    </r>
  </si>
  <si>
    <r>
      <t>Change in NO</t>
    </r>
    <r>
      <rPr>
        <vertAlign val="subscript"/>
        <sz val="11"/>
        <color theme="1"/>
        <rFont val="Calibri"/>
        <family val="2"/>
        <scheme val="minor"/>
      </rPr>
      <t>x</t>
    </r>
    <r>
      <rPr>
        <sz val="11"/>
        <color theme="1"/>
        <rFont val="Calibri"/>
        <family val="2"/>
        <scheme val="minor"/>
      </rPr>
      <t xml:space="preserve"> (metric tons)</t>
    </r>
  </si>
  <si>
    <r>
      <t>Change in SO</t>
    </r>
    <r>
      <rPr>
        <vertAlign val="subscript"/>
        <sz val="11"/>
        <color theme="1"/>
        <rFont val="Calibri"/>
        <family val="2"/>
        <scheme val="minor"/>
      </rPr>
      <t>2</t>
    </r>
    <r>
      <rPr>
        <sz val="11"/>
        <color theme="1"/>
        <rFont val="Calibri"/>
        <family val="2"/>
        <scheme val="minor"/>
      </rPr>
      <t xml:space="preserve">
(metric tons)</t>
    </r>
  </si>
  <si>
    <r>
      <t>Change in PM</t>
    </r>
    <r>
      <rPr>
        <vertAlign val="subscript"/>
        <sz val="11"/>
        <color theme="1"/>
        <rFont val="Calibri"/>
        <family val="2"/>
        <scheme val="minor"/>
      </rPr>
      <t>2.5</t>
    </r>
    <r>
      <rPr>
        <sz val="11"/>
        <color theme="1"/>
        <rFont val="Calibri"/>
        <family val="2"/>
        <scheme val="minor"/>
      </rPr>
      <t xml:space="preserve">
(metric tons)</t>
    </r>
  </si>
  <si>
    <r>
      <t>Change in NO</t>
    </r>
    <r>
      <rPr>
        <vertAlign val="subscript"/>
        <sz val="11"/>
        <color theme="1"/>
        <rFont val="Calibri"/>
        <family val="2"/>
        <scheme val="minor"/>
      </rPr>
      <t>x</t>
    </r>
    <r>
      <rPr>
        <sz val="11"/>
        <color theme="1"/>
        <rFont val="Calibri"/>
        <family val="2"/>
        <scheme val="minor"/>
      </rPr>
      <t xml:space="preserve"> ($)</t>
    </r>
  </si>
  <si>
    <r>
      <t>Change in SO</t>
    </r>
    <r>
      <rPr>
        <vertAlign val="subscript"/>
        <sz val="11"/>
        <color theme="1"/>
        <rFont val="Calibri"/>
        <family val="2"/>
        <scheme val="minor"/>
      </rPr>
      <t xml:space="preserve">2 </t>
    </r>
    <r>
      <rPr>
        <sz val="11"/>
        <color theme="1"/>
        <rFont val="Calibri"/>
        <family val="2"/>
        <scheme val="minor"/>
      </rPr>
      <t>($)</t>
    </r>
  </si>
  <si>
    <r>
      <t>Change in PM</t>
    </r>
    <r>
      <rPr>
        <vertAlign val="subscript"/>
        <sz val="11"/>
        <color theme="1"/>
        <rFont val="Calibri"/>
        <family val="2"/>
        <scheme val="minor"/>
      </rPr>
      <t xml:space="preserve">2.5 </t>
    </r>
    <r>
      <rPr>
        <sz val="11"/>
        <color theme="1"/>
        <rFont val="Calibri"/>
        <family val="2"/>
        <scheme val="minor"/>
      </rPr>
      <t>($)</t>
    </r>
  </si>
  <si>
    <t>Route Length (mi)</t>
  </si>
  <si>
    <t>Travel Time (min)</t>
  </si>
  <si>
    <t>Google Maps**</t>
  </si>
  <si>
    <t>Total change in emissions was valued in accordance with the Benefit Cost Analysis Guidance for Discretionary Grant Programs, dated January 2023.</t>
  </si>
  <si>
    <t>STATE OF GOOD REPAIR - CAPITAL COST AND RESIDUAL PROJECT VALUE</t>
  </si>
  <si>
    <t>STATE OF GOOD REPAIR - OPERATION MAINTENANCE/REHAB</t>
  </si>
  <si>
    <t>TH 11: BCA Assumptions</t>
  </si>
  <si>
    <t>Year of TH 11 Closure</t>
  </si>
  <si>
    <t>The value of time, vehicle operating costs, emissions costs, and cost of crashes were obtained from the Benefit Cost Analysis Guidance for Discretionary Grant Programs, dated January 2023 .  The analysis was completed using an assumed discount rate of seven percent.</t>
  </si>
  <si>
    <t>TH 11 Traffic Forecast Data:</t>
  </si>
  <si>
    <t>Figure 1 - Traffic Forecast Data</t>
  </si>
  <si>
    <t>Figure 2 - Traffic Forecast Data</t>
  </si>
  <si>
    <t>Description</t>
  </si>
  <si>
    <t>Centerline and Shoulder Rumble Strips</t>
  </si>
  <si>
    <t>https://www.google.com/maps/dir/48.513014,-93.8073034/48.6272982,-94.0794497/@48.5542942,-94.0387581,29118m/data=!3m1!1e3!4m9!4m8!1m5!3m4!1m2!1d-93.9900164!2d48.4834134!3s0x52bbee238b1670cf:0x77d3a4b0b2592203!1m0!3e0?entry=ttu</t>
  </si>
  <si>
    <t>SAFETY - CRASH SAVINGS ON TH 11</t>
  </si>
  <si>
    <t>Table 3 - Corridor Wide AADT on TH 11</t>
  </si>
  <si>
    <t>SAFETY - NETWORK CRASH SAVINGS</t>
  </si>
  <si>
    <t>ECONOMIC COMPETITIVENESS - USER BENEFIT CALCULATION OF VEHICLE OPERATING COST</t>
  </si>
  <si>
    <t>TH 11</t>
  </si>
  <si>
    <t>Existing TH 11 AADT Data:</t>
  </si>
  <si>
    <t>Table 1 - Existing TH 11 AADT</t>
  </si>
  <si>
    <t>2022 Annual VMT (Excluding Project Segment of TH 11)</t>
  </si>
  <si>
    <t>Table 4 -  TH 11 Mainline Traffic Volume Data</t>
  </si>
  <si>
    <t>TH 11 Project Segment Length (miles)</t>
  </si>
  <si>
    <t>Table 2 - Existing 5-Year Crash History on TH 11 (2018-2022)</t>
  </si>
  <si>
    <t>Veh#1 was traveling westbound on State Highway 11 near address 2337 State Highway 11.  Driver #1 was driving too fast for conditions and lost control of her vehicle. Veh#1 crossed into the eastbound lane of travel before hitting an approach then into a mailbox.  Veh#1 collided with the ditch bottom before coming to a stop.  
Driver#1 was reported to be wearing her seatbelt and alcohol was not a factor. Passenger#1 was reported to be wearing a seatbelt and no injuries were reported. 
Roaches Towing responded to the scene to tow the vehicle. 
Roadway conditions were icy with misting rain.
Driver was cited for Duty to Drive with Due Care.</t>
  </si>
  <si>
    <t>State Patrol</t>
  </si>
  <si>
    <t>MN State Patrol District 3100 - Virginia</t>
  </si>
  <si>
    <t>Reportable</t>
  </si>
  <si>
    <t>Accepted</t>
  </si>
  <si>
    <t>Level</t>
  </si>
  <si>
    <t>Curve Left</t>
  </si>
  <si>
    <t>No Controls</t>
  </si>
  <si>
    <t>Two-Way, Not Divided</t>
  </si>
  <si>
    <t>Other Contributing Action</t>
  </si>
  <si>
    <t>Apparently Normal</t>
  </si>
  <si>
    <t>Female</t>
  </si>
  <si>
    <t>Moving Forward</t>
  </si>
  <si>
    <t>Westbound</t>
  </si>
  <si>
    <t>Motor Vehicle in Transport</t>
  </si>
  <si>
    <t>Single Vehicle Run Off Road</t>
  </si>
  <si>
    <t>0300000000000011-I</t>
  </si>
  <si>
    <t>HWY 11  S</t>
  </si>
  <si>
    <t>NOT APPLICABLE</t>
  </si>
  <si>
    <t>Ice/Frost</t>
  </si>
  <si>
    <t>Sleet, Hail (Freezing Rain/Drizzle)</t>
  </si>
  <si>
    <t>Driveway Access Related</t>
  </si>
  <si>
    <t>Mailboxes/Posts</t>
  </si>
  <si>
    <t>Property Damage Only</t>
  </si>
  <si>
    <t>04-Wed</t>
  </si>
  <si>
    <t>Virginia</t>
  </si>
  <si>
    <t>D2-BEMIDJI</t>
  </si>
  <si>
    <t>Koochiching</t>
  </si>
  <si>
    <t>03-MNTH</t>
  </si>
  <si>
    <t>Over Correcting / Over Steering</t>
  </si>
  <si>
    <t>Eastbound</t>
  </si>
  <si>
    <t>Sport Utility Vehicle</t>
  </si>
  <si>
    <t>Dark (No Str Lights)</t>
  </si>
  <si>
    <t>Not at Intersection or Interch</t>
  </si>
  <si>
    <t>Overturn/Rollover</t>
  </si>
  <si>
    <t>Minor Injury</t>
  </si>
  <si>
    <t>05-Thu</t>
  </si>
  <si>
    <t>VEH1 WAS TRAVELING WB HWY 11 AT APPROX MP 169. DRIVER STATED, HE WAS TALKING WITH HIS PASSENGER AND VEERED OFF THE ROAD. VEHICLE TRAVELED SEVERAL HUNDRED FEET AND COLLIDED WITH A CULVERT DITCH. THE VEHICLE BECAME AIR BORN AND FLIPPED OVER LANDING ON TOP PORTION (UPSIDE DOWN) OF VEHICLE. THE VEH1 SLID AND FLIPPED AGAIN LANDED ON ALL FOUR TIRES, WHERE IT SLID INTO THE TREES.
DRIVER WAS NOT WEARING A SEATBELT AND HAD NO APPARENT INJURIES. PASSENGER WAS ALSO NOT WEARING A SEATBELT WAS THROWN AROUND VEHICLE WHERE SHE WAS LAYING IN-BETWEEN SEATS. DRIVER STATED, HE PULLED HER OUT OF VEHICLE ON DRIVERS SIDE. 
PASSENGER WAS TRANSPORT BY AMBULANCE TO RAINY LAKE MEDICAL CENTER IN INTERNATIONAL FALLS, MN. THE PASSENGER WAS FLOWN TO ST MARYS IN DULUTH, MN. HER APPARENT INJURIES WHERE POSSIBLE SPINAL TRAUMA AND PARALYSIS IN LOWER EXTREMITIES. 
STATEMENTS WERE TAKEN FROM DRIVER AND PASSENGER ON SCENE. THE DRIVER STATED HE WAS DISTRACTED FROM TALKING TO HIS PASSENGER AND VEERED OFF ROAD. THE SNOW AND ICE ON SHOULDER PULLED THEM INTO THE DITCH.  HE STATED THEY SLID AND COLLIDED WITH TREES. HE STATED HE WAS NOT WEARING HIS SEATBELT AND NEITHER WAS THE PASSENGER. DRIVER ALSO STATED HE WAS TRAVELING AT AROUND 70MPH IN A 60MPH ZONE.  
PASSENGER GAVE BRIEF STATEMENT STATED SHE WAS NOT WEARING HER SEATBELT AND THAT THEY JUST WENT OFF THE ROAD DUE TO THE SNOW AND ICE ON SHOULDER THAT PULLED THEM INTO THE DITCH. 
PHOTOS AND VIDEO WERE TAKEN ON SCENE. THE SCENE WAS PAINTED IN PINK PAINT.
ROCHES TOWING TOWED VEHICLE AND WAS PUT ON HOLD FOR FURTHER INVESTIGATION IF CRASH RECON IS NEEDED. 
DOCUMENTS WILL BE SENT IN  THE MAIL TO DRIVER AND PASSENGER ONCE I CONCLUDE FOLLOW UP WITH THE DRIVER.</t>
  </si>
  <si>
    <t>Straight</t>
  </si>
  <si>
    <t>Driver Speeding</t>
  </si>
  <si>
    <t>Failed to Keep in Proper Lane</t>
  </si>
  <si>
    <t>Male</t>
  </si>
  <si>
    <t>Pickup</t>
  </si>
  <si>
    <t>Serious Injury</t>
  </si>
  <si>
    <t>01-Sun</t>
  </si>
  <si>
    <t>Veh#1 traveling westbound on State Highway 11.  Veh#1 collided with a deer that ran out of the ditch.  Driver #1 stated that they didn't see the deer and struck it on the roadway.  
Driver was reported to be wearing a seatbelt and alcohol was not a factor. No citations will be issued out of this event.</t>
  </si>
  <si>
    <t>No Clear Contributing Action</t>
  </si>
  <si>
    <t>Single Vehicle Other</t>
  </si>
  <si>
    <t>06-Fri</t>
  </si>
  <si>
    <t>Slowing</t>
  </si>
  <si>
    <t>Blowing Sand/Soil/Dirt/Snow</t>
  </si>
  <si>
    <t>Motor Vehicle In Transport</t>
  </si>
  <si>
    <t>NARRATIVE</t>
  </si>
  <si>
    <t>AGENCY_ORI_GROUP</t>
  </si>
  <si>
    <t>AGENCY_ORI</t>
  </si>
  <si>
    <t>STATUS_NOTE</t>
  </si>
  <si>
    <t>STATUS</t>
  </si>
  <si>
    <t>CRASH_DATE_TIME</t>
  </si>
  <si>
    <t>LONGITUDE</t>
  </si>
  <si>
    <t>LATITUDE</t>
  </si>
  <si>
    <t>UTMY</t>
  </si>
  <si>
    <t>UTMX</t>
  </si>
  <si>
    <t>GRADEU4</t>
  </si>
  <si>
    <t>ALIGNMENTU4</t>
  </si>
  <si>
    <t>SPEEDLIMITU4</t>
  </si>
  <si>
    <t>TRAFFICCONTROLDEVICEU4</t>
  </si>
  <si>
    <t>RDWYDESIGNU4</t>
  </si>
  <si>
    <t>NONMOTORISTLOCATIONU4</t>
  </si>
  <si>
    <t>NONMOTORISTMANEUVERU4</t>
  </si>
  <si>
    <t>CONTRIBFACTOR2U4</t>
  </si>
  <si>
    <t>CONTRIBFACTOR1U4</t>
  </si>
  <si>
    <t>PHYSICALCONDITIONU4</t>
  </si>
  <si>
    <t>SEXU4</t>
  </si>
  <si>
    <t>AGEU4</t>
  </si>
  <si>
    <t>PRECRASHMANEUVERU4</t>
  </si>
  <si>
    <t>DIRECTIONU4</t>
  </si>
  <si>
    <t>VEHICLETYPEU4</t>
  </si>
  <si>
    <t>UNITTYPEU4</t>
  </si>
  <si>
    <t>GRADEU3</t>
  </si>
  <si>
    <t>ALIGNMENTU3</t>
  </si>
  <si>
    <t>SPEEDLIMITU3</t>
  </si>
  <si>
    <t>TRAFFICCONTROLDEVICEU3</t>
  </si>
  <si>
    <t>RDWYDESIGNU3</t>
  </si>
  <si>
    <t>NONMOTORISTLOCATIONU3</t>
  </si>
  <si>
    <t>NONMOTORISTMANEUVERU3</t>
  </si>
  <si>
    <t>CONTRIBFACTOR2U3</t>
  </si>
  <si>
    <t>CONTRIBFACTOR1U3</t>
  </si>
  <si>
    <t>PHYSICALCONDITIONU3</t>
  </si>
  <si>
    <t>SEXU3</t>
  </si>
  <si>
    <t>AGEU3</t>
  </si>
  <si>
    <t>PRECRASHMANEUVERU3</t>
  </si>
  <si>
    <t>DIRECTIONU3</t>
  </si>
  <si>
    <t>VEHICLETYPEU3</t>
  </si>
  <si>
    <t>UNITTYPEU3</t>
  </si>
  <si>
    <t>GRADEU2</t>
  </si>
  <si>
    <t>ALIGNMENTU2</t>
  </si>
  <si>
    <t>SPEEDLIMITU2</t>
  </si>
  <si>
    <t>TRAFFICCONTROLDEVICEU2</t>
  </si>
  <si>
    <t>RDWYDESIGNU2</t>
  </si>
  <si>
    <t>NONMOTORISTLOCATIONU2</t>
  </si>
  <si>
    <t>NONMOTORISTMANEUVERU2</t>
  </si>
  <si>
    <t>CONTRIBFACTOR2U2</t>
  </si>
  <si>
    <t>CONTRIBFACTOR1U2</t>
  </si>
  <si>
    <t>PHYSICALCONDITIONU2</t>
  </si>
  <si>
    <t>SEXU2</t>
  </si>
  <si>
    <t>AGEU2</t>
  </si>
  <si>
    <t>PRECRASHMANEUVERU2</t>
  </si>
  <si>
    <t>DIRECTIONU2</t>
  </si>
  <si>
    <t>VEHICLETYPEU2</t>
  </si>
  <si>
    <t>UNITTYPEU2</t>
  </si>
  <si>
    <t>GRADEU1</t>
  </si>
  <si>
    <t>ALIGNMENTU1</t>
  </si>
  <si>
    <t>SPEEDLIMITU1</t>
  </si>
  <si>
    <t>TRAFFICCONTROLDEVICEU1</t>
  </si>
  <si>
    <t>RDWYDESIGNU1</t>
  </si>
  <si>
    <t>NONMOTORISTLOCATIONU1</t>
  </si>
  <si>
    <t>NONMOTORISTMANEUVERU1</t>
  </si>
  <si>
    <t>CONTRIBFACTOR2U1</t>
  </si>
  <si>
    <t>CONTRIBFACTOR1U1</t>
  </si>
  <si>
    <t>PHYSICALCONDITIONU1</t>
  </si>
  <si>
    <t>SEXU1</t>
  </si>
  <si>
    <t>AGEU1</t>
  </si>
  <si>
    <t>PRECRASHMANEUVERU1</t>
  </si>
  <si>
    <t>DIRECTIONU1</t>
  </si>
  <si>
    <t>VEHICLETYPEU1</t>
  </si>
  <si>
    <t>UNITTYPEU1</t>
  </si>
  <si>
    <t>BASIC_TYPE</t>
  </si>
  <si>
    <t>ROUTE_ID</t>
  </si>
  <si>
    <t>INTERSECTION_NAME</t>
  </si>
  <si>
    <t>ROADWAY_NAME</t>
  </si>
  <si>
    <t>WORKZONETYPE</t>
  </si>
  <si>
    <t>RDWYSURFACE</t>
  </si>
  <si>
    <t>WEATHERSECONDARY</t>
  </si>
  <si>
    <t>WEATHERPRIMARY</t>
  </si>
  <si>
    <t>LIGHTCONDITION</t>
  </si>
  <si>
    <t>RELATIONTOINTERSECTION</t>
  </si>
  <si>
    <t>FIRSTHARMFULEVENT</t>
  </si>
  <si>
    <t>MANNEROFCOLLISION</t>
  </si>
  <si>
    <t>NUMBEROFVEHICLES</t>
  </si>
  <si>
    <t>NUMBERKILLED</t>
  </si>
  <si>
    <t>CRASHSEVERITY</t>
  </si>
  <si>
    <t>DIVIDEDRDWYDIR</t>
  </si>
  <si>
    <t>CRASH_HOUR</t>
  </si>
  <si>
    <t>CRASH_DAYOFWEEK</t>
  </si>
  <si>
    <t>CRASH_YEAR</t>
  </si>
  <si>
    <t>CRASH_DAY</t>
  </si>
  <si>
    <t>CRASH_MONTH</t>
  </si>
  <si>
    <t>ACCIDENT_NUMBER</t>
  </si>
  <si>
    <t>LOCALID</t>
  </si>
  <si>
    <t>TRIBAL_GOVERNMENT_SPATIAL</t>
  </si>
  <si>
    <t>STATE_PATROL_DIST_SPATIAL</t>
  </si>
  <si>
    <t>MNDOT_DISTRICT_SPATIAL</t>
  </si>
  <si>
    <t>TOWNSHIP_NAME</t>
  </si>
  <si>
    <t>CITY_NAME</t>
  </si>
  <si>
    <t>COUNTY_SPATIAL</t>
  </si>
  <si>
    <t>MEASURE</t>
  </si>
  <si>
    <t>RTENUMBER</t>
  </si>
  <si>
    <t>RTESYSCODE</t>
  </si>
  <si>
    <t>INCIDENTID</t>
  </si>
  <si>
    <t>Table 1 - 5 Year Crash History Along 1.12 mile Projet Segmnet of TH 11:</t>
  </si>
  <si>
    <t>Veh#2 was traveling eastbound on State Highway 11 near the intersection with Koochiching County Rd 82 near Loman.  Veh#1 was traveling northbound on Koochiching County 82 to the intersection with State Highway 11.  Veh#1 failed to yield to Veh#2 colliding with the passenger rear door of Veh#2, causing damage to the passenger rear door and box area.  
Driver#1 of Veh#1 stated that he didn't see Veh#2 and started turning right onto State Highway 11.  Driver #2 of Veh#2 said that he was traveling eastbound on State Highway 11 near the intersection of Koochiching County 82 when he observed Veh#1 fail to stop at the intersection.  Driver#2 said that he vered into the westbound lane to try and avoid the collision.  Driver#2 said that Veh#1 collided with the passenger rear door.  
Driver#1 was reported to be wearing her seatbelt and alcohol was not a factor.  Driver #2 was reported to be wearing his seatbelt and alcohol was not a factor.  No party was injured in the collision.  
Driver #1 is being issued a citation for Failure to yield to oncoming traffic. 
Minor damage was caused in the collision to both vehicles.</t>
  </si>
  <si>
    <t>Angle</t>
  </si>
  <si>
    <t>0700006594810082-I</t>
  </si>
  <si>
    <t>COUNTY RD 82</t>
  </si>
  <si>
    <t>Four-Way Intersection</t>
  </si>
  <si>
    <t>07-CR</t>
  </si>
  <si>
    <t>Asleep or Fatigued</t>
  </si>
  <si>
    <t>Swerved or Attempt to Avoid Object in Roadway</t>
  </si>
  <si>
    <t>Standing Tree/Shrubbery</t>
  </si>
  <si>
    <t>Called to a vehicle in the ditch on highway 11, west of Loman.  Marty was driving east bound on Hwy 11 and appeared to over correct and went into the ditch.  Marty then struck a few trees on the rear drivers side of the car.  A PBT was given to Marty which came back .25 BAC.  Marty was transported to Rainy Lake Medical Center and a blood draw was taken.  Marty was shipped out to Duluth with a preliminary report of a broken back.</t>
  </si>
  <si>
    <t>Sheriff</t>
  </si>
  <si>
    <t>Koochiching County Sheriff</t>
  </si>
  <si>
    <t>Curve Right</t>
  </si>
  <si>
    <t>Operated Motor Vehicle: Careless/Negligent/Erratic</t>
  </si>
  <si>
    <t>Has Been Drinking Alcohol</t>
  </si>
  <si>
    <t>HWY 11</t>
  </si>
  <si>
    <t>KO20000162</t>
  </si>
  <si>
    <t>The vehicle hit a horse while traveling west on Hwy 11W. No injuries reported by the driver (lone occupant). See ICR for more information.</t>
  </si>
  <si>
    <t>Other Animal - Alive at Time of Crash</t>
  </si>
  <si>
    <t>02-Mon</t>
  </si>
  <si>
    <t>Medical Issue (Ill, Sick or Fainted)</t>
  </si>
  <si>
    <t>07-Sat</t>
  </si>
  <si>
    <t>Northbound</t>
  </si>
  <si>
    <t>VEH1 WAS FOLLOWING VEH2. VEH2 SLOWED FOR SEMI IN FRONT OF THEM. VISIBILITY WAS BAD DUE TO POWDERY SNOW AND WIND. VEH1 WAS NOT ABLE TO SLOW OR STOP AND COLLIDED WITH VEH2 IN THE REAR. VEH2 WAS PULLING A TRAILER (ADVP054) WITH A 2023 POLARIS ASSAULT 850 (SN1TLC8R4PC247942). THE COLLISION BROKE THE TRAILER AND SENT THE SNOWMOBILE ROLLING DOWN THE ROAD. 
COLLISION CAUSED DAMAGE TO FRONT END OF VEH1 (DISABLING). CAUSED REAR END DAMAGE TO VEH2. TRAILER AND SNOWMOBILE WERE TOTALED AND TOWED BY HOOK AND BOOK. VEH1 WAS TOWED BY ROCHES. 
DRIVER1 WAS WEARING SEATBELT, NO DISTRACTION, NO INJURIES, AND NO AIRBAGS DEPLOYED. 
DRIVER2 WAS WEARING SEATBELT, NO DISTRACTION, NO INJURIES AND NO AIRBAGS DEPLOYED. 
PASSENGER OF VEH2 WAS WEARING SEATBELT, NO INJURIES AND NO AIRBAGS DEPLOYED. 
STATEMENTS WERE TAKEN FROM ALL INVOLVED. ALL STATED THAT THE SEMI SLAMMED ON THE BRAKES, CAUSING VEH2 TO HIT BRAKES, WHICH CAUSED VEH1 TO HIT BRAKES, BUT COULDN'T STOP IN TIME AND COLLIDED. ALL STATED VISIBILITY WAS BAD DUE TO POWDERY SNOW AND WIND BLOWING.
NO CITATIONS.</t>
  </si>
  <si>
    <t>Swerved or Avoided Due to Wind</t>
  </si>
  <si>
    <t>Following Too Closely</t>
  </si>
  <si>
    <t>Medium / Heavy Trucks (More than 10,000lbs)</t>
  </si>
  <si>
    <t>Front to Rear</t>
  </si>
  <si>
    <t>Fire/Explosion</t>
  </si>
  <si>
    <t>Unorganized Territory of East Koochiching</t>
  </si>
  <si>
    <t>Veh#1 was travling eastbound on State Highway 11 near Indus School.  Veh#1 collided with a deer that ran into the roadway.  Driver#1 stated she was an able to avoid the deer.  Veh#1 sustained heavy front end damage. Driver#1 was able to drive the vehicle to the body shop. 
Driver#1 was reported to be wearing her seatbelt and alcohol was not a factor.</t>
  </si>
  <si>
    <t>Downhill</t>
  </si>
  <si>
    <t>Uphill</t>
  </si>
  <si>
    <t>Ran Off Road</t>
  </si>
  <si>
    <t>Sunrise</t>
  </si>
  <si>
    <t>Row Labels</t>
  </si>
  <si>
    <t>Grand Total</t>
  </si>
  <si>
    <t>(Multiple Items)</t>
  </si>
  <si>
    <t>Count of CRASHSEVERITY</t>
  </si>
  <si>
    <t>Figure 1 - MnDOT Crash Map</t>
  </si>
  <si>
    <t>Table 1 - 5 Year Crash History Along TH 11 Build Route (Not Counting Crashes on  1.12 mile Projet Segmnet of TH 11):</t>
  </si>
  <si>
    <t>Note: The existing AADT data shown below for the project corridor is shown in the table below. Existing traffic volume data was obtained from project scope documents.</t>
  </si>
  <si>
    <t>Thief River Falls</t>
  </si>
  <si>
    <t>Kelliher</t>
  </si>
  <si>
    <t>Beltrami</t>
  </si>
  <si>
    <t>Vehicle #1 was traveling northbound on Eagle Nest Drive when driver veered off the gravel roadway into some brush and trees.  Driver didn't know if he fell asleep or went into the ditch.  No suspicion of alcohol.  Possible fatigue.  Vehicle sustained severe damage to the front-end area and the under-carriage area. No injuries reported.  Driver was seat belted at the time the accident occurred.  No citations issued.</t>
  </si>
  <si>
    <t>Beltrami County Sheriff</t>
  </si>
  <si>
    <t>0800006594490505-I</t>
  </si>
  <si>
    <t>SOUTH SHEEPHEAD ROAD</t>
  </si>
  <si>
    <t>EAGLE NEST DR NE</t>
  </si>
  <si>
    <t>Mud/Dirt/Gravel</t>
  </si>
  <si>
    <t>ICR# 22019391</t>
  </si>
  <si>
    <t>Waskish</t>
  </si>
  <si>
    <t>08-TWNS</t>
  </si>
  <si>
    <t>Veh #1 NB on Hwy 71. Veh #1 appeared to be traveling too fast for the conditions, did not negotiate the left curve, left he roadway, and rolled several times. Driver #1 had been drinking, alcohol containers and marijuana found in the vehicle. It appears the driver was not belted and ejected near the final rest of the vehicle. The sunroof had been knocked out by the roll over and may have been the exit point of the lone occupant. The driver had a strong odor of alcoholic beverage coming from his breath. A search warrant was obtained for the DWI process, a blood test was taken. The driver was airlifted to a Duluth hospital after arriving at Rainy Lake Medical Center. The driver was unconscious the whole time and suffered severe injuries, eventually turning into a fatality. Roaches towing towed the vehicle to Int'l falls. All charges were dismissed, due to the fatality. Blood test came back positive for meth/stimulant and some alcohol.</t>
  </si>
  <si>
    <t>Improper Turn/Merge</t>
  </si>
  <si>
    <t>0700006594810078-I</t>
  </si>
  <si>
    <t>COUNTY RD 78</t>
  </si>
  <si>
    <t>03-Tues</t>
  </si>
  <si>
    <t>D1-DULUTH</t>
  </si>
  <si>
    <t>Vehicle ran stop sign at the intersection of county road 1 and highway 72. vehicle dove down a steep ditch and hit the bank on the other side of the ditch. All air bags were deployed. Driver had injuries to his right wrist.</t>
  </si>
  <si>
    <t>Lake of the Woods County Sheriff</t>
  </si>
  <si>
    <t>Ran Stop Sign</t>
  </si>
  <si>
    <t>0400006594830001-I</t>
  </si>
  <si>
    <t>CSAH 1</t>
  </si>
  <si>
    <t>Lake of the Woods</t>
  </si>
  <si>
    <t>04-CSAH</t>
  </si>
  <si>
    <t>Veh#1 was traveling eastbound on Koochiching County Rd 1 when it failed to stop at the intersection with State Highway 71.  Veh#1 traveled through the intersection hitting an elevated area of State Highway, leaving the ground and impacting the edge of the pavement, before entering the ditch on Koochiching County Rd 33.  Veh#1 traveled down State Highway 71 embankment, before colliding with an approach on Koochiching County Rd 33.  
Driver #1 said that she was returning home after dropping friends off. Driver #1 stated that she was tired from working and staying up late at night. Driver #1 said that she remembers waking up hitting the brakes before hitting the ditch.  Driver #1 stated that she doesn't exactly know what happened, however when her vehicle stopped, she exited her vehicle and called her mother.  Driver#1 admitted to not wearing her seatbelt.  
RO of vehicle is making private towing arraignments. 
Driver #1 will be issued a citation for Careless Driving and Failure to wear her seatbelt.</t>
  </si>
  <si>
    <t>Disregard Other Traffic Signs</t>
  </si>
  <si>
    <t>0400006594810033-I</t>
  </si>
  <si>
    <t>FAIRWOOD AVE</t>
  </si>
  <si>
    <t>Failure to Yield Right-of-Way</t>
  </si>
  <si>
    <t>Southbound</t>
  </si>
  <si>
    <t>Sideswipe Same Direction</t>
  </si>
  <si>
    <t>Sideswipe - Same Direction</t>
  </si>
  <si>
    <t>0300000000000072-I</t>
  </si>
  <si>
    <t>Sunset</t>
  </si>
  <si>
    <t>V #1 was NB on MNTH 72 travelling approx 60-65mph when Mary swerved to miss a deer. Vehicle entered east ditch hit a crossing went air born landing approx 25' north of the crossing. After landing vehicle continued northbound in the ditch about 100' before it got stuck in the snow. Air bags deployed, cracks in front and rear bumpers.</t>
  </si>
  <si>
    <t>MN State Patrol District 3200 - Thief River Falls</t>
  </si>
  <si>
    <t>MNTH 72</t>
  </si>
  <si>
    <t>Dark (Str Lights Off)</t>
  </si>
  <si>
    <t>Vehicle o had one sole Occupant the driver Jarod Baker. Jarod informed me that he hit a bump and lost control hitting the ditch of HWY 72. Jarod's vehicle entered the ditch rolling once stopping in a plowed Field. Jarod had a wrist injury where he was treated and released. Jarod only had his license less than two weeks. I believe his lack of experience along with over correcting was a factor in the crash. Jarod was traveling north approximately 10 miles south of Baudette on HWY 72.</t>
  </si>
  <si>
    <t>Two-Way, Divided, No Median Barrier</t>
  </si>
  <si>
    <t>Vehicle WAS TRAVELING NORTH ON highway 72. Driver fell asleep. Vehicle drifted towards the west road ditch. Vehicle drove into road ditch and rolled on its side. Driver had no injuries.</t>
  </si>
  <si>
    <t>Two-Way, Not Divided, Continous LTL</t>
  </si>
  <si>
    <t>Driver Distracted</t>
  </si>
  <si>
    <t>Unit 1 traveling northbound on MNTH 72 at mile post 56. Unit 2 traveling south on MNTH 72. Unit 1 crossed over the center line and collided with Unit 2 in the southbound lane. Collision was a sideswipe type maneuver. sever damage to both vehicles. Both vehicles towed by Gary's. Airbags activated in both vehicles. Seat belts worn by all occupants in both vehicles.</t>
  </si>
  <si>
    <t>Sideswipe Opposing</t>
  </si>
  <si>
    <t>Sideswipe - Opposing</t>
  </si>
  <si>
    <t>John Rice was traveling North On HWY 172 in Lake of the Woods County. Near mile marker 55 John Fell asleep at the wheel. The 2018 Toyota Camry crossed the centerline in to the southbound lane. The vehicle travelled through the lane and entered the southbound ditch coming to a stop in 2-3 feet of water. The vehicle suffered front and rear damage from entering the ditch.</t>
  </si>
  <si>
    <t>Unit 1 was driving Southbound on MNTH 72 at MP54. The road conditions were slick and slushy after a recent snowfall. Unit 1 was driving too fast for the conditions and the driver lost control, exiting the roadway left into the East ditch. The ditch was filled with snow and water. As Unit 1 entered the ditch, the tractor rotated counter-clockwise and came to final rest facing Northeasterly. The tractor struck sediments of dirt hard packed snow, causing disabling damage to the front end.</t>
  </si>
  <si>
    <t>Slush</t>
  </si>
  <si>
    <t>Jackknife</t>
  </si>
  <si>
    <t>V#1 was south bound on MNTH 72 in a construction zone with workers present. V1 never slowed speed after passing three orange construction zone flags. V1 impacted a crash attenuator attached to V2 at highway speeds. V1 came to a rest in the west ditch facing south with moderate damage. V2 was pushed about 40' in its lane. V2 was parked in the south bound lane with emergency lights activated. No one was inside V2 at time of crash. Driver of V2 was outside flagging and ran to the opposite ditch just prior to crash. No damage to V2.</t>
  </si>
  <si>
    <t>Person (Flagger, Police, etc.)</t>
  </si>
  <si>
    <t>Parked or Entering or Leaving</t>
  </si>
  <si>
    <t>Working Vehicle / Equipment</t>
  </si>
  <si>
    <t>Disregard Other Road Markings</t>
  </si>
  <si>
    <t>Lane Closure</t>
  </si>
  <si>
    <t>V1 NB on MNTH 71.  V1 failed to negotiate a curve, went straight and rolled.  D1 ejected.  Right front seat passenger injured.  D1 charged with CVO.</t>
  </si>
  <si>
    <t>Negotiating a Curve</t>
  </si>
  <si>
    <t>Immersion (Full or Partial)</t>
  </si>
  <si>
    <t>This was a one vehicle crash.  Vehicle 1 (V1) was traveling northbound on MNTH 72.  V1 lost control and entered the dirt shoulder on the northbound lane.  The vehicle then steered over the center line and into the southbound lane.  V1 then rolled multiple times and came to a final rest on tires with the front facing EB.  The vehicle had severe damage with one occupant being tended to by EMS.  Alcohol is a factor with a PBT of .113.  A blood draw search warrant was drafted and obtained.</t>
  </si>
  <si>
    <t>V1 (Ford F-150) was traveling south on MNTH 72, lost control on the icy roadway, went off the right side of the roadway into the west ditch and rolled onto its driver's side. The driver and front seat passenger of the vehicle were wearing their seat belts and were not injured. V1 received severe damage to multiple areas. No airbags were deployed. V1 was towed from the scene by Lake of the Woods Towing. Photographs were taken. There were no witnesses to the crash.</t>
  </si>
  <si>
    <t>Hit-And-Run Vehicle</t>
  </si>
  <si>
    <t>V1 SB on MNTH 72, just north of MP 41.  V1 went off road to the left and came to rest in the ditch water and brush.  D1 said she thinks she fell asleep.</t>
  </si>
  <si>
    <t>Vehicle one, a 2003 Chevrolet Suburban was travelling northbound on US highway 72. The driver was fatigued and fell asleep behind the wheel. The vehicle went across the southbound lane of travel, and into the ditch. The vehicle rolled one time and landed on its wheels. There was extensive damage to the vehicle and it was towed. The weather was clear and cold at the time. There was a small amount of snow on the roadways but this was not a factor in the crash.</t>
  </si>
  <si>
    <t>V1 (Dodge Avenger) was traveling south on MNTH 72. V2 (Nissan Altima) was traveling north on MNTH 72 and was going to make a left turn onto Shoreline Drive NE. V1 crossed into V2's lane  and crashed head on into the rear driver's side of V2. V1 then rolled over and landed upright in the east ditch of MNTH 72. V2 spun around and went into the east ditch of MNTH 72. Driver of V2 observed V1 cross into their lane and moved to the right shoulder as far as possible before V1 crashed into them. Driver of V1 was belted, pregnant and sustained non-life threatening injuries and was airlifted from the scene. Front seat passenger from V1 was belted and received non-life threatening injuries and was transported from the scene by ambulance. Rear seat passenger of V1 was a child that was not belted or in a child restraint and sustained non-life threatening injuries and was transported from the scene by ambulance. Driver of V2 was belted and received non-life threatening injuries and was transported from the scene by ambulance. Front and side airbags deployed on both vehicles. V1 received severe damage to multiple areas and was towed by Bogart's. V2 received severe damage to multiple areas and was towed from the scene by Bogart's. A witness to the crash observed V1 cross into V2's lane and crash into them. The crash scene was photographed and painted. A crash reconstruction was completed for the crash scene. Driver of V1 admitted to drug use and a search warrant was obtained for a blood draw. Charges were forwared for Criminal Vehicular Operation, 3rd Degree DWI, No Insurance, Driving after Suspension and No Child Restraint Equipped in the vehicle.</t>
  </si>
  <si>
    <t>Has Been Taking Illicit Drugs</t>
  </si>
  <si>
    <t>SHORELINE DR NE</t>
  </si>
  <si>
    <t>Vehicle southbound on MNTH 72, late 11/19/19 or early 11/20/19.  Vehicle lost control, entered east ditch and hit an embankment.  Driver transported to hospital by private vehicle.  
Law Enforcement not notified about crash.</t>
  </si>
  <si>
    <t>Has Been Taking Medications</t>
  </si>
  <si>
    <t>Vehicle 1 (veh1): Blue colored Chevrolet Impala license plate BBP658. 
Vehicle Owner: Lonnie Eugene Nichols DOB 06/11/1951
Vehicle Driver: Halle Rae Dahl DOB 01/10/2001
Veh1 was traveling southbound on highway 72. Driver was wearing her seatbelt and traveling at 65mph. Driver stated a deer came out in front of her from the right and she swerved into the ditch to avoid it. Driver stated she hit the back of her head against the head rest but did not go to the hospital. She stated she was okay.
There was packed down grass tire tracks from the east shoulder of hwy 72 leading straight into the east ditch. The tracks continue until they met a field approach embankment with a large gouge in the dirt at the base of the embankment. The grass tire tracks then disappear at the top of the embankment, and reappear on the other side of the embankment in the ditch where there was a large area of packed down grass and dirt gouges. The vehicle was right side up at the end of all the packed grass and dirt gouges, with no further evidence beyond the vehicle. 
The vehicle itself was covered in dirt, and had severe damage to the front and rear. The rear window was lying on the ground behind the vehicle. The drivers airbag was deployed. There were full cans of White Claw lying on the ground just behind the vehicle next to the rear window.
The vehicle was towed by Bogart's Towing and allowed to be released to the registered owner of the vehicle once the investigation was concluded.
Photographs were taken and there were no witnesses or passenger's.</t>
  </si>
  <si>
    <t>I was dispatched to a vehicle rollover north of Waskish that was traveling NB on MNTH 72. The driver drifted off into the ditch on the right side of the roadway. The vehicle sustained major damage with the front passenger tire being ripped off. The tire was found near the truck. The driver was wearing a seatbelt. The curtain airbags on both sides were deployed. The vehicle was pulled out and loaded onto the tow truck from Bogarts Towing. There were no witnesses to the crash. Photographs were taken by Beltrami County Deputies. The driver was cited for duty to drive with due care. Blackduck Ambulance was on scene with the driver upon my arrival and cleared the driver from her injuries.</t>
  </si>
  <si>
    <t>Fog/Smog/Smoke</t>
  </si>
  <si>
    <t>Improper Passing</t>
  </si>
  <si>
    <t>Severe Crosswinds</t>
  </si>
  <si>
    <t>Motorcycle was traveling NB on MNTH 72, when a deer attempted to cross the roadway. Driver was just starting to slow down for his turn, figuring he was going approximately 45-50mph. Driver had minor injuries and refused medical treatment.</t>
  </si>
  <si>
    <t>Vehicle 1 (Ford F-150) was driving northbound on Hwy 72. Vehicle 2 (Dodge Ram) was driving southbound on Hwy 72. Vehicle 1 went into the southbound lane driving northbound, and collided head on with vehicle 2. Driver of vehicle 1 was wearing their seat belt, and sustained non life-threatening injuries. Driver of vehicle 2 was wearing their seat belt, and sustained life-threatening injuries. Both drivers were transported by ambulance to the Bemidji hospital for their injuries. Both vehicles sustained severe front end disabling damage. Both vehicles had airbag deployment. Vehicle 1 had front and side airbag deployment. Vehicle 2 had front airbag deployment. Both vehicles were towed by Bogart's Towing to their lot for further investigation. Crash scene was also photographed, and then painted. A crash reconstruction was requested. Several witnesses stated they saw the F-150 drive north into the southbound lane. No passengers in either vehicle.</t>
  </si>
  <si>
    <t>Front to Front</t>
  </si>
  <si>
    <t>The vehicle appeared to be traveling southbound on MN HWY 72 when it veered left crossing into the oncoming lane before rolling into the northbound ditch. The driver was located at his father's residence and subsequently arrested for DWI.</t>
  </si>
  <si>
    <t>Unit 1 occupied by Omalley was traveling southbound on MNTH 72 when Unit 2 which was also traveling southbound on MNTH 72. Road evidence indicates a collision in the southbound lane of MNTH 72. It appears as though Unit 2 struck Unit 1 from behind causing Unit 1 to enter the west ditch and roll. Unit 1 ended up rolling into the trees and Unit 1 being vertical into the trees. Unit 2 had skidded to a stop crossing the centerline and onto the east shoulder of MNTH 72. Unit 2 then left the scene of the crash and was unable to be located at that time.
Unit 2 was located and driver identified. Vehicle information is not specifically available at this time, but the vehicle was located. Driver from Unit 2 has outstanding warrant in regards to this incident.</t>
  </si>
  <si>
    <t>UNIT 1 WAS TRAVELING NB MNTH 72 WHEN THE VEHICLE HE WAS OPERATING LOST CONTROL. VEHICLE CROSSED CENTER LINE AND ROLLED OVER INTO THE SB DITCH OF MNTH 72. DRIVER STATED HE WAS TRAVELING APPROXIMATELY 40 MPH BEFORE LOSING CONTROL.</t>
  </si>
  <si>
    <t>The GMC Arcadia was SB on MNTH 72. The Kenworth, hauling a gas tanker trailer, was NB on MNTH 72.  Two rear wheels came off the back of the trailer.  One of the wheels struck the SB Arcadia, causing major front end damage to the Arcadia.  CVI Sorenson found the Kenworth at the gas station in Waskish.</t>
  </si>
  <si>
    <t>Cargo/Equipment Loss or Shift</t>
  </si>
  <si>
    <t>Driver indicated he fell asleep while driving.</t>
  </si>
  <si>
    <t>Unit 1 (MNLP: 437XVA, Silver Chevy Cruze) was driving NB on USTH 72 leaving the city of Kelliher, MN. Unit 1 was driven by Brandyn Jay Anderson, DOB: 10/09/2003. Unit 1 was following Unit 2 (MNLP: DZL978, White Chevy Silverado) pulling a Yetti Outdoors fish house with MNLP: RW88942. Unit 2 was driven by Connor George Meagher, DOB: 08/18/2000. Unit 1 collided front to rear into the Yetti fish house at highway speeds in the NB lanes of USTH 72. Moderate damage was sustained to Unit 1 which was towed due to all airbags being deployed. Unit 2, trailer sustained minor damage and was functional.</t>
  </si>
  <si>
    <t>Unit 1 rear ended unit 2.  The conditions were heavy snow and slippery roads.  Both units were entering a 30 MPH zone and Unit 1 indicated they could not see unit 2.</t>
  </si>
  <si>
    <t>Police</t>
  </si>
  <si>
    <t>Blackduck Police Dept</t>
  </si>
  <si>
    <t>KELLIHER ROAD</t>
  </si>
  <si>
    <t>CLARK AVE S</t>
  </si>
  <si>
    <t>Shooks</t>
  </si>
  <si>
    <t>UNIT 1 STRUCK A DEER.</t>
  </si>
  <si>
    <t>Unit 2 was northbound on MNTH 72 turning left into a residence driveway to deliver packages. Unit 1 was also northbound in the correct lane when Unit 1 collided into the driver side of Unit 2 as it was turning left onto the driveway. Unit 1 was going too fast for the conditions and could not slow down to avoid collision with Unit 2. Both vehicle's final rest was in the west ditch of MNTH 72. Both vehicle's had moderate damage and had to be towed due to airbag deployments.</t>
  </si>
  <si>
    <t>This was a one vehicle crash.  Vehicle 1 (V1) was a tractor trailer combination.  V1 was traveling SB on MN Highway 72 approaching the T intersection with MN Highway 1.  The driver did not slow in time for the stop sign and continued through the intersection.  The vehicle ran off of the roadway straight into the Shooks Town Hall.  The town hall was completely destroyed.   The building was not occupied.  The semi was occupied by only the driver.  The driver was transported to the Bemidji Sanford ER with possible injury.  Bogarts Towing towed the vehicle.</t>
  </si>
  <si>
    <t>Other - Fixed Object</t>
  </si>
  <si>
    <t>0300000000000001-I</t>
  </si>
  <si>
    <t>HWY 1</t>
  </si>
  <si>
    <t>Unit 1 (FEIDER) was traveling westbound MNTH 1 behind Unit 2 (SALVERSON). Unit 2 slowed to turn northbound on MNTH 72. Unit 1 attempted to slow and lost control. Unit 1 struck the rear of Unit 2. Road conditions were icy. Driver of Unit 1 admitted to his windshield icing up. Both driver's  belted. Unit 1's airbags deployed. Driver of Unit 1 sustained minor cut to head. No driver was transported by EMS.</t>
  </si>
  <si>
    <t>V1 (Chevrolet Silverado) was traveling south on MNTH 72. V2 (Ford F-350) was parked in an approach on the south side of MNTH 1 and was facing south. V1 was driving too fast for the snowy/icy roadway conditions and failed to stop at the stop sign at the intersection of MNTH 72 and MNTH 1 and crashed into the rear of V2. Driver of V1 was wearing his seat belt and was not injured. There were no passenger's in V1. No airbags deployed on V1. Driver of V2 was wearing his seat belt and was not injured. There were no passenger's in V2. No airbags deployed on V2. V1 was pulling a car trailer with a car on it. V1 received severe damage to the rear passenger's side. The trailer received moderate damage to the passenger's side. The car on the trailer received moderate damage to the front passenger's side. V2 received moderate damage to the rear driver's side. V1, the car trailer and car were towed from the scene by Bogart's. Photographs were taken of the scene. Driver of V1 was cited for Failure to Stop at Stop Sign or Stop Lines at the Entrance of a Through Highway. There were no witnesses to the crash.</t>
  </si>
  <si>
    <t>0200000000000071-I</t>
  </si>
  <si>
    <t>HWY 71</t>
  </si>
  <si>
    <t>02-USTH</t>
  </si>
  <si>
    <t>VEH WAS NORTHBOUND ON HWY 71. DRIVER STATED HE WAS TEXTING AND HE VEERED OFF TO THE RIGHT AND GOT CAUGHT IN SLUSH AND SNOW. HE STATED THE VEHICLE PULLED AND HE OVER CORRECTED WHICH CAUSED HIS VEHICLE TO SLIDE. THE VEHICLE CROSSED THE CENTER LINE ENTERING THE SOUTHBOUND DITCH STRIKING TREES AND DITCH. DRIVER WAS PICKED UP BY PASSERBY AND BROUGHT HOME. 
SPOKE WITH DRIVER AND HE ADMITTED TO TEXTING WHILE DRIVING CAUSING THE CRASH. 
I TOOK PHOTOS AND SPOKE WITH DRIVER ON PHONE. 
ADVISED I WOULD BE SENDING CITATION FOR HAND FREE VIOLATION AND MINNESOTA CRASH REPORT VIA MAIL. 
WIMMERS TOWED VEHICLE. 
NO INJURIES, NO AIRBAGS.</t>
  </si>
  <si>
    <t>Veh#1 was traveling west on Koochiching County Rd 22 and stopped at the State Highway 71 intersection.  Veh#2 was traveling southbound on State Highway 71.  Veh#1 proceeded through the intersection colliding with the driver's side door/box area of the vehicle. Veh#2 collided with the southbound ditch.  Driver #1 stated he did not see Veh#2. Driver #2 stated that Veh#1 pulled up to the intersection then proceeded through. 
All parties were reported to be wearing their seat belts and alcohol was not a factor.</t>
  </si>
  <si>
    <t>Veh#1 was SB on Hwy 71, the weather was clear and dry. Driver #1 is a volunteer firefighter who was responding to a vehicle fire on hwy 71, at mile post 406, in his personal vehicle. Driver #1 stated he was going about 80 MPH with his four way flashers on.  Driver #1 stated he saw the vehicle that was on fire on the north side of the bridge facing NB at the 406 mile post. Driver #1 saw 2 pedestrians on the right shoulder and a vehicle on the right shoulder parked with a flashlight or phone. Driver #1 said he was distracted by the other 2 pedestrians on the right shoulder  with a flashlight. Driver #1 said he slowed down when he saw the car on fire but then he sped up as he went by the pedestrians to 80 MPH. Driver #1 stated he had switched lanes to avoid the pedestrians on the shoulder and thats when he struck the pedestrian in the center of the roadway. Driver #1 stated he had his high beams on at the time of the crash. Driver #1 reported no injuries and had no signs of drug or alcohol use.  A re-constructionist was called and arrived on scene that night to process the scene. The crash is still under investigation. All charges are pending. There were several witnesses. One of the pedestrian witnesses that was with the victim stated she ran out in the road to flag down a north bound vehicle for more help, and thats when she was hit by driver #1 near the centerline.</t>
  </si>
  <si>
    <t>Travel Lane - Other Location</t>
  </si>
  <si>
    <t>Walk/Cycle With Traffic</t>
  </si>
  <si>
    <t>Pedestrian</t>
  </si>
  <si>
    <t>VEH1 WAS TRAVELING NORTHBOUND ON HWY 71. VEH2 WAS TRAVELING NORTHBOUND BEHIND VEH1. VEH1 HAD FLASHERS ON. VEH1 ATTEMPTED TO TURN LEFT INTO DRIVEWAY WHEN VEH2 ATTEMPTED TO PASS ON THE LEFT. VEH2 COLLIDED WITH VEH1 ON DRIVERS SIDE. VEH2 SWERVED AND RAN OFF ROAD ENTERING THE SOUTHBOUND DITCH. 
STATEMENTS WERE TAKEN. PHOTOS OF CRASH. BWC WAS ON.  
VEH1 SEATBELTS WERE WORN, NO DISTRACTIONS, NO INJURIES, NO AIRBAGS. 
VEH2 SEATBELTS WERE WORN, NO DISTRACTION, DRIVER WAS CHECKED OUT BY EMS AND WAS CLEARED, AIRBAGS DEPLOYED COMBINATION. 
ROCHES TOWED VEH1 TO NAGURSKI TRANSPORT. 
ARMORY SHELL TOWED VEH2 TO NAGURSKI TRANSPORT, TOW HAD TO REMOVED TRAILER FROM TRACTOR TO MOVE UNIT. I ADVISED THAT REMOVING TRAILER FROM TRACTOR IT WOULD HINDER INSPECTION. 
NO CITATIONS. 
INSPECTION DONE ON 06/30/22. BY 584, 1721.</t>
  </si>
  <si>
    <t>Veh #1 WB Hwy 65 turning to north bound Hwy 71. Veh #2 SB on Hwy 71. Weather cloudy to clear, roads clear with wet spots.
Driver #2 saw #1 turning with wide load , #2 moved onto shoulder / passing lane to give #1 room. Veh #1 turned onto NB Hwy 71 , when #1 turned the boom on the logging equipment swung out and hit the rear of the cab on #2 and then hit the trailer of #2 in several places on the left side. Moderate damage to the trailer , light damage to the truck of #2. No real damage to #1. Pics taken, no injuries no tows. waivers given to both, no CVI available. # 1 cited for permit violation over width and fail to secure load correctly.</t>
  </si>
  <si>
    <t>VEH #1 was SB on 71 the roads were wet and the temp was cold. The driver of Veh#1 never called to report the crash, I tracked the driver down through the tow truck company when the driver stopped to pick up the Veh. (several days later) she left her info.  Driver #1 said she was SB and swerved to miss a deer that was WB. Driver #1 said she swerved to miss the deer and lost control, then left the road to the left and rolled into the ditch, no injuries reported, Roaches of Int'l falls towed.
 Driver#1 said she would provide proof of insurance, I have not seen it yet, its been 6 days. Driver #1 said she borrowed the veh. and was disorientated thats why she never called to report it. I am sending her a citation for no proof of insurance.</t>
  </si>
  <si>
    <t>VEHICLE WAS SB HWY 71 AND CR 77. DRIVER STATED SHE DRIFTED ONTO THE SB SHOULDER WHERE VEHICLE HIT ICE/ SNOW. THE VEHICLE BEGAN TO SLIDE WHERE IT SLID ACROSS NB LANE OF TRAFFIC AND ENTERED THE NB DITCH. THE VEHICLE ROLLED AND CAME TO FINAL REST IN NB DITCH. 
DEPUTY AND EMS WAS FIRST ON SCENE. 
I ARRIVED ON SCENE WHERE I TOOK PHOTOS. 
DRIVER WAS TRANSPORTED BY LITTLEFORK EMS TO INTERNATIONAL FALLS. 
WHILE IN AMBULANCE I TOOK DRIVERS STATEMENT. DRIVER STATED SHE WAS OVER THE SPEED LIMIT APPROXIMATELY 70MPH IN 60MPH ZONE. 
DRIVER WORE HER SEATBELT/ NO AIRBAGS WERE DEPLOYED. DRIVER STATED SHE WAS NOT DISTRACTED BY ANYTHING. NO SIGNS OF IMPAIRMENT.
WIMMERS TOWED VEHICLE. 
CITATION FOR DUTY TO DRIVE WITH DUE CARE.</t>
  </si>
  <si>
    <t>Other - Non Fixed Object</t>
  </si>
  <si>
    <t>VEH WAS TRAVELING SOUTHBOUND ON HWY 71 MILE POST 396. VEH VEERED OFF ROAD TO RIGHT AND TRAVELED IN DITCH FOR 1108 FEET. VEH ROLLED MULTIPLE TIMES COMING TO FINAL REST ON TIRES FACING WESTBOUND. DRIVER THEN TOOK OFF SEATBELT AND WALKED INTO THE WOODS WHERE DEPUTIES FOUND HER. 
PHOTOS WERE TAKEN ON SCENE. 
WIMMER'S TOWED VEHICLE.
DRIVER WAS TRANSPORTED TO RAINEY LAKE MEDICAL CENTER BY GROUND THEN WAS FLOWN TO DULUTH ST MARYS HOSPITAL BY FIXED WING. 
SEARCH WARRANT FOR BLOOD WAS TAKEN FROM DRIVER FOR ALCOHOL. PENDING RESULTS.
NO GOOD STATEMENT WAS TAKEN DRIVER STATED SHE JUST WOKE UP TASTING BLOOD AND MUD. 
CITATION WAS MAILED TO DRIVER.</t>
  </si>
  <si>
    <t>V1 TOWING LOADED TRIDEM AXLE LOGGING TRAILER (MN LICENSE 2592STL) WAS W/B HWY 71 AT MP 395 WHEN DEER ENTERED INTO TRAFFIC LANE STRIKING LEFT FRONT TIRE OF V1.  DEER WAS THEN STRUCK BY LEFT SIDE TIRES/AXLES OF TRAILER CAUSING TRAILER TO ELEVATING LEFT SIDE OF TRAILER.  TRAILER THEN JACKKNIFED TO THE RIGHT AND OVERTURNED ONTO ITS SIDE EJECTING LARGE PORTION OF LOAD LOGS FROM CRIB.  TRUCK AND TRAILER THEN ENTERED INTO THE E/B HWY 71 DITCH COMING TO FINAL REST IN DEEP WATER/MUCK FILLED DITCH.  EJECTED LOGS THEN STRUCK TRUCK.  ROCHES TOWING REMOVED TRUCK AND TRAILER FROM DITCH. CMV POST CRASH INSPECTION COMPLETED.  NO VIOLATIONS OR CITATIONS ISSUED. END OF REPORT.</t>
  </si>
  <si>
    <t>Veh #1 NB on Hwy 71 , the weather was cloudy and dry. Driver #1 said she was taking her boot off while driving and ran off the road and rolled over. Driver appeared tired and admitted to using medications. Brother of driver showed up on scene and said she was sleeping in her car just couple hours before. Veh #1 looked like it crossed both lanes of traffic and hit the SB ditch and rolled 2 x landing on its side facing SB. Driver #1 was checked by EMS crew and signed waiver . Veh #1 towed at drivers request. Roaches towing of Int'l falls towed. Driver #1 tested for Impairment and blood taken, DWI pending blood results. Citation issued.</t>
  </si>
  <si>
    <t>On 05/15/2022 at 0952 hours I, Trooper Mason Kraskey was dispatched to a rollover crash with injury on U.S Highway 71 at MM 393. I arrived at Rainy Lake Medical Center to speak with the driver. I spoke with the driver who stated she stayed up the night prior in International Falls. The driver stated she watched the sunrise that morning and then started to head home. The driver stated she stopped at a rest stop and took a nap as she was tired. The driver continued driving south on Highway 71 and fell asleep. The driver stated she awoke in the north bound lane and over corrected the car and went into a fish tail and then a spin. The driver stated she rolled multiple times in the ditch. The driver sustained suspected minor injury. The driver was wearing her seatbelt and was not using her phone, no impairment. The entire incident was recorded on my BWC.</t>
  </si>
  <si>
    <t>I, Sgt. Alan Ryan responded to a personal injury crasy on USTH 71 and mile marker 360 at at 0927 hrs on 10/8/2019.  A northbound semi truck (unit 1) was sideswiped by a southbound Ford Ranger (Unit 2).  Driver 1 stated he saw the vehicle drifting across the centerline towards him and the driver of the Ranger was looking down.  The vehicles made contact and the Ranger continued into the northbound ditch and came to rest.  Unit 1 continued down the roadway and stopped on the northbound shoulder.  
Driver 2 told Driver 1 that he was reaching for a pop when the vehicle crossed the centerline.  Driver 2 was transported by Littlefork Ambulance to International Falls for arm pain and precautionary checks.  I was unable to speak to him directly after the crash or investigate any cell phone use prior to him being transported.  
Driver 1 was not injured.  Vehicle 2 was towed by Roaches towing.  Photos were taken on scene and Driver 2 was cited for crossing the centerline.  
END OF REPORT</t>
  </si>
  <si>
    <t>V1 N/B Hwy 71 at Milepost 356 towing empty 2021 Great Dane brand cargo van style semi-trailer (Tennessee Lic. Plate110043T) when D1 entered onto N/B hwy 71 shoulder then slidding into the N/B Hwy 71 ditch due to weather and road conditions (heavy show fall with strong wind gusts/blizzard type conditions. V1 then struck ditch road enbankment resulting in severe disabling damage to truck. No injuries. No criminal charges filed or pending. Both V1 and Great Dane trailer towed from the scene by Bogarts Towing of Blackduck MN. End of report.</t>
  </si>
  <si>
    <t>Y Intersection</t>
  </si>
  <si>
    <t>Veh#1 was traveling northbound on State Highway 71.  Driver#1 said that she swerved to avoid a deer and collided with the ditch. Driver#1 said that the vehicle overturned in the ditch coming to a rest on it's wheels.  Driver#1 said she left the scene without contacting law enforcement because there was no insurance on the car.  Driver#1 stated that she contacted the vehicle owner whom came and got the vehicle. Driver#1 said that he was traveling back to their residence when the vehicle caught fire.  Driver#1 said that she was being transported to Bemidji Sanford ER for injuries sustained to her back in the collision. 
Veh#1 was located afire near Northome on an ATV trail.  
Unknown if driver was wearing her seatbelt and alcohol was a factor. Driver#1 is being cited for no motor vehicle insurance and leaving the scene of an injury accident.</t>
  </si>
  <si>
    <t>On 03/30/2022, I was notified of a two vehicle hit and run crash that occurred on MNTH 71 west of MNTH 46 in Northome at approximately 0515 hrs. Driver One was driving a semi. Driver Two was driving a MNDOT plow truck. Driver One was traveling eastbound on MNTH 71 west of MNTH 46. Driver Two was plowing the roadway with front and side plow down going westbound. Driver Two said Driver One was driving partially in their lane. Driver Two stated roads were completely snow covered. Driver One passed Driver Two. While driving past Driver Two, Driver One's driver side semi trailer hit the rear driver side of Driver Two's dump box. Driver One continued eastbound. 
Minor damage was done to Driver Two's vehicle. Driver Two reported no injuries. Driver Two was wearing their seat belt. Driver Two was not able to identify Driver One due to weather conditions. 
Driver Two was provided a case number.</t>
  </si>
  <si>
    <t>Veh SB on hwy 71, weather snowing. Driver #1 said heard a noise then veh#1 stated smoking under hood. Driver thought it was a blown belt that started the fire. No injuries fire department put out fire. no visible damage, all under the hood. Bogarts of black duck towed. No citations.</t>
  </si>
  <si>
    <t>Veh #1 was west bound on Hwy 1 turning north onto Hwy 72. Veh #2 was parked stopped at the stop sign. Driver #1 was going to fast for conditions and could not make the turn without sliding into Veh #2. Veh #1 hit #2 in the front left side with his left front bumper. Driver #1 claimed to be driving very slow under 10 MPH. The roads were icy and snow covered DOT tucks had been out all night and there was material on the road for both Hwys. No injuries no tows. no citations.</t>
  </si>
  <si>
    <t>Vehicle Stopped or Stalled in Roadway</t>
  </si>
  <si>
    <t>Table 1 - 5 Year Crash History Along Assumed Reroute Due to Closure for Heavy Vehicles (2018-2022):</t>
  </si>
  <si>
    <t>TH 11: BCA SUMMARY</t>
  </si>
  <si>
    <t>https://www.google.com/maps/dir/48.513014,-93.8073034/48.6272982,-94.0794497/@48.5461957,-94.0351584,24136m/data=!3m1!1e3!4m2!4m1!3e0?entry=ttu</t>
  </si>
  <si>
    <t>Date</t>
  </si>
  <si>
    <t>Assumptions:</t>
  </si>
  <si>
    <t>Year of Closure</t>
  </si>
  <si>
    <t>Note: Traffic volumes and forecasted design year volumes were obtained through coordination with MnDOT for Seq# 2542 (CSAH 18 to CSAH 32). The traffic volume data is shown in the figure below:</t>
  </si>
  <si>
    <t>Slide Displacement (inches)</t>
  </si>
  <si>
    <t>Segment Length (mi)</t>
  </si>
  <si>
    <t>Daily VMT</t>
  </si>
  <si>
    <t>Annual VMT</t>
  </si>
  <si>
    <t>Segment Number</t>
  </si>
  <si>
    <t>Crash data was obtained usings MnDOT's MnCMAT2 interactive crash mapping tool. This tab monetizes crashes costs along the 1.12 mile project segment corridor. Crash costs and crashes by severity along diversion routes (excluding this segment of TH 11) are located in the "Safety Impacts of Alt Routes" Tab of this BCA Workbook.</t>
  </si>
  <si>
    <t>Distance (ft)</t>
  </si>
  <si>
    <t>Slide Displacement (ft/year)</t>
  </si>
  <si>
    <t>Slide Displacement ft</t>
  </si>
  <si>
    <t>Table 2 - Annual Rate of Change</t>
  </si>
  <si>
    <t>Table 4 - Assumed Distance Between Roadway and Slide</t>
  </si>
  <si>
    <t>Table 5 - Assumed Year of Closure</t>
  </si>
  <si>
    <t>*This distance is a conservative estimate of the existing distance between the slide and the terminal location which forces road closure.</t>
  </si>
  <si>
    <t>Table 1 - Existing Slide Data Assumptions</t>
  </si>
  <si>
    <t>Table 3 - Assumed Distance Between Roadway Closure Point and Slide</t>
  </si>
  <si>
    <t>No Build</t>
  </si>
  <si>
    <t>Truck No Build Route</t>
  </si>
  <si>
    <t>Car No Build Route</t>
  </si>
  <si>
    <t>Table 5 - Build Vehicle Routing Assumptions</t>
  </si>
  <si>
    <t>Table 3 -  TH 11 Mainline Traffic Volume Data</t>
  </si>
  <si>
    <t>Table 4 - Vehicle Occupancy Assumptions</t>
  </si>
  <si>
    <t>Table 4 - No Build Vehicle Routing Assumptions</t>
  </si>
  <si>
    <t>Table 5 - No Build Vehicle Routing Assumptions</t>
  </si>
  <si>
    <t>Table 6 - Build Vehicle Routing Assumptions</t>
  </si>
  <si>
    <t>Table 7 - Annual VHT Cars: No Build</t>
  </si>
  <si>
    <t>Table 8 - Annual VHT Trucks: No Build</t>
  </si>
  <si>
    <t>Table 9 - Annual VHT Cars: Build</t>
  </si>
  <si>
    <t>Table 10 - Annual VHT Trucks: Build</t>
  </si>
  <si>
    <t>Table 11 - Annual Vehicle Hours Traveled by Vehicle Type</t>
  </si>
  <si>
    <t>Travel time data along assumed routes was obtained from Google Maps. The assumed travel time along each route used in this analysis is the travel time "without traffic". Refer links to Google Maps hyper link to view this route.</t>
  </si>
  <si>
    <t>Vehicle routing assumptions were obtained through coordination with MnDOT. Given the rural nature of the project area, no other logical reroutes due to closure of TH 11 exist.</t>
  </si>
  <si>
    <t>The assumed heavy vehicle percentage used in this analysis was 22.3% and was obtained though project scoping documents.</t>
  </si>
  <si>
    <t>ECONOMIC COMPETITIVENESS - TRAVEL TIME SAVINGS</t>
  </si>
  <si>
    <t>Vehicle Hours Traveled (VMT)</t>
  </si>
  <si>
    <t>Table 6 - Annual VMT Cars: No Build</t>
  </si>
  <si>
    <t>Table 7 - Annual VMT Trucks: No Build</t>
  </si>
  <si>
    <t>Table 8 - Annual VMT Cars: Build</t>
  </si>
  <si>
    <t>Table 9 - Annual VMT Trucks: Build</t>
  </si>
  <si>
    <t xml:space="preserve"> Is TH 11 Open?</t>
  </si>
  <si>
    <t>Table 5 - No Build Crashes by Severity</t>
  </si>
  <si>
    <t>Table 6 - Build Crashes by Severity</t>
  </si>
  <si>
    <t>Scenario</t>
  </si>
  <si>
    <t>Existing Year</t>
  </si>
  <si>
    <t>End of Analysis Period</t>
  </si>
  <si>
    <t>Yes</t>
  </si>
  <si>
    <t>Rumble Strips?</t>
  </si>
  <si>
    <t xml:space="preserve">Average emission rates per vehicle type were obtained from the Environmental Protection Agency’s Motor Vehicle Emission Simulator (MOVES) version 3. The change in VMT between No Build and Build conditions derived from traffic volume due to closure of TH 11. The change in VMT by year was applied to emission rates by vehicle type. </t>
  </si>
  <si>
    <t>2021 Annual VMT</t>
  </si>
  <si>
    <t>Table 2 - Corridor Wide AADT Data along TH 11</t>
  </si>
  <si>
    <t>MnDOT D2-Loman North Lower: MnDOT-D2-LomanNorth-LowerSAA-HorizDisp@1077ft[in]</t>
  </si>
  <si>
    <t>Time</t>
  </si>
  <si>
    <t>Time Period: 2023-05-01 00:00:00 - 2023-08-04 00:00:00</t>
  </si>
  <si>
    <t>Saved: 2023-08-04 15:14:20</t>
  </si>
  <si>
    <t>Data was saved using Vista Data Vision</t>
  </si>
  <si>
    <t>RELATIVE_LOC_TRAFFICWAY_CODE</t>
  </si>
  <si>
    <t>On Roadway (including alley, driveway, etc.)</t>
  </si>
  <si>
    <t>Veh#1 was traveling eastbound on  State Highway 11 near Koochiching County Rd 148. Veh#1 collided with a black Angus cow in  the eastbound lane of travel. No skid marks or de-celleration marks were observed prior to impact.  Veh#1 separated from the cow and skidded 120 feet before colliding with a 9" pine tree causing the pickup to stop. I observed the cow to travel approximately 90' before coming to a rest in the trees.  I observed the cow to be approximately 1200 lbs.  
I observed the pickup to be cold to the touch and Busch light beer cans to be lying around in the grass and in the rear box area of the pickup.  
At approximately 1600 hrs, I contacted Driver#1 at his parents residence.  Driver #1 stated that he was traveling eastbound on State Highway 11 when he collided with the cow.  Driver #1 said that he never seen the cow prior to impact. Driver#1 admitted to consuming alcohol the night prior and didn't contact law enforcement because he didn't want to get arrested for DWI.  Driver #1 stated that he waited until he was sober before notifying law enforcement. 
I observed owner of the Black Angus Cow, Ralph Lewis' insurance information:  North Star Mutual Insurance Policy #523-P-22145.  
Roaches towing responded for the vehicle.  
Driver#1 was reported to be wearing his seatbelt and alcohol was a factor.
Cited for Hit and Run and Inattentive Driving.</t>
  </si>
  <si>
    <t>On Roadside</t>
  </si>
  <si>
    <t>V1 westbound Hwy 11, drove off road left side into ditch full of snow.  Driver was unresponsive for several minutes.  Hospital staff believes she suffered a seizure.</t>
  </si>
  <si>
    <t>Warning Sign</t>
  </si>
  <si>
    <t>Veh#1 was traveling westbound on State Highway 11 near Mile Post 146.  Veh#1 traveled off the right hand side of the roadway between two corner marker signs before colliding with an embankment on the other side of the ditch. Veh#1 overturned several times before coming to a rest on the throttle side facing southeast.  Driver#1 was located lying on his stomach facing south. 
Driver was not reported to be wearing a helmet or protective clothing.  A pair of goggles were located on scene, however unknown if they were in use. 
Alcohol was not suspected, however drug paraphernalia was located on the driver, however it is being sent to the BCA for testing. Blood kit #B421481.</t>
  </si>
  <si>
    <t>On Shoulder</t>
  </si>
  <si>
    <t>VEH1 WAS TRAVELING WB ON HWY 11, AT APPROXIMATELY MILE POST 151. DRIVER OF VEH 1 (JANET FAE MART DOB: 05/23/1944) STATED THAT THE VEHICLE JERKED LEFT INTO THE EAST BOUND LANE. MART STATED THAT SHE PULLED THE VEHICLE BACK TO THE RIGHT, WHERE SHE OVERCORRECTED AND LOST CONTROL.  MART'S VEHICLE ENTERED THE NORTH SIDE DITCH AND TRAVELED APPROXIMATELY 100 FEET, WHERE IT CAME TO A COMPLETE STOP IN WOODS SURROUNDED BY TREES AND BRUSH. MART STATED SHE COULD NOT EXIT THE VEHICLE, DUE TO THE TREES AND BRUSH BLOCKING THE FRONT DOORS. VEH1 THEN BEGAN TO FILL WITH SMOKE.  MART STATED SHE FELT LIKE SHE WAS STUCK IN THE VEHICLE FOR APPROXIMATELY 15 MINUTES, UNTIL A PASSERBY(RYAN DANNEY ALLEN HORNE DOB:07/30/1982) STOPPED TO ASSIST.  HORNE CAME TO THE REAR END OF VEH1 AND OPENED THE REAR TAILGATE HATCH. HORNE PULLED MART AND HER DOG OUT OF VEHICLE THROUGH THE REAR TAILGATE AND ESCORTED THEM UP TO HWY 11. ACCORDING TO MART AND HORNE, THE VEHICLE CAUGHT FIRE AND WAS FULLY ENGULFED SHORTLY AFTER.
MART STATED SHE WAS NOT DISTRACTED AND SHE WAS WEARING HER SEATBELT. MART STATED SHE WAS NOT INJURED, BUT LATER THAT NIGHT WENT IN AND GOT CHECKED OUT AT THE BAUDETTTE HOSPITAL, WHERE SHE HAD MINOR BRUISING AND SORENESS. 
HORNE STATED HE WAS TRAVELING EASTBOUND ON HWY 11, AT APPROXIMATELY MILE POST 151. HORNE STATED HE OBSERVED WHAT APPEARED TO BE A SMALL FLAME AND WHITE SMOKE COMING FROM THE DITCH. HORNE STATED HE THOUGHT IT WAS A SMALL GRASS FIRE. HORNE STATED HE TRAVELED PAST THE SMOKE AND DIDN'T SEE A CAR. HE TURNED AROUND TO PUT OUT THE SMALL FLAME OR CALL THE LOCAL FIRE DEPARTMENT.  AFTER HE TURNED AROUND, HE COULD SEE TIRE TRACKS ENTERING THE DITCH AND WOODS. HORNE STATED HE QUICKLY EXITED HIS VEHICLE AND NOTICED A VEHICLE DOWN IN THE DITCH. HORNE QUICKLY RAN UP TO THE VEHICLE, NOTICING THE FRONT DRIVER SIDE TIRE AREA WAS ON FIRE, HOWEVER HE COULD NOT SEE INTO THE VEHICLE. HORNE STATED HE COULD NOT OPEN THE DRIVER OR PASSENGER DOORS, SO HE OPENED THE TRUNK/TAILGATE. HORNE STATED THAT ONCE HE OPENED THE TAILGATE, HE SAW A FEMALE IN THE PASSENGER SEAT. HORNE STATED HE EXTENDED HIS HAND AND PULLED THE FEMALE AND HER DOG OUT FROM THE REAR. HORNE QUICKLY GOT THE FEMALE AND HER DOG TO SAFETY ON THE ROAD.  THE VEHICLE BECAME FULLY ENGULFED SHORTLY AFTER.
I ARRIVED ON SCENE WHERE K212 LOCATED TEH DRIVER (MART) IN THE BACK SEAT OF HORNE'S TRUCK. K212 GOT HORNES INFORMATION. 
I MADE SURE MART WAS SAFE AND OKAY. MART GAVE A STATEMENT. 
BIRCHDALE VOLUNTEER FIRE DEPARTMENT PUT OUT FIRE AND CONTAINED THE AREA.
I TOOK PHOTOS OF THE SCENE AND NOTICED THAT THERE WERE TIRE MARKINGS CONSISTENT WITH THE STATEMENT OF MART THAT SOMETHING MECHANICAL HAPPENED WITH FRONT DRIVERS SIDE TIRE AREA. 
GARYS TOWING OUT OF BAUDETTE TOWED THE VEHICLE. 
NO CITATIONS.
CASE NUMBER AND MINNESOTA CRASH REPORT WERE GIVEN TO MART ON SCENE.</t>
  </si>
  <si>
    <t>Unit # 1 was traveling eastbound on Hwy 11w when it struck a cow in the roadway. This was in the early morning hours and still dark out. All occupants reported to be wearing seatbelts and uninjured as a result of the crash. The vehicle's front end was damaged severely and had to be later towed from the scene. See ICR for more information.</t>
  </si>
  <si>
    <t>Veh #1 was WB on Hwy 11. Veh #2 was also WB on Hwy 11.  #2 was pulling a utility trailer with a skid loader on it ( the trailer has no registration, and the loader is a 80s vintage Case with no vin Info available.) Driver #1 is revoked, and admitted to speeding with cruse control set at 75 MPH. Driver #1 said he heard his phone ring went to pick it up and dropped it.  As he was looking for it, he ran into the rear of #2. Driver #2 said he was rear ended, no belt on. #2 said he rolled after being rear ended and forced off the road into the south ditch. The trailer and skid loader detached and the loader rolled over as well. Driver #1 was cited for careless driving and DAR. No injuries . Roaches towed #1 and assisted #2. #1 was tested for alcohol and SFST's, no impairment.</t>
  </si>
  <si>
    <t>Bridge Rail</t>
  </si>
  <si>
    <t>Veh #1 was WB on Hwy 11. The weather was clear and roads were wet and ice/ snow covered.  The bridge was very slippery. Driver #1 said there was a truck EB, he said it was  fishtailing all over making him swerve to avoid a crash, then he lost control at hit the bridge and spun into the ditch on the south side of Hwy 11. No citation, Roaches towed, no injury.</t>
  </si>
  <si>
    <t>K022000196</t>
  </si>
  <si>
    <t>Vehicle 1 was east bound on 11w. Vehicle 2 was north bound on CR 10.  Vehicle 2 had no brakes
and struck a trailer pulled by Vehicle 1.  The tow operator confirmed there were no brakes at
the scene.  No injuries.</t>
  </si>
  <si>
    <t>Veh #1 was EB on hwy 11, the weather was cloudy and dry. Veh #1 hit the EB shoulder over corrected crossed both lanes of traffic and rolled 1x. Driver #1 stated she was using her phone as a music device and looked down to adjust it and ran off the road. Driver #1 had minor cuts and neck pain. #1 was transported by ambulance to Int'l falls hospital. # 1 was cited for fail to use due care, using electronic device while driving, no D/L in possession , and expired proof of insurance. Wimmers was the tow.</t>
  </si>
  <si>
    <t>Driver #1 was EB on Hwy 11. Driver number one stated he lost control and left the road and rolled due to the trailer swaying back and forth. #1 thought he blew a tire he was unsure what happened. Driver number one stated he was not tired and did not fall asleep.  Driver #1 did say he heard the rumble strips on the driver side before the crash. The witness a friend of driver #1 said she saw the trailer sway before the crash. The driver claimed to be going 55 MPH at the time of the crash. Driver #1 said he just got the truck and the trailer a short time before the crash, within the last two weeks. Roaches towed both units. Both driver and passenger went to hospital claiming injury.  Possible head, neck, and back pain for both.  Passenger also had abdomen pain. Falls ambulance transported. Driver number one will be cited for fail to maintain lane and no proof of insurance. There is some confusion as to who owns the truck, the driver said he just bought the truck for the salvation army, he thought they still had insurance on it. It is a fleet insurance. Driver #1 is on several medications for a variety of reasons, he claims to have been on them for several years and they do not affect his driving.</t>
  </si>
  <si>
    <t>Passenger Van (Seats Installed Behind Driver)</t>
  </si>
  <si>
    <t>Veh #1 was NB on CO RD 9 approaching Hwy 11. The weather was clear and dry.  Driver #1 said he was going about 50 MPH then he realized he had no brakes. Veh # 2 was WB on Hwy 11 and saw #1 approaching Hwy 11 at a high rate of speed. Driver #1 drove through the intersection at 50 MPH and was struck by Veh #2.  Veh #2 braked and swerved to avoid #1. Veh #2 hit #1 in the right  rear. Veh #1 left the road and hit the livestock fence on the corner. Veh #2 spun around and hit several mailboxes on the same corner of the  intersection on the north side of Hwy 11.  Driver #1 suffered a cut to the head. no injures reported in vehicle #2. Roche's towing of Int'l falls towed Veh #2.  Driver #1 cited for unsafe equipment and fail to stop for stop sign. Veh #1 had personal tow.  Driver #1 transported to hospital by ambulance.</t>
  </si>
  <si>
    <t>Veh # 1 was WB on Hwy 11, pulling small homemade trailer. Veh#1 hit ice on the bridge, lost control and hit the bridge. No damage to the bridge.  Veh #1 had minor damage all over and so did trailer. No tows, no injury, no citations.</t>
  </si>
  <si>
    <t>09-UTWN</t>
  </si>
  <si>
    <t>KO19000049</t>
  </si>
  <si>
    <t>0900006594810397-I</t>
  </si>
  <si>
    <t>Backing</t>
  </si>
  <si>
    <t>Jeremy while backing up northbound on TR 207 with the Kooch County snow plow with the wing partially down and Trevor coming eastbound on UT 391 collided, collided causing damage to the front end of Trevor's vehicle.</t>
  </si>
  <si>
    <t>Table 1 - 5 Year Crash History Truck Build Route (Not Counting Crashes on  1.12 mile Projet Segmnet of TH 11):</t>
  </si>
  <si>
    <t>Scott was traveling north on Co Rd 32 with his loaded semi hauling 100 inch logs. Scott stated he was distracted by a text he received from his daughter.  Scott stated he went off of the Co Rd and hit the soft shoulder.  Scott and his semi were pulled farther into the ditch where he struck an approach and flipped over onto the passenger side of the semi.  Scott received injuries in the accident and we were advised he was pinned in the vehicle.  EMT's had Scott free of the vehicle when I arrived and Scott was transported to the Falls Hospital.  Scott was later transported by air to Duluth MN.</t>
  </si>
  <si>
    <t>0400006594810032-I</t>
  </si>
  <si>
    <t>HWY 11 WEST</t>
  </si>
  <si>
    <t>COUNTY RD 32  W</t>
  </si>
  <si>
    <t>KO22000180</t>
  </si>
  <si>
    <t>All safety benefits were calculated for theoretical years 2021 and 2045 and interpolated (or extrapolated) based on an annual growth rate to determine total safety benefits over the benefit costs analysis period.</t>
  </si>
  <si>
    <t>This tab monetizes crashes along the along the existing routes and diversion routes (excluding along the TH 11 project corridor). Crash costs and crashes by severity along the TH 11 project corridor are located in the "Safety Improvements" Tab of this BCA Workbook. Crash history along each route is presented in "Crash Data" tabs of this BCA Workbook.</t>
  </si>
  <si>
    <t>Table 3 - No-Build Crash Rate Calculations</t>
  </si>
  <si>
    <t>Table 4 - Build Crash Rate Calculations</t>
  </si>
  <si>
    <t>Five-Year Crash History Along No Build Routes: 2018-2022</t>
  </si>
  <si>
    <t>Five Year- Crash History Along Build Routes</t>
  </si>
  <si>
    <t>Note: In the table above, zero crashes occurred along the reroute due to closure of TH 11.</t>
  </si>
  <si>
    <t>Date:</t>
  </si>
  <si>
    <t>Title:</t>
  </si>
  <si>
    <t>Print Name:</t>
  </si>
  <si>
    <t xml:space="preserve">Project Manager: </t>
  </si>
  <si>
    <t>Approval By:</t>
  </si>
  <si>
    <t>Estimator:</t>
  </si>
  <si>
    <r>
      <t>Total Budget</t>
    </r>
    <r>
      <rPr>
        <sz val="18"/>
        <rFont val="Arial"/>
        <family val="2"/>
      </rPr>
      <t>, this goes through chimes and does not include Partner funding</t>
    </r>
  </si>
  <si>
    <r>
      <t>TPCE</t>
    </r>
    <r>
      <rPr>
        <sz val="18"/>
        <rFont val="Arial"/>
        <family val="2"/>
      </rPr>
      <t>, this includes Partner funding</t>
    </r>
  </si>
  <si>
    <t>Total inflated cost rounded cost</t>
  </si>
  <si>
    <t>Total inflated Cost</t>
  </si>
  <si>
    <t>Total cost</t>
  </si>
  <si>
    <t>Total Contingency</t>
  </si>
  <si>
    <t>Total Base Cost</t>
  </si>
  <si>
    <t>PROJECT TOTAL</t>
  </si>
  <si>
    <t xml:space="preserve"> [G]</t>
  </si>
  <si>
    <r>
      <t>Total Partner Funding</t>
    </r>
    <r>
      <rPr>
        <sz val="12"/>
        <color rgb="FFFF0000"/>
        <rFont val="Arial"/>
        <family val="2"/>
      </rPr>
      <t xml:space="preserve"> ( These costs are not included elsewhere on this sheet, it is only for funds that do not go through chimes.  Very few projects will have anything entered here. ) </t>
    </r>
  </si>
  <si>
    <t>PARTNER_FUNDING</t>
  </si>
  <si>
    <t>Partner Funding</t>
  </si>
  <si>
    <t>FY OF LETTING
(INFLATED) 
(VII)</t>
  </si>
  <si>
    <t>TOTAL (VI)</t>
  </si>
  <si>
    <t>CONTINGENCY (V)
OR
Risk
(Choose Largest)</t>
  </si>
  <si>
    <t>BASE ESTIMATE (IV)</t>
  </si>
  <si>
    <t>DETAILS (III)</t>
  </si>
  <si>
    <t>CATEGORY (II)</t>
  </si>
  <si>
    <t>GROUP (I)</t>
  </si>
  <si>
    <t>DIVISION</t>
  </si>
  <si>
    <t xml:space="preserve">Total ROW Costs ( INCLUDING ROW LABOR COSTS ) </t>
  </si>
  <si>
    <t xml:space="preserve"> [F]</t>
  </si>
  <si>
    <t>6. Total Right of Way Costs (including labor/engineering)</t>
  </si>
  <si>
    <t>last resort if you don't have a better estimate and contract, ROW engineering rule of thumb is 12% of ROW costs</t>
  </si>
  <si>
    <t>external</t>
  </si>
  <si>
    <t>ROW Labor</t>
  </si>
  <si>
    <t xml:space="preserve">internal </t>
  </si>
  <si>
    <t>%</t>
  </si>
  <si>
    <t>For costs, communicate with the District R/W engineer/manager for the cost estimates and whether or not they have rounded the R/W cost provided.  If Right of Way rounding is not transferred from the R/W cost sheet, the rounding will need be consistent with the OLM rounding rules in the R/W cost estimate tool.</t>
  </si>
  <si>
    <t>LOCAL FUNDS</t>
  </si>
  <si>
    <t>MNDOT FUNDS</t>
  </si>
  <si>
    <t>No rounding rules have been applied to ROW costs:</t>
  </si>
  <si>
    <t>INFLATED ROUNDED AMOUNT (VIII)</t>
  </si>
  <si>
    <t>FY of Letting split between local/Non MnDOT and MnDOT</t>
  </si>
  <si>
    <r>
      <t xml:space="preserve">FY OF LETTING
</t>
    </r>
    <r>
      <rPr>
        <sz val="14"/>
        <color theme="1"/>
        <rFont val="Arial"/>
        <family val="2"/>
      </rPr>
      <t xml:space="preserve">Do not apply inflation due to the fact that the R/W estimate already applied market conditions in its calculation.
</t>
    </r>
    <r>
      <rPr>
        <b/>
        <sz val="14"/>
        <color theme="1"/>
        <rFont val="Arial"/>
        <family val="2"/>
      </rPr>
      <t xml:space="preserve">
(VII)</t>
    </r>
  </si>
  <si>
    <t>Right 
of 
Way</t>
  </si>
  <si>
    <t xml:space="preserve">Total Engineering Costs         </t>
  </si>
  <si>
    <t>last resort use rule of thumb if you don't have a better estimate is 8% of construction costs</t>
  </si>
  <si>
    <t xml:space="preserve"> [E]</t>
  </si>
  <si>
    <t>5.Construction Engineering Total</t>
  </si>
  <si>
    <t>Internal at 18%</t>
  </si>
  <si>
    <t>internal or external</t>
  </si>
  <si>
    <t>CONSTRUCTION_ENGINEERING</t>
  </si>
  <si>
    <t>last resort use rule of thumb if you don't have a TTAA or a good estimate is 12% of construction costs</t>
  </si>
  <si>
    <t xml:space="preserve"> [D]</t>
  </si>
  <si>
    <t>4.Preliminary Engineering Total</t>
  </si>
  <si>
    <t xml:space="preserve">                                                             </t>
  </si>
  <si>
    <t>                                                              </t>
  </si>
  <si>
    <t>Internal at 12%</t>
  </si>
  <si>
    <t>PRELIMINARY_ENGINEERING</t>
  </si>
  <si>
    <t>Engineering</t>
  </si>
  <si>
    <t xml:space="preserve"> i.      For projects under $300,000, round up to the next $10,000
ii.      For projects over $300,000, round up to the next $100,000.</t>
  </si>
  <si>
    <t>Rounding rules applied to Engineering costs:</t>
  </si>
  <si>
    <t>FY of Letting (Inflated) split between local/Non MnDOT and MnDOT</t>
  </si>
  <si>
    <t xml:space="preserve">Total Construction Costs                </t>
  </si>
  <si>
    <t xml:space="preserve"> [C]</t>
  </si>
  <si>
    <r>
      <t xml:space="preserve">3. Other Project Costs (C+D+E) </t>
    </r>
    <r>
      <rPr>
        <i/>
        <sz val="12"/>
        <rFont val="Arial"/>
        <family val="2"/>
      </rPr>
      <t>(Not in Main contract, Not engineering or ROW)</t>
    </r>
  </si>
  <si>
    <t>Post Construction Cost (E)</t>
  </si>
  <si>
    <t>Aesthetics</t>
  </si>
  <si>
    <t>Mitigation</t>
  </si>
  <si>
    <t>Landscaping</t>
  </si>
  <si>
    <t>Turn Backs</t>
  </si>
  <si>
    <t>OTHER_PROJECT_COSTS</t>
  </si>
  <si>
    <t>During Construction Cost (D)</t>
  </si>
  <si>
    <t>Detours and Haul Roads</t>
  </si>
  <si>
    <t>Construction Traffic Mgmt.</t>
  </si>
  <si>
    <t>Preconstruction Cost (C)</t>
  </si>
  <si>
    <t>Pre-Letting Traffic Mgmt.</t>
  </si>
  <si>
    <t>Environmental Cleanup</t>
  </si>
  <si>
    <t>Environmental Mitigation</t>
  </si>
  <si>
    <t>Railroad</t>
  </si>
  <si>
    <t>Municipal/Local Issues</t>
  </si>
  <si>
    <t>Utilities</t>
  </si>
  <si>
    <t>Agreements</t>
  </si>
  <si>
    <t>Other Project Costs</t>
  </si>
  <si>
    <t xml:space="preserve">Total Construction Contract Amount                </t>
  </si>
  <si>
    <t xml:space="preserve"> [B]</t>
  </si>
  <si>
    <t xml:space="preserve">2.   Project Cost Estimate after letting, Construction Contract Items Only ( Today's Dollars )                      </t>
  </si>
  <si>
    <t>Incentives</t>
  </si>
  <si>
    <t>SA/Overruns</t>
  </si>
  <si>
    <t>POST_LETTING_CON_COSTS</t>
  </si>
  <si>
    <t xml:space="preserve"> [A]</t>
  </si>
  <si>
    <t xml:space="preserve">1.   Project Cost Estimate at time of letting, Construction Contract Items Only ( Today's Dollars )                         </t>
  </si>
  <si>
    <t>Risk Register</t>
  </si>
  <si>
    <t>Critical Connections - Acc. Ped.  Infrastructure</t>
  </si>
  <si>
    <t>Critical Connections - Bicycle Infrastructure</t>
  </si>
  <si>
    <t>Traveler Safety</t>
  </si>
  <si>
    <t>Asset Management - Guardrail</t>
  </si>
  <si>
    <t>Asset Management - Roadside Infrastructure</t>
  </si>
  <si>
    <t>Asset Management - Bridge</t>
  </si>
  <si>
    <t>Asset Management - Pavement</t>
  </si>
  <si>
    <t>Investment  Groups</t>
  </si>
  <si>
    <t>CONSTRUCTION_LET_AMOUNT</t>
  </si>
  <si>
    <t>Construction Contract</t>
  </si>
  <si>
    <r>
      <t xml:space="preserve"> </t>
    </r>
    <r>
      <rPr>
        <sz val="14"/>
        <rFont val="Calibri"/>
        <family val="2"/>
      </rPr>
      <t>i.</t>
    </r>
    <r>
      <rPr>
        <sz val="14"/>
        <rFont val="Times New Roman"/>
        <family val="1"/>
      </rPr>
      <t xml:space="preserve">      </t>
    </r>
    <r>
      <rPr>
        <sz val="14"/>
        <rFont val="Calibri"/>
        <family val="2"/>
      </rPr>
      <t>For projects under $1,000,000, round to the next $10,000.  (i.e. – a $156,123.86 project would round to $160,000).</t>
    </r>
    <r>
      <rPr>
        <sz val="14"/>
        <rFont val="Times New Roman"/>
        <family val="1"/>
      </rPr>
      <t xml:space="preserve">
 ii.      For projects $1,000,000 to $100,000,000, round to the next $100,000.  (i.e. – a $1,509,000 project would round to $1,600,000 and a $12,772,000 project would round to $12,800,000).
 iii.      For projects greater than $100 million, round to the next million.  (i.e. – a $300,500,000 project would round to $301,000,000).</t>
    </r>
  </si>
  <si>
    <t>Rounding rules applied to construction costs:</t>
  </si>
  <si>
    <t>CHIMES INFLATION</t>
  </si>
  <si>
    <t>Budget Level:</t>
  </si>
  <si>
    <t>This project will consist of a road realignment and replacement of roadside infrastructure within the project limits.</t>
  </si>
  <si>
    <r>
      <t xml:space="preserve">Project Description:
</t>
    </r>
    <r>
      <rPr>
        <sz val="14"/>
        <rFont val="Arial"/>
        <family val="2"/>
      </rPr>
      <t>(Scope &amp; Location)</t>
    </r>
  </si>
  <si>
    <t>1.12 Miles</t>
  </si>
  <si>
    <t xml:space="preserve">Project  Length: </t>
  </si>
  <si>
    <t xml:space="preserve">CONSTRUCTION END DATE </t>
  </si>
  <si>
    <t xml:space="preserve">FY of Letting:  </t>
  </si>
  <si>
    <t>TPCE Stage:</t>
  </si>
  <si>
    <t>Prime Element ID :</t>
  </si>
  <si>
    <t>District :</t>
  </si>
  <si>
    <t>pull down selection in darker blue</t>
  </si>
  <si>
    <t>CONSTRUCTION START DATE (MM/DD/YYYY)</t>
  </si>
  <si>
    <t xml:space="preserve">Estimate's Completion Date: </t>
  </si>
  <si>
    <t xml:space="preserve">Trunk Highway: </t>
  </si>
  <si>
    <t>3604-80</t>
  </si>
  <si>
    <t>SP :</t>
  </si>
  <si>
    <t>Project Information</t>
  </si>
  <si>
    <t>fill in blue</t>
  </si>
  <si>
    <r>
      <t>TOTAL PROJECT COST ESTIMATE</t>
    </r>
    <r>
      <rPr>
        <b/>
        <sz val="26"/>
        <color rgb="FFFF0000"/>
        <rFont val="Arial"/>
        <family val="2"/>
      </rPr>
      <t xml:space="preserve"> (TPCE)</t>
    </r>
    <r>
      <rPr>
        <b/>
        <sz val="26"/>
        <rFont val="Arial"/>
        <family val="2"/>
      </rPr>
      <t xml:space="preserve">                       DESIGN-BID-BUILD</t>
    </r>
  </si>
  <si>
    <t>Cost ( Year 2022 $)</t>
  </si>
  <si>
    <t>Figure 1 - Portion of Existing Along TH 11 (July 2023)</t>
  </si>
  <si>
    <t>Denotes Roadway Open</t>
  </si>
  <si>
    <t>Color Key:</t>
  </si>
  <si>
    <t>Denotes Roadway Closed</t>
  </si>
  <si>
    <t>Note: This tab of the BCA workbook shows calculations and assumptions used in determining the year of closure of TH 11 due to impacts of the slide. Figure 1 below  shows a summary of slide displacement data. The detailed time-based slide detector data is presented in columns AA and AB in this tab of the BCA Workbook.</t>
  </si>
  <si>
    <t>Figure 1 - Summary of Time-Based Slide Detector Data: Loman North - SSA Horizontal Displacement</t>
  </si>
  <si>
    <t>Table 7 - No-Build Crashes on TH 11 Project Segment</t>
  </si>
  <si>
    <t>Table 8 - Build Crashes on TH 11 Project Segment</t>
  </si>
  <si>
    <t>Construction Delay (veh/min)</t>
  </si>
  <si>
    <t>Table 5 - Travel Time During Detour</t>
  </si>
  <si>
    <t>Table 6 - Annual Travel Time Impacts Associated with Detour</t>
  </si>
  <si>
    <t>MDF Check:</t>
  </si>
  <si>
    <r>
      <t>NO</t>
    </r>
    <r>
      <rPr>
        <vertAlign val="subscript"/>
        <sz val="11"/>
        <color theme="1"/>
        <rFont val="Calibri"/>
        <family val="2"/>
        <scheme val="minor"/>
      </rPr>
      <t>X</t>
    </r>
  </si>
  <si>
    <r>
      <t>SO</t>
    </r>
    <r>
      <rPr>
        <vertAlign val="subscript"/>
        <sz val="11"/>
        <color theme="1"/>
        <rFont val="Calibri"/>
        <family val="2"/>
        <scheme val="minor"/>
      </rPr>
      <t>2</t>
    </r>
  </si>
  <si>
    <r>
      <t>PM</t>
    </r>
    <r>
      <rPr>
        <vertAlign val="subscript"/>
        <sz val="11"/>
        <color theme="1"/>
        <rFont val="Calibri"/>
        <family val="2"/>
        <scheme val="minor"/>
      </rPr>
      <t>2.5</t>
    </r>
  </si>
  <si>
    <r>
      <t>CO</t>
    </r>
    <r>
      <rPr>
        <vertAlign val="subscript"/>
        <sz val="11"/>
        <color theme="1"/>
        <rFont val="Calibri"/>
        <family val="2"/>
        <scheme val="minor"/>
      </rPr>
      <t>2</t>
    </r>
  </si>
  <si>
    <t>Table 5 - Annual No Build Crashes by Severity</t>
  </si>
  <si>
    <t>Table 6 - Annual Build Crashes by Severity</t>
  </si>
  <si>
    <t>Note: The table above shows the existing annual VMT on each route. Route lengths were obtained from Google Maps. Existing traffic volume data was obtained through the  MnDOT Interactive Traffic Mapping Application. Crash data was obtained from the MnDOT Crash Database. Refer to "Crash Data" tabs for detailed crash history.</t>
  </si>
  <si>
    <t xml:space="preserve"> Note: The table above excludes crashes along the project segment of TH 11.</t>
  </si>
  <si>
    <t>Additional details on project cost estimates are presented in the "Project Cost Estimate" Tab of tis BCA Workbook.</t>
  </si>
  <si>
    <t>This analysis assumed that the Build Alternative would be constructed over a four month period in year 2025.</t>
  </si>
  <si>
    <t>Denotes Calculation</t>
  </si>
  <si>
    <t>Denotes Data Input Cell</t>
  </si>
  <si>
    <t>Denotes Calculation Cell</t>
  </si>
  <si>
    <t>Table 1 shows the color coding system used in this BCA Workbook. This color system is used to maintain workbook clarity.</t>
  </si>
  <si>
    <t>6)</t>
  </si>
  <si>
    <t>Total Construction</t>
  </si>
  <si>
    <t>Assumed Year</t>
  </si>
  <si>
    <t>Project Cost Component</t>
  </si>
  <si>
    <t>Cost ( Year 2021 $)</t>
  </si>
  <si>
    <t>First Year of Project Costs</t>
  </si>
  <si>
    <t>Preliminary Engineering (one-half of total)</t>
  </si>
  <si>
    <t>Total Project Cost</t>
  </si>
  <si>
    <t>https://www.google.com/maps/dir/48.5227884,-93.5752093/48.7117997,-94.5617598/@48.3429656,-94.6302654,129386m/data=!3m1!1e3!4m9!4m8!1m5!3m4!1m2!1d-94.3575839!2d47.8612103!3s0x52b99aecf12c0d0b:0xc017b26fedae3be3!1m0!3e0?entry=ttu</t>
  </si>
  <si>
    <t xml:space="preserve">Construction is assumed to occur for 3 months in the Summer of 2025 (May-July). During construction, it is assumed that traffic along TH 11 would remain open on the current alignment during construction. </t>
  </si>
  <si>
    <t>Car Build Route</t>
  </si>
  <si>
    <t>Truck Build Route</t>
  </si>
  <si>
    <t>Total Benefit:</t>
  </si>
  <si>
    <t>Construction Engineering &amp; ROW</t>
  </si>
  <si>
    <t>First Year of Project Benefits - 1 Year</t>
  </si>
  <si>
    <t>First Year of Project Benefits</t>
  </si>
  <si>
    <t>Table 1: Truck Build Route Via TH 11</t>
  </si>
  <si>
    <t>Table 2: Truck No Build route Via MN 72 and US 71</t>
  </si>
  <si>
    <t>Table 3: Car Build Route Via TH 11</t>
  </si>
  <si>
    <t>Table 4: Car No Build Route Via Hwy 86 and Black River Rd</t>
  </si>
  <si>
    <t>Table 7 - Annual Network Crashes by Severity After Year of of Closure of TH 11</t>
  </si>
  <si>
    <t xml:space="preserve">Crashes Occurred On Project Corridor and are Analyzed Separately </t>
  </si>
  <si>
    <t>Table 1 - 5 Year Crash History Along TH 11 Build Route (Not Counting Crashes on  1.12 mile Project Segment of TH 11):</t>
  </si>
  <si>
    <t>Figure 1 - No Crashes Occurred  Between 2018-2022 along the No Build Car Route</t>
  </si>
  <si>
    <t>Year 2026 was assumed to be the first full year that most benefits will be accrued from the entirety of the project. The analysis primarily focused on annual benefits for the twenty-year period from 2026 to 2045, while some user costs were quantified during the construction phase.</t>
  </si>
  <si>
    <t>Table 2 - Analysis Timeframe Assumptions</t>
  </si>
  <si>
    <t>Table 3 - Network Assumptions</t>
  </si>
  <si>
    <t>Table 4 - Global Assumptions and Factors</t>
  </si>
  <si>
    <t>Table 5 -  TH 11 Mainline Traffic Volume Data</t>
  </si>
  <si>
    <t>Table 1 - Workbook Input Cell and Calculation Cell Denotation</t>
  </si>
  <si>
    <t>First Full Year of Closure</t>
  </si>
  <si>
    <t>Assumed Full First Year of Closure</t>
  </si>
  <si>
    <t>Table 3 - Service Life and RCV Assumptions</t>
  </si>
  <si>
    <t>ECONOMIC COMPETITIVENESS - USER BENEFIT CALCULATION OF REGIONAL TRAVEL TIME CHANGE ASSOCIATED WITH CONSTRUCTION ON TH 11</t>
  </si>
  <si>
    <t>Year 54</t>
  </si>
  <si>
    <t>Fair</t>
  </si>
  <si>
    <t>Surface Treatment</t>
  </si>
  <si>
    <t>Year 53</t>
  </si>
  <si>
    <t>Year 52</t>
  </si>
  <si>
    <t>Good</t>
  </si>
  <si>
    <t>Crack Treatrrient</t>
  </si>
  <si>
    <t>Year 51</t>
  </si>
  <si>
    <t>Year 50</t>
  </si>
  <si>
    <t>Year 49</t>
  </si>
  <si>
    <t>Year 48</t>
  </si>
  <si>
    <t>Poor</t>
  </si>
  <si>
    <t>Mill &amp; Overlay (3º* Overlay)</t>
  </si>
  <si>
    <t>Year 47</t>
  </si>
  <si>
    <t>Year 46</t>
  </si>
  <si>
    <t>Year 45</t>
  </si>
  <si>
    <t>Year 44</t>
  </si>
  <si>
    <t>Year 43</t>
  </si>
  <si>
    <t>Year 42</t>
  </si>
  <si>
    <t>Year 41</t>
  </si>
  <si>
    <t>Year 40</t>
  </si>
  <si>
    <t>Year 39</t>
  </si>
  <si>
    <t>Year 38</t>
  </si>
  <si>
    <t>Year 37</t>
  </si>
  <si>
    <t>Year 36</t>
  </si>
  <si>
    <t>Mill &amp; Overlay (2º* Overlay)</t>
  </si>
  <si>
    <t>Year 35</t>
  </si>
  <si>
    <t>Year 34</t>
  </si>
  <si>
    <t>Year 33</t>
  </si>
  <si>
    <t>Year 32</t>
  </si>
  <si>
    <t>Year 31</t>
  </si>
  <si>
    <t>Year 30</t>
  </si>
  <si>
    <t>Year 29</t>
  </si>
  <si>
    <t>Year 28</t>
  </si>
  <si>
    <t>Year 27</t>
  </si>
  <si>
    <t>Year 26</t>
  </si>
  <si>
    <t>Year 25</t>
  </si>
  <si>
    <t>CrackTreatrr›ent</t>
  </si>
  <si>
    <t>Year 24</t>
  </si>
  <si>
    <t>Year 23</t>
  </si>
  <si>
    <t>Year 22</t>
  </si>
  <si>
    <t>Year 21</t>
  </si>
  <si>
    <t>Mill &amp; Overlay (1º* Overlay)</t>
  </si>
  <si>
    <t>Year 20</t>
  </si>
  <si>
    <t>Year 19</t>
  </si>
  <si>
    <t>Year 18</t>
  </si>
  <si>
    <t>Year 17</t>
  </si>
  <si>
    <t>Year 16</t>
  </si>
  <si>
    <t>Year 15</t>
  </si>
  <si>
    <t>Year 14</t>
  </si>
  <si>
    <t>Year 13</t>
  </si>
  <si>
    <t>Year 12</t>
  </si>
  <si>
    <t>Year 11</t>
  </si>
  <si>
    <t>Year 10</t>
  </si>
  <si>
    <t>Year 9</t>
  </si>
  <si>
    <t>Crack Treatment</t>
  </si>
  <si>
    <t>Year 8</t>
  </si>
  <si>
    <t>Year 7</t>
  </si>
  <si>
    <t>Year 6</t>
  </si>
  <si>
    <t>Year 5</t>
  </si>
  <si>
    <t>Year 4</t>
  </si>
  <si>
    <t>Year 3</t>
  </si>
  <si>
    <t>Year 2</t>
  </si>
  <si>
    <t>Year 1</t>
  </si>
  <si>
    <t>Assumed Cost for 2 Lane Road (per-mile)</t>
  </si>
  <si>
    <t>Typical Cost (ln-mi)</t>
  </si>
  <si>
    <t>Treatment</t>
  </si>
  <si>
    <t>Typical Pavement Age (yrs)</t>
  </si>
  <si>
    <t>http://www.dot.state.mn.us/assetmanagement/pdf/guide/06chap6.pdf</t>
  </si>
  <si>
    <t>Source:</t>
  </si>
  <si>
    <t>Project Length (miles)</t>
  </si>
  <si>
    <t>Table 1 - Assumed Project Length</t>
  </si>
  <si>
    <t>Convert Year 2022 $ to 2021 $</t>
  </si>
  <si>
    <t>Convert Year 2014 $ to 2021 $</t>
  </si>
  <si>
    <t>Table 2 -Assumed Inflation Adjustment Factors</t>
  </si>
  <si>
    <t>Assumed Cost for TH 11 Project Segment</t>
  </si>
  <si>
    <t>Table 3 - No Build Cost - Calculated Using Assumed "Typical" Life-Cycle Management Strategy for Flexible Pavements (Mill and Overaly Strategy)</t>
  </si>
  <si>
    <t>Table 4 - No Build Cost - Calculated Using Assumed "Typical" Life-Cycle Management Strategy for Flexible Pavements (Mill and Overaly Strategy)</t>
  </si>
  <si>
    <t>Maintenance and rehab costs were determined using per-mile costs and the total roadway length. Per-mile maintenance and rehab costs were obtained from Chapter 6 of the MnDOT Life-Cycle Cost Considerations: Supplemental Information (page 45).</t>
  </si>
  <si>
    <t>Typical Condition When Applied</t>
  </si>
  <si>
    <t>Changes in annual roadway maintenance costs are expected due to reconstruction of TH 11. In the No Build Condition, maintenance and rehab costs are not anticipated after the year of closure of TH 11. Since the anticipated year of closure is in 2028, no significant maintenance and rehab costs are monetized in the No Build Condition. The No Build condition assumes that in year 2023, this segment is in year 12 of for determining annual costs. As noted in the grant narrative and BCA Memorandum, MnDOT has incurred significant costs due to emergency repairs. This analysis does not attempt to predicted future emergency repair costs as there is not enough data to estimate these impacts. For this reason, the results presented in this tab are conservative.</t>
  </si>
  <si>
    <t>The installation of centerline and shoulder rumble strips are a proven safety countermeasure. This safety improvement will result crash savings on the project segment until the assumed year of closure of TH 11, after which vehicles in the No Build Condition will no longer use this roadway as traffic must be diverted to alternate routes. Crashes in the Build Condition occur for the duration of the 20-year analysis period because TH 11 is open and crashes still occur despite installation of rumble strips although predicted crashes are reduced. This project is anticipated to reduce all crashes of all severities on the project segment. Additional details and calculations on anticipated crashes by severity under the No Build condition after the year of closure of TH 11 are presented in the "Network Crash Savings" Tab of this BCA Workbook.</t>
  </si>
  <si>
    <t>This project has an anticipated service life of 20-years. Therefore, at the end of the 20-year analysis period, the remaining capital value of under the Build Alternative is zero dollars.</t>
  </si>
  <si>
    <t>Standard Real Estate Purchase - Partial Take</t>
  </si>
  <si>
    <t>https://www.google.com/maps/dir/48.522802,-93.5760653/48.7118082,-94.5601365/@48.5639504,-94.0871309,66026m/data=!3m1!1e3!4m2!4m1!3e0?entry=ttu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</si>
</sst>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4" formatCode="_(&quot;$&quot;* #,##0.00_);_(&quot;$&quot;* \(#,##0.00\);_(&quot;$&quot;* &quot;-&quot;??_);_(@_)"/>
    <numFmt numFmtId="43" formatCode="_(* #,##0.00_);_(* \(#,##0.00\);_(* &quot;-&quot;??_);_(@_)"/>
    <numFmt numFmtId="164" formatCode="&quot;$&quot;#,##0"/>
    <numFmt numFmtId="165" formatCode="&quot;$&quot;#,##0\ ;\(&quot;$&quot;#,##0\)"/>
    <numFmt numFmtId="166" formatCode="0.00000"/>
    <numFmt numFmtId="167" formatCode="#,##0_);\(#,##0_)"/>
    <numFmt numFmtId="168" formatCode="_(* #,##0_);_(* \(#,##0\);_(* &quot;-&quot;??_);_(@_)"/>
    <numFmt numFmtId="169" formatCode="&quot;$&quot;#,##0.00"/>
    <numFmt numFmtId="170" formatCode="0.0%"/>
    <numFmt numFmtId="171" formatCode="0.0"/>
    <numFmt numFmtId="172" formatCode="_(&quot;$&quot;* #,##0_);_(&quot;$&quot;* \(#,##0\);_(&quot;$&quot;* &quot;-&quot;??_);_(@_)"/>
    <numFmt numFmtId="173" formatCode="#,##0.000"/>
    <numFmt numFmtId="174" formatCode="0.0000"/>
    <numFmt numFmtId="175" formatCode="0.0E+00"/>
  </numFmts>
  <fonts count="86" x14ac:knownFonts="1">
    <font>
      <sz val="11"/>
      <color theme="1"/>
      <name val="Calibri"/>
      <family val="2"/>
      <scheme val="minor"/>
    </font>
    <font>
      <sz val="11"/>
      <color theme="1"/>
      <name val="Calibri"/>
      <family val="2"/>
      <scheme val="minor"/>
    </font>
    <font>
      <sz val="9"/>
      <color theme="1"/>
      <name val="Calibri"/>
      <family val="2"/>
      <scheme val="minor"/>
    </font>
    <font>
      <b/>
      <sz val="11"/>
      <color theme="1"/>
      <name val="Calibri"/>
      <family val="2"/>
      <scheme val="minor"/>
    </font>
    <font>
      <sz val="11"/>
      <name val="Calibri"/>
      <family val="2"/>
      <scheme val="minor"/>
    </font>
    <font>
      <sz val="10"/>
      <name val="Arial"/>
      <family val="2"/>
    </font>
    <font>
      <sz val="11"/>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sz val="11"/>
      <color rgb="FFFF0000"/>
      <name val="Calibri"/>
      <family val="2"/>
      <scheme val="minor"/>
    </font>
    <font>
      <u/>
      <sz val="11"/>
      <color theme="10"/>
      <name val="Calibri"/>
      <family val="2"/>
      <scheme val="minor"/>
    </font>
    <font>
      <sz val="11"/>
      <color theme="0" tint="-0.499984740745262"/>
      <name val="Calibri"/>
      <family val="2"/>
      <scheme val="minor"/>
    </font>
    <font>
      <sz val="10"/>
      <name val="Arial"/>
      <family val="2"/>
    </font>
    <font>
      <sz val="8"/>
      <name val="Calibri"/>
      <family val="2"/>
      <scheme val="minor"/>
    </font>
    <font>
      <u/>
      <sz val="10"/>
      <color indexed="12"/>
      <name val="Arial"/>
      <family val="2"/>
    </font>
    <font>
      <sz val="9"/>
      <color theme="0" tint="-0.34998626667073579"/>
      <name val="Calibri"/>
      <family val="2"/>
      <scheme val="minor"/>
    </font>
    <font>
      <sz val="9"/>
      <color theme="0" tint="-0.499984740745262"/>
      <name val="Calibri"/>
      <family val="2"/>
      <scheme val="minor"/>
    </font>
    <font>
      <sz val="11"/>
      <color theme="0" tint="-0.34998626667073579"/>
      <name val="Calibri"/>
      <family val="2"/>
      <scheme val="minor"/>
    </font>
    <font>
      <sz val="11"/>
      <color rgb="FFFF0000"/>
      <name val="Calibri"/>
      <family val="2"/>
      <scheme val="minor"/>
    </font>
    <font>
      <b/>
      <sz val="20"/>
      <color theme="1"/>
      <name val="Calibri"/>
      <family val="2"/>
      <scheme val="minor"/>
    </font>
    <font>
      <sz val="11"/>
      <color theme="0" tint="-0.14999847407452621"/>
      <name val="Calibri"/>
      <family val="2"/>
      <scheme val="minor"/>
    </font>
    <font>
      <b/>
      <vertAlign val="subscript"/>
      <sz val="11"/>
      <color theme="1"/>
      <name val="Calibri"/>
      <family val="2"/>
      <scheme val="minor"/>
    </font>
    <font>
      <b/>
      <u/>
      <sz val="11"/>
      <color theme="1"/>
      <name val="Calibri"/>
      <family val="2"/>
      <scheme val="minor"/>
    </font>
    <font>
      <vertAlign val="subscript"/>
      <sz val="11"/>
      <color theme="1"/>
      <name val="Calibri"/>
      <family val="2"/>
      <scheme val="minor"/>
    </font>
    <font>
      <sz val="11"/>
      <name val="Arial"/>
      <family val="2"/>
    </font>
    <font>
      <sz val="11"/>
      <color theme="0"/>
      <name val="Calibri"/>
      <family val="2"/>
      <scheme val="minor"/>
    </font>
    <font>
      <b/>
      <i/>
      <sz val="11"/>
      <name val="Calibri"/>
      <family val="2"/>
      <scheme val="minor"/>
    </font>
    <font>
      <i/>
      <sz val="11"/>
      <name val="Calibri"/>
      <family val="2"/>
      <scheme val="minor"/>
    </font>
    <font>
      <u/>
      <sz val="11"/>
      <color theme="1"/>
      <name val="Calibri"/>
      <family val="2"/>
      <scheme val="minor"/>
    </font>
    <font>
      <b/>
      <sz val="11"/>
      <color theme="0"/>
      <name val="Calibri"/>
      <family val="2"/>
      <scheme val="minor"/>
    </font>
    <font>
      <sz val="11"/>
      <name val="Courier New"/>
      <family val="3"/>
    </font>
    <font>
      <sz val="14"/>
      <name val="Arial"/>
      <family val="2"/>
    </font>
    <font>
      <b/>
      <sz val="16"/>
      <name val="Arial"/>
      <family val="2"/>
    </font>
    <font>
      <sz val="56"/>
      <color rgb="FFFF0000"/>
      <name val="Arial"/>
      <family val="2"/>
    </font>
    <font>
      <b/>
      <sz val="14"/>
      <name val="Arial"/>
      <family val="2"/>
    </font>
    <font>
      <sz val="18"/>
      <name val="Arial"/>
      <family val="2"/>
    </font>
    <font>
      <b/>
      <sz val="18"/>
      <name val="Arial"/>
      <family val="2"/>
    </font>
    <font>
      <i/>
      <sz val="18"/>
      <name val="Arial"/>
      <family val="2"/>
    </font>
    <font>
      <b/>
      <sz val="18"/>
      <color rgb="FFFF0000"/>
      <name val="Arial"/>
      <family val="2"/>
    </font>
    <font>
      <sz val="10"/>
      <color rgb="FFFF0000"/>
      <name val="Arial"/>
      <family val="2"/>
    </font>
    <font>
      <sz val="12"/>
      <color rgb="FFFF0000"/>
      <name val="Arial"/>
      <family val="2"/>
    </font>
    <font>
      <b/>
      <sz val="20"/>
      <name val="Arial"/>
      <family val="2"/>
    </font>
    <font>
      <i/>
      <sz val="10"/>
      <name val="Arial"/>
      <family val="2"/>
    </font>
    <font>
      <sz val="14"/>
      <color theme="1"/>
      <name val="Arial"/>
      <family val="2"/>
    </font>
    <font>
      <b/>
      <sz val="10"/>
      <name val="Arial"/>
      <family val="2"/>
    </font>
    <font>
      <b/>
      <i/>
      <sz val="10"/>
      <name val="Arial"/>
      <family val="2"/>
    </font>
    <font>
      <b/>
      <sz val="14"/>
      <name val="Calibri"/>
      <family val="2"/>
    </font>
    <font>
      <b/>
      <sz val="14"/>
      <color theme="1"/>
      <name val="Arial"/>
      <family val="2"/>
    </font>
    <font>
      <b/>
      <sz val="24"/>
      <name val="Arial"/>
      <family val="2"/>
    </font>
    <font>
      <b/>
      <sz val="12"/>
      <name val="Arial"/>
      <family val="2"/>
    </font>
    <font>
      <sz val="14"/>
      <name val="Times New Roman"/>
      <family val="1"/>
    </font>
    <font>
      <sz val="16"/>
      <name val="Arial"/>
      <family val="2"/>
    </font>
    <font>
      <i/>
      <sz val="16"/>
      <name val="Arial"/>
      <family val="2"/>
    </font>
    <font>
      <sz val="14"/>
      <name val="Calibri"/>
      <family val="2"/>
    </font>
    <font>
      <i/>
      <sz val="10"/>
      <color indexed="18"/>
      <name val="Arial"/>
      <family val="2"/>
    </font>
    <font>
      <sz val="7"/>
      <name val="Times New Roman"/>
      <family val="1"/>
    </font>
    <font>
      <i/>
      <sz val="14"/>
      <name val="Arial"/>
      <family val="2"/>
    </font>
    <font>
      <i/>
      <sz val="12"/>
      <name val="Arial"/>
      <family val="2"/>
    </font>
    <font>
      <sz val="10"/>
      <color theme="0"/>
      <name val="Arial"/>
      <family val="2"/>
    </font>
    <font>
      <i/>
      <sz val="10"/>
      <color theme="0"/>
      <name val="Arial"/>
      <family val="2"/>
    </font>
    <font>
      <b/>
      <sz val="18"/>
      <color theme="0"/>
      <name val="Arial"/>
      <family val="2"/>
    </font>
    <font>
      <b/>
      <sz val="22"/>
      <color theme="0"/>
      <name val="Arial"/>
      <family val="2"/>
    </font>
    <font>
      <b/>
      <sz val="22"/>
      <color rgb="FF7030A0"/>
      <name val="Arial"/>
      <family val="2"/>
    </font>
    <font>
      <i/>
      <sz val="10"/>
      <color indexed="8"/>
      <name val="Arial"/>
      <family val="2"/>
    </font>
    <font>
      <b/>
      <i/>
      <sz val="14"/>
      <name val="Arial"/>
      <family val="2"/>
    </font>
    <font>
      <sz val="12"/>
      <name val="Arial"/>
      <family val="2"/>
    </font>
    <font>
      <sz val="18"/>
      <color indexed="8"/>
      <name val="Arial"/>
      <family val="2"/>
    </font>
    <font>
      <b/>
      <sz val="16"/>
      <color rgb="FFFF0000"/>
      <name val="Arial"/>
      <family val="2"/>
    </font>
    <font>
      <b/>
      <sz val="18"/>
      <color indexed="8"/>
      <name val="Arial"/>
      <family val="2"/>
    </font>
    <font>
      <b/>
      <sz val="26"/>
      <name val="Arial"/>
      <family val="2"/>
    </font>
    <font>
      <b/>
      <sz val="26"/>
      <color rgb="FFFF0000"/>
      <name val="Arial"/>
      <family val="2"/>
    </font>
    <font>
      <b/>
      <sz val="12"/>
      <color indexed="81"/>
      <name val="Tahoma"/>
      <family val="2"/>
    </font>
    <font>
      <b/>
      <sz val="9"/>
      <color indexed="81"/>
      <name val="Tahoma"/>
      <family val="2"/>
    </font>
    <font>
      <sz val="9"/>
      <color indexed="81"/>
      <name val="Tahoma"/>
      <family val="2"/>
    </font>
    <font>
      <sz val="14"/>
      <color indexed="81"/>
      <name val="Tahoma"/>
      <family val="2"/>
    </font>
    <font>
      <sz val="12"/>
      <color indexed="81"/>
      <name val="Tahoma"/>
      <family val="2"/>
    </font>
    <font>
      <b/>
      <sz val="16"/>
      <color indexed="81"/>
      <name val="Tahoma"/>
      <family val="2"/>
    </font>
    <font>
      <sz val="16"/>
      <color indexed="81"/>
      <name val="Tahoma"/>
      <family val="2"/>
    </font>
    <font>
      <b/>
      <sz val="28"/>
      <color indexed="81"/>
      <name val="Tahoma"/>
      <family val="2"/>
    </font>
    <font>
      <b/>
      <sz val="24"/>
      <color indexed="81"/>
      <name val="Tahoma"/>
      <family val="2"/>
    </font>
    <font>
      <sz val="10"/>
      <color rgb="FF000000"/>
      <name val="Times New Roman"/>
      <family val="1"/>
    </font>
    <font>
      <u/>
      <sz val="10"/>
      <color theme="10"/>
      <name val="Times New Roman"/>
      <family val="1"/>
    </font>
    <font>
      <b/>
      <sz val="10"/>
      <color rgb="FF000000"/>
      <name val="Times New Roman"/>
      <family val="1"/>
    </font>
    <font>
      <b/>
      <sz val="10"/>
      <color rgb="FF000000"/>
      <name val="Calibri"/>
      <family val="2"/>
      <scheme val="minor"/>
    </font>
    <font>
      <sz val="10"/>
      <color rgb="FF000000"/>
      <name val="Calibri"/>
      <family val="2"/>
      <scheme val="minor"/>
    </font>
  </fonts>
  <fills count="2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indexed="42"/>
        <bgColor indexed="64"/>
      </patternFill>
    </fill>
    <fill>
      <patternFill patternType="solid">
        <fgColor theme="8" tint="0.79998168889431442"/>
        <bgColor indexed="64"/>
      </patternFill>
    </fill>
    <fill>
      <patternFill patternType="solid">
        <fgColor theme="9"/>
        <bgColor theme="9"/>
      </patternFill>
    </fill>
    <fill>
      <patternFill patternType="solid">
        <fgColor theme="6" tint="0.39997558519241921"/>
        <bgColor indexed="64"/>
      </patternFill>
    </fill>
    <fill>
      <patternFill patternType="solid">
        <fgColor rgb="FFFFFF00"/>
        <bgColor indexed="64"/>
      </patternFill>
    </fill>
    <fill>
      <patternFill patternType="solid">
        <fgColor rgb="FF81DEFF"/>
        <bgColor indexed="64"/>
      </patternFill>
    </fill>
    <fill>
      <patternFill patternType="solid">
        <fgColor rgb="FFCCFFCC"/>
        <bgColor indexed="64"/>
      </patternFill>
    </fill>
    <fill>
      <patternFill patternType="solid">
        <fgColor theme="8" tint="0.39997558519241921"/>
        <bgColor indexed="64"/>
      </patternFill>
    </fill>
    <fill>
      <patternFill patternType="solid">
        <fgColor theme="1"/>
        <bgColor indexed="64"/>
      </patternFill>
    </fill>
    <fill>
      <patternFill patternType="solid">
        <fgColor indexed="47"/>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9999"/>
        <bgColor indexed="64"/>
      </patternFill>
    </fill>
  </fills>
  <borders count="85">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right/>
      <top style="thin">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medium">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medium">
        <color indexed="64"/>
      </left>
      <right/>
      <top style="thin">
        <color theme="9" tint="0.39997558519241921"/>
      </top>
      <bottom style="thin">
        <color theme="9" tint="0.39997558519241921"/>
      </bottom>
      <diagonal/>
    </border>
    <border>
      <left style="medium">
        <color indexed="64"/>
      </left>
      <right/>
      <top style="medium">
        <color indexed="64"/>
      </top>
      <bottom style="thin">
        <color theme="9" tint="0.39997558519241921"/>
      </bottom>
      <diagonal/>
    </border>
    <border>
      <left/>
      <right style="thin">
        <color indexed="64"/>
      </right>
      <top/>
      <bottom style="medium">
        <color indexed="64"/>
      </bottom>
      <diagonal/>
    </border>
    <border>
      <left/>
      <right/>
      <top style="thin">
        <color theme="9" tint="0.39997558519241921"/>
      </top>
      <bottom style="thin">
        <color theme="9" tint="0.39997558519241921"/>
      </bottom>
      <diagonal/>
    </border>
    <border>
      <left/>
      <right/>
      <top style="medium">
        <color indexed="64"/>
      </top>
      <bottom style="thin">
        <color theme="9" tint="0.39997558519241921"/>
      </bottom>
      <diagonal/>
    </border>
  </borders>
  <cellStyleXfs count="145">
    <xf numFmtId="0" fontId="0" fillId="0" borderId="0"/>
    <xf numFmtId="44"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3"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2" fontId="5" fillId="0" borderId="0" applyFont="0" applyFill="0" applyBorder="0" applyAlignment="0" applyProtection="0"/>
    <xf numFmtId="0" fontId="1" fillId="0" borderId="0"/>
    <xf numFmtId="0" fontId="7" fillId="0" borderId="0"/>
    <xf numFmtId="9" fontId="1"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3" fillId="0" borderId="0"/>
    <xf numFmtId="0" fontId="15" fillId="0" borderId="0" applyNumberFormat="0" applyFill="0" applyBorder="0" applyAlignment="0" applyProtection="0">
      <alignment vertical="top"/>
      <protection locked="0"/>
    </xf>
    <xf numFmtId="0" fontId="5" fillId="0" borderId="0" applyBorder="0" applyProtection="0"/>
    <xf numFmtId="0" fontId="81" fillId="0" borderId="0"/>
    <xf numFmtId="0" fontId="82" fillId="0" borderId="0" applyNumberFormat="0" applyFill="0" applyBorder="0" applyAlignment="0" applyProtection="0"/>
    <xf numFmtId="44" fontId="81" fillId="0" borderId="0" applyFont="0" applyFill="0" applyBorder="0" applyAlignment="0" applyProtection="0"/>
  </cellStyleXfs>
  <cellXfs count="881">
    <xf numFmtId="0" fontId="0" fillId="0" borderId="0" xfId="0"/>
    <xf numFmtId="0" fontId="3" fillId="0" borderId="0" xfId="0" applyFont="1"/>
    <xf numFmtId="0" fontId="0" fillId="0" borderId="0" xfId="0" applyAlignment="1">
      <alignment horizontal="right"/>
    </xf>
    <xf numFmtId="0" fontId="0" fillId="0" borderId="0" xfId="0" applyAlignment="1">
      <alignment horizontal="center"/>
    </xf>
    <xf numFmtId="0" fontId="6" fillId="0" borderId="0" xfId="0" applyFont="1"/>
    <xf numFmtId="0" fontId="3" fillId="2" borderId="36" xfId="0" applyFont="1" applyFill="1" applyBorder="1"/>
    <xf numFmtId="0" fontId="3" fillId="2" borderId="35" xfId="0" applyFont="1" applyFill="1" applyBorder="1"/>
    <xf numFmtId="9" fontId="3" fillId="2" borderId="31" xfId="0" applyNumberFormat="1" applyFont="1" applyFill="1" applyBorder="1" applyAlignment="1">
      <alignment horizontal="center"/>
    </xf>
    <xf numFmtId="0" fontId="0" fillId="0" borderId="0" xfId="0" applyAlignment="1">
      <alignment vertical="top" wrapText="1"/>
    </xf>
    <xf numFmtId="0" fontId="9" fillId="0" borderId="0" xfId="0" applyFont="1"/>
    <xf numFmtId="0" fontId="10" fillId="0" borderId="0" xfId="0" applyFont="1" applyAlignment="1">
      <alignment horizontal="center"/>
    </xf>
    <xf numFmtId="0" fontId="4" fillId="0" borderId="0" xfId="0" applyFont="1" applyAlignment="1">
      <alignment horizontal="right"/>
    </xf>
    <xf numFmtId="0" fontId="8" fillId="0" borderId="0" xfId="0" applyFont="1" applyAlignment="1">
      <alignment horizontal="right"/>
    </xf>
    <xf numFmtId="0" fontId="4" fillId="0" borderId="0" xfId="2" applyFont="1" applyAlignment="1">
      <alignment horizontal="right"/>
    </xf>
    <xf numFmtId="0" fontId="4" fillId="0" borderId="0" xfId="2" applyFont="1" applyAlignment="1">
      <alignment vertical="top" wrapText="1"/>
    </xf>
    <xf numFmtId="0" fontId="0" fillId="0" borderId="0" xfId="0" applyAlignment="1">
      <alignment horizontal="left"/>
    </xf>
    <xf numFmtId="1" fontId="0" fillId="0" borderId="0" xfId="0" applyNumberFormat="1"/>
    <xf numFmtId="0" fontId="3" fillId="0" borderId="0" xfId="0" applyFont="1" applyAlignment="1">
      <alignment horizontal="right"/>
    </xf>
    <xf numFmtId="0" fontId="0" fillId="0" borderId="0" xfId="0" applyAlignment="1">
      <alignment wrapText="1"/>
    </xf>
    <xf numFmtId="0" fontId="3" fillId="0" borderId="26" xfId="0" applyFont="1" applyBorder="1" applyAlignment="1">
      <alignment horizontal="left"/>
    </xf>
    <xf numFmtId="6" fontId="0" fillId="0" borderId="0" xfId="0" applyNumberFormat="1"/>
    <xf numFmtId="0" fontId="3" fillId="2" borderId="48" xfId="0" applyFont="1" applyFill="1" applyBorder="1"/>
    <xf numFmtId="0" fontId="3" fillId="2" borderId="29" xfId="0" applyFont="1" applyFill="1" applyBorder="1"/>
    <xf numFmtId="0" fontId="0" fillId="0" borderId="25" xfId="0" applyBorder="1"/>
    <xf numFmtId="0" fontId="0" fillId="0" borderId="25" xfId="0" applyBorder="1" applyAlignment="1">
      <alignment horizontal="center"/>
    </xf>
    <xf numFmtId="0" fontId="0" fillId="0" borderId="25" xfId="0" applyBorder="1" applyAlignment="1">
      <alignment horizontal="left"/>
    </xf>
    <xf numFmtId="37" fontId="1" fillId="0" borderId="25" xfId="136" applyNumberFormat="1" applyFont="1" applyFill="1" applyBorder="1" applyAlignment="1">
      <alignment horizontal="center"/>
    </xf>
    <xf numFmtId="0" fontId="0" fillId="0" borderId="0" xfId="0" applyAlignment="1">
      <alignment horizontal="left" vertical="top" wrapText="1"/>
    </xf>
    <xf numFmtId="0" fontId="4" fillId="4" borderId="25" xfId="0" applyFont="1" applyFill="1" applyBorder="1" applyAlignment="1">
      <alignment horizontal="center"/>
    </xf>
    <xf numFmtId="6" fontId="2" fillId="0" borderId="0" xfId="0" applyNumberFormat="1" applyFont="1" applyAlignment="1">
      <alignment horizontal="right" indent="1"/>
    </xf>
    <xf numFmtId="168" fontId="0" fillId="0" borderId="0" xfId="136" applyNumberFormat="1" applyFont="1" applyBorder="1"/>
    <xf numFmtId="168" fontId="0" fillId="0" borderId="0" xfId="0" applyNumberFormat="1"/>
    <xf numFmtId="0" fontId="0" fillId="0" borderId="25" xfId="0" applyBorder="1" applyAlignment="1">
      <alignment horizontal="center" vertical="center"/>
    </xf>
    <xf numFmtId="0" fontId="3" fillId="0" borderId="0" xfId="0" applyFont="1" applyAlignment="1">
      <alignment horizontal="left"/>
    </xf>
    <xf numFmtId="0" fontId="3" fillId="0" borderId="25" xfId="0" applyFont="1" applyBorder="1" applyAlignment="1">
      <alignment horizontal="center"/>
    </xf>
    <xf numFmtId="0" fontId="8" fillId="0" borderId="0" xfId="2" applyFont="1" applyAlignment="1">
      <alignment horizontal="left"/>
    </xf>
    <xf numFmtId="0" fontId="3" fillId="0" borderId="33" xfId="0" applyFont="1" applyBorder="1" applyAlignment="1">
      <alignment horizontal="right"/>
    </xf>
    <xf numFmtId="0" fontId="4" fillId="0" borderId="0" xfId="0" applyFont="1" applyAlignment="1">
      <alignment horizontal="left" vertical="top" wrapText="1"/>
    </xf>
    <xf numFmtId="0" fontId="2" fillId="0" borderId="0" xfId="0" applyFont="1" applyAlignment="1">
      <alignment horizontal="center" vertical="center"/>
    </xf>
    <xf numFmtId="0" fontId="0" fillId="0" borderId="0" xfId="0" applyAlignment="1">
      <alignment horizontal="right" vertical="top"/>
    </xf>
    <xf numFmtId="0" fontId="4" fillId="0" borderId="0" xfId="0" applyFont="1" applyAlignment="1">
      <alignment vertical="top" wrapText="1"/>
    </xf>
    <xf numFmtId="0" fontId="4" fillId="0" borderId="0" xfId="2" applyFont="1" applyAlignment="1">
      <alignment horizontal="left" vertical="top" wrapText="1"/>
    </xf>
    <xf numFmtId="164" fontId="16" fillId="0" borderId="0" xfId="0" applyNumberFormat="1" applyFont="1" applyAlignment="1">
      <alignment horizontal="center"/>
    </xf>
    <xf numFmtId="0" fontId="0" fillId="4" borderId="25" xfId="0" applyFill="1" applyBorder="1" applyAlignment="1">
      <alignment horizontal="center"/>
    </xf>
    <xf numFmtId="0" fontId="12" fillId="0" borderId="0" xfId="0" applyFont="1" applyAlignment="1">
      <alignment horizontal="center" vertical="top"/>
    </xf>
    <xf numFmtId="43" fontId="17" fillId="0" borderId="0" xfId="136" applyFont="1" applyAlignment="1">
      <alignment horizontal="right" vertical="center"/>
    </xf>
    <xf numFmtId="164" fontId="18" fillId="0" borderId="0" xfId="0" applyNumberFormat="1" applyFont="1" applyAlignment="1">
      <alignment horizontal="center"/>
    </xf>
    <xf numFmtId="0" fontId="18" fillId="0" borderId="0" xfId="0" applyFont="1" applyAlignment="1">
      <alignment horizontal="center"/>
    </xf>
    <xf numFmtId="2" fontId="3" fillId="0" borderId="49" xfId="0" applyNumberFormat="1" applyFont="1" applyBorder="1" applyAlignment="1">
      <alignment horizontal="center"/>
    </xf>
    <xf numFmtId="0" fontId="19" fillId="0" borderId="0" xfId="0" applyFont="1"/>
    <xf numFmtId="0" fontId="2" fillId="0" borderId="25" xfId="0" applyFont="1" applyBorder="1" applyAlignment="1">
      <alignment horizontal="center"/>
    </xf>
    <xf numFmtId="2" fontId="2" fillId="0" borderId="25" xfId="0" applyNumberFormat="1" applyFont="1" applyBorder="1" applyAlignment="1">
      <alignment horizontal="center"/>
    </xf>
    <xf numFmtId="164" fontId="21" fillId="0" borderId="0" xfId="0" applyNumberFormat="1" applyFont="1"/>
    <xf numFmtId="169" fontId="0" fillId="0" borderId="0" xfId="0" applyNumberFormat="1" applyAlignment="1">
      <alignment horizontal="left"/>
    </xf>
    <xf numFmtId="0" fontId="3" fillId="0" borderId="25" xfId="0" applyFont="1" applyBorder="1"/>
    <xf numFmtId="0" fontId="3" fillId="0" borderId="25" xfId="0" applyFont="1" applyBorder="1" applyAlignment="1">
      <alignment horizontal="center" vertical="center"/>
    </xf>
    <xf numFmtId="0" fontId="4" fillId="0" borderId="0" xfId="0" applyFont="1" applyAlignment="1">
      <alignment horizontal="center"/>
    </xf>
    <xf numFmtId="0" fontId="8" fillId="0" borderId="0" xfId="0" applyFont="1" applyAlignment="1">
      <alignment horizontal="center"/>
    </xf>
    <xf numFmtId="0" fontId="4" fillId="0" borderId="0" xfId="0" applyFont="1" applyAlignment="1">
      <alignment horizontal="center" vertical="center"/>
    </xf>
    <xf numFmtId="0" fontId="3" fillId="0" borderId="0" xfId="0" applyFont="1" applyAlignment="1">
      <alignment horizontal="center" vertical="center" textRotation="90" wrapText="1"/>
    </xf>
    <xf numFmtId="0" fontId="10" fillId="0" borderId="0" xfId="0" applyFont="1"/>
    <xf numFmtId="0" fontId="0" fillId="0" borderId="7" xfId="0" applyBorder="1"/>
    <xf numFmtId="0" fontId="0" fillId="0" borderId="9" xfId="0" applyBorder="1"/>
    <xf numFmtId="0" fontId="0" fillId="0" borderId="5" xfId="0" applyBorder="1"/>
    <xf numFmtId="2" fontId="0" fillId="0" borderId="25" xfId="0" applyNumberFormat="1" applyBorder="1"/>
    <xf numFmtId="2" fontId="0" fillId="0" borderId="44" xfId="0" applyNumberFormat="1" applyBorder="1"/>
    <xf numFmtId="2" fontId="0" fillId="0" borderId="45" xfId="0" applyNumberFormat="1" applyBorder="1"/>
    <xf numFmtId="2" fontId="0" fillId="0" borderId="29" xfId="0" applyNumberFormat="1" applyBorder="1"/>
    <xf numFmtId="175" fontId="0" fillId="0" borderId="0" xfId="0" applyNumberFormat="1"/>
    <xf numFmtId="0" fontId="3" fillId="0" borderId="13" xfId="0" applyFont="1" applyBorder="1" applyAlignment="1">
      <alignment horizontal="center"/>
    </xf>
    <xf numFmtId="164" fontId="0" fillId="0" borderId="0" xfId="0" applyNumberFormat="1"/>
    <xf numFmtId="0" fontId="21" fillId="0" borderId="0" xfId="0" applyFont="1" applyAlignment="1">
      <alignment horizontal="right"/>
    </xf>
    <xf numFmtId="0" fontId="0" fillId="3" borderId="25" xfId="0" applyFill="1" applyBorder="1" applyAlignment="1">
      <alignment horizontal="center"/>
    </xf>
    <xf numFmtId="0" fontId="11" fillId="0" borderId="0" xfId="138"/>
    <xf numFmtId="6" fontId="2" fillId="0" borderId="19" xfId="0" applyNumberFormat="1" applyFont="1" applyBorder="1" applyAlignment="1">
      <alignment horizontal="right" indent="1"/>
    </xf>
    <xf numFmtId="6" fontId="2" fillId="0" borderId="20" xfId="0" applyNumberFormat="1" applyFont="1" applyBorder="1" applyAlignment="1">
      <alignment horizontal="right" indent="1"/>
    </xf>
    <xf numFmtId="0" fontId="0" fillId="0" borderId="52" xfId="0" applyBorder="1" applyAlignment="1">
      <alignment horizontal="center" vertical="center"/>
    </xf>
    <xf numFmtId="0" fontId="0" fillId="0" borderId="46" xfId="0" applyBorder="1" applyAlignment="1">
      <alignment horizontal="center" vertical="center"/>
    </xf>
    <xf numFmtId="44" fontId="2" fillId="0" borderId="25" xfId="1" applyFont="1" applyFill="1" applyBorder="1" applyAlignment="1">
      <alignment horizontal="center"/>
    </xf>
    <xf numFmtId="0" fontId="0" fillId="0" borderId="1" xfId="0" applyBorder="1" applyAlignment="1">
      <alignment horizontal="center" vertical="center"/>
    </xf>
    <xf numFmtId="0" fontId="0" fillId="0" borderId="32" xfId="0" applyBorder="1" applyAlignment="1">
      <alignment horizontal="center" vertical="center"/>
    </xf>
    <xf numFmtId="0" fontId="0" fillId="0" borderId="16" xfId="0" applyBorder="1" applyAlignment="1">
      <alignment horizontal="center" vertical="center"/>
    </xf>
    <xf numFmtId="0" fontId="3" fillId="0" borderId="0" xfId="0" applyFont="1" applyAlignment="1">
      <alignment horizontal="center"/>
    </xf>
    <xf numFmtId="0" fontId="3" fillId="0" borderId="45" xfId="0" applyFont="1" applyBorder="1" applyAlignment="1">
      <alignment horizontal="center"/>
    </xf>
    <xf numFmtId="0" fontId="3" fillId="0" borderId="19"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11" fillId="0" borderId="0" xfId="138" applyAlignment="1">
      <alignment horizontal="left"/>
    </xf>
    <xf numFmtId="0" fontId="23" fillId="0" borderId="0" xfId="0" applyFont="1"/>
    <xf numFmtId="22" fontId="0" fillId="0" borderId="0" xfId="0" applyNumberFormat="1"/>
    <xf numFmtId="0" fontId="0" fillId="0" borderId="9" xfId="0" applyBorder="1" applyAlignment="1">
      <alignment horizontal="center"/>
    </xf>
    <xf numFmtId="0" fontId="0" fillId="0" borderId="5" xfId="0" applyBorder="1" applyAlignment="1">
      <alignment horizontal="center"/>
    </xf>
    <xf numFmtId="0" fontId="4" fillId="0" borderId="0" xfId="2" applyFont="1" applyAlignment="1">
      <alignment horizontal="left"/>
    </xf>
    <xf numFmtId="0" fontId="4" fillId="0" borderId="0" xfId="2" applyFont="1"/>
    <xf numFmtId="6" fontId="0" fillId="0" borderId="12" xfId="0" applyNumberFormat="1" applyBorder="1" applyAlignment="1">
      <alignment horizontal="right" indent="1"/>
    </xf>
    <xf numFmtId="6" fontId="3" fillId="0" borderId="0" xfId="0" applyNumberFormat="1" applyFont="1"/>
    <xf numFmtId="6" fontId="0" fillId="0" borderId="15" xfId="136" applyNumberFormat="1" applyFont="1" applyFill="1" applyBorder="1" applyAlignment="1">
      <alignment horizontal="right"/>
    </xf>
    <xf numFmtId="6" fontId="0" fillId="0" borderId="10" xfId="136" applyNumberFormat="1" applyFont="1" applyFill="1" applyBorder="1" applyAlignment="1">
      <alignment horizontal="right"/>
    </xf>
    <xf numFmtId="6" fontId="0" fillId="0" borderId="20" xfId="136" applyNumberFormat="1" applyFont="1" applyFill="1" applyBorder="1" applyAlignment="1">
      <alignment horizontal="right"/>
    </xf>
    <xf numFmtId="6" fontId="0" fillId="0" borderId="17" xfId="136" applyNumberFormat="1" applyFont="1" applyFill="1" applyBorder="1" applyAlignment="1">
      <alignment horizontal="right"/>
    </xf>
    <xf numFmtId="37" fontId="0" fillId="0" borderId="29" xfId="136" applyNumberFormat="1" applyFont="1" applyFill="1" applyBorder="1" applyAlignment="1">
      <alignment horizontal="right"/>
    </xf>
    <xf numFmtId="6" fontId="0" fillId="0" borderId="14" xfId="136" applyNumberFormat="1" applyFont="1" applyFill="1" applyBorder="1" applyAlignment="1">
      <alignment horizontal="right"/>
    </xf>
    <xf numFmtId="6" fontId="0" fillId="0" borderId="8" xfId="136" applyNumberFormat="1" applyFont="1" applyFill="1" applyBorder="1" applyAlignment="1">
      <alignment horizontal="right"/>
    </xf>
    <xf numFmtId="6" fontId="0" fillId="0" borderId="19" xfId="136" applyNumberFormat="1" applyFont="1" applyFill="1" applyBorder="1" applyAlignment="1">
      <alignment horizontal="right"/>
    </xf>
    <xf numFmtId="37" fontId="0" fillId="0" borderId="45" xfId="136" applyNumberFormat="1" applyFont="1" applyFill="1" applyBorder="1" applyAlignment="1">
      <alignment horizontal="right"/>
    </xf>
    <xf numFmtId="0" fontId="0" fillId="0" borderId="7" xfId="0" applyBorder="1" applyAlignment="1">
      <alignment horizontal="center"/>
    </xf>
    <xf numFmtId="6" fontId="0" fillId="0" borderId="13" xfId="136" applyNumberFormat="1" applyFont="1" applyFill="1" applyBorder="1" applyAlignment="1">
      <alignment horizontal="right"/>
    </xf>
    <xf numFmtId="6" fontId="0" fillId="0" borderId="6" xfId="136" applyNumberFormat="1" applyFont="1" applyFill="1" applyBorder="1" applyAlignment="1">
      <alignment horizontal="right"/>
    </xf>
    <xf numFmtId="6" fontId="0" fillId="0" borderId="38" xfId="136" applyNumberFormat="1" applyFont="1" applyFill="1" applyBorder="1" applyAlignment="1">
      <alignment horizontal="right"/>
    </xf>
    <xf numFmtId="37" fontId="0" fillId="0" borderId="37" xfId="136" applyNumberFormat="1" applyFont="1" applyFill="1" applyBorder="1" applyAlignment="1">
      <alignment horizontal="right"/>
    </xf>
    <xf numFmtId="6" fontId="2" fillId="0" borderId="0" xfId="0" applyNumberFormat="1" applyFont="1"/>
    <xf numFmtId="2" fontId="0" fillId="4" borderId="25" xfId="137" applyNumberFormat="1" applyFont="1" applyFill="1" applyBorder="1" applyAlignment="1">
      <alignment horizontal="center"/>
    </xf>
    <xf numFmtId="0" fontId="4" fillId="0" borderId="25" xfId="0" applyFont="1" applyBorder="1" applyAlignment="1">
      <alignment horizontal="center"/>
    </xf>
    <xf numFmtId="170" fontId="4" fillId="0" borderId="25" xfId="137" applyNumberFormat="1" applyFont="1" applyFill="1" applyBorder="1" applyAlignment="1">
      <alignment horizontal="center"/>
    </xf>
    <xf numFmtId="0" fontId="0" fillId="0" borderId="13" xfId="0" applyBorder="1" applyAlignment="1">
      <alignment horizontal="center" vertical="center" wrapText="1"/>
    </xf>
    <xf numFmtId="0" fontId="25" fillId="0" borderId="0" xfId="0" applyFont="1" applyAlignment="1">
      <alignment horizontal="right"/>
    </xf>
    <xf numFmtId="0" fontId="0" fillId="0" borderId="39" xfId="0" applyBorder="1" applyAlignment="1">
      <alignment horizontal="center"/>
    </xf>
    <xf numFmtId="0" fontId="0" fillId="0" borderId="25" xfId="0" applyBorder="1" applyAlignment="1">
      <alignment horizontal="right"/>
    </xf>
    <xf numFmtId="164" fontId="0" fillId="0" borderId="0" xfId="0" applyNumberFormat="1" applyAlignment="1">
      <alignment horizontal="center"/>
    </xf>
    <xf numFmtId="6" fontId="12" fillId="0" borderId="0" xfId="136" applyNumberFormat="1" applyFont="1" applyAlignment="1">
      <alignment horizontal="right" vertical="center"/>
    </xf>
    <xf numFmtId="0" fontId="0" fillId="0" borderId="0" xfId="0" applyAlignment="1">
      <alignment horizontal="center" vertical="center" wrapText="1"/>
    </xf>
    <xf numFmtId="164" fontId="0" fillId="0" borderId="0" xfId="0" applyNumberFormat="1" applyAlignment="1">
      <alignment horizontal="center" vertical="center"/>
    </xf>
    <xf numFmtId="164" fontId="12" fillId="0" borderId="0" xfId="136" applyNumberFormat="1" applyFont="1" applyAlignment="1">
      <alignment horizontal="right" vertical="center"/>
    </xf>
    <xf numFmtId="6" fontId="0" fillId="0" borderId="47" xfId="0" applyNumberFormat="1" applyBorder="1" applyAlignment="1">
      <alignment horizontal="right"/>
    </xf>
    <xf numFmtId="6" fontId="0" fillId="0" borderId="19" xfId="0" applyNumberFormat="1" applyBorder="1" applyAlignment="1">
      <alignment horizontal="right"/>
    </xf>
    <xf numFmtId="6" fontId="0" fillId="0" borderId="45" xfId="0" applyNumberFormat="1" applyBorder="1" applyAlignment="1">
      <alignment horizontal="right"/>
    </xf>
    <xf numFmtId="6" fontId="0" fillId="0" borderId="55" xfId="0" applyNumberFormat="1" applyBorder="1" applyAlignment="1">
      <alignment horizontal="right"/>
    </xf>
    <xf numFmtId="6" fontId="0" fillId="0" borderId="20" xfId="0" applyNumberFormat="1" applyBorder="1" applyAlignment="1">
      <alignment horizontal="right"/>
    </xf>
    <xf numFmtId="6" fontId="0" fillId="0" borderId="29" xfId="0" applyNumberFormat="1" applyBorder="1" applyAlignment="1">
      <alignment horizontal="right"/>
    </xf>
    <xf numFmtId="6" fontId="0" fillId="0" borderId="0" xfId="0" applyNumberFormat="1" applyAlignment="1">
      <alignment horizontal="right"/>
    </xf>
    <xf numFmtId="164" fontId="0" fillId="0" borderId="38" xfId="0" applyNumberFormat="1" applyBorder="1" applyAlignment="1">
      <alignment horizontal="right"/>
    </xf>
    <xf numFmtId="164" fontId="0" fillId="0" borderId="47" xfId="0" applyNumberFormat="1" applyBorder="1" applyAlignment="1">
      <alignment horizontal="right"/>
    </xf>
    <xf numFmtId="164" fontId="0" fillId="0" borderId="19" xfId="0" applyNumberFormat="1" applyBorder="1" applyAlignment="1">
      <alignment horizontal="right"/>
    </xf>
    <xf numFmtId="164" fontId="0" fillId="0" borderId="17" xfId="0" applyNumberFormat="1" applyBorder="1" applyAlignment="1">
      <alignment horizontal="right"/>
    </xf>
    <xf numFmtId="164" fontId="0" fillId="0" borderId="55" xfId="0" applyNumberFormat="1" applyBorder="1" applyAlignment="1">
      <alignment horizontal="right"/>
    </xf>
    <xf numFmtId="164" fontId="0" fillId="0" borderId="20" xfId="0" applyNumberFormat="1" applyBorder="1" applyAlignment="1">
      <alignment horizontal="right"/>
    </xf>
    <xf numFmtId="6" fontId="0" fillId="0" borderId="56" xfId="0" applyNumberFormat="1" applyBorder="1" applyAlignment="1">
      <alignment horizontal="right"/>
    </xf>
    <xf numFmtId="6" fontId="0" fillId="0" borderId="18" xfId="0" applyNumberFormat="1" applyBorder="1" applyAlignment="1">
      <alignment horizontal="right"/>
    </xf>
    <xf numFmtId="6" fontId="0" fillId="0" borderId="28" xfId="0" applyNumberFormat="1" applyBorder="1" applyAlignment="1">
      <alignment horizontal="right"/>
    </xf>
    <xf numFmtId="164" fontId="0" fillId="0" borderId="13" xfId="0" applyNumberFormat="1" applyBorder="1"/>
    <xf numFmtId="6" fontId="0" fillId="0" borderId="36" xfId="0" applyNumberFormat="1" applyBorder="1"/>
    <xf numFmtId="6" fontId="0" fillId="0" borderId="39" xfId="0" applyNumberFormat="1" applyBorder="1"/>
    <xf numFmtId="164" fontId="0" fillId="0" borderId="14" xfId="0" applyNumberFormat="1" applyBorder="1"/>
    <xf numFmtId="6" fontId="0" fillId="0" borderId="7" xfId="0" applyNumberFormat="1" applyBorder="1"/>
    <xf numFmtId="6" fontId="0" fillId="0" borderId="14" xfId="0" applyNumberFormat="1" applyBorder="1"/>
    <xf numFmtId="164" fontId="0" fillId="0" borderId="15" xfId="0" applyNumberFormat="1" applyBorder="1"/>
    <xf numFmtId="6" fontId="0" fillId="0" borderId="9" xfId="0" applyNumberFormat="1" applyBorder="1"/>
    <xf numFmtId="6" fontId="0" fillId="0" borderId="15" xfId="0" applyNumberFormat="1" applyBorder="1"/>
    <xf numFmtId="6" fontId="0" fillId="0" borderId="40" xfId="0" applyNumberFormat="1" applyBorder="1"/>
    <xf numFmtId="37" fontId="0" fillId="0" borderId="37" xfId="136" applyNumberFormat="1" applyFont="1" applyFill="1" applyBorder="1" applyAlignment="1"/>
    <xf numFmtId="6" fontId="0" fillId="0" borderId="38" xfId="136" applyNumberFormat="1" applyFont="1" applyFill="1" applyBorder="1" applyAlignment="1"/>
    <xf numFmtId="6" fontId="0" fillId="0" borderId="6" xfId="136" applyNumberFormat="1" applyFont="1" applyFill="1" applyBorder="1" applyAlignment="1"/>
    <xf numFmtId="6" fontId="0" fillId="0" borderId="13" xfId="136" applyNumberFormat="1" applyFont="1" applyFill="1" applyBorder="1" applyAlignment="1"/>
    <xf numFmtId="37" fontId="0" fillId="0" borderId="45" xfId="136" applyNumberFormat="1" applyFont="1" applyFill="1" applyBorder="1" applyAlignment="1"/>
    <xf numFmtId="6" fontId="0" fillId="0" borderId="19" xfId="136" applyNumberFormat="1" applyFont="1" applyFill="1" applyBorder="1" applyAlignment="1"/>
    <xf numFmtId="6" fontId="0" fillId="0" borderId="8" xfId="136" applyNumberFormat="1" applyFont="1" applyFill="1" applyBorder="1" applyAlignment="1"/>
    <xf numFmtId="6" fontId="0" fillId="0" borderId="14" xfId="136" applyNumberFormat="1" applyFont="1" applyFill="1" applyBorder="1" applyAlignment="1"/>
    <xf numFmtId="37" fontId="0" fillId="0" borderId="29" xfId="136" applyNumberFormat="1" applyFont="1" applyFill="1" applyBorder="1" applyAlignment="1"/>
    <xf numFmtId="6" fontId="0" fillId="0" borderId="17" xfId="136" applyNumberFormat="1" applyFont="1" applyFill="1" applyBorder="1" applyAlignment="1"/>
    <xf numFmtId="6" fontId="0" fillId="0" borderId="20" xfId="136" applyNumberFormat="1" applyFont="1" applyFill="1" applyBorder="1" applyAlignment="1"/>
    <xf numFmtId="6" fontId="0" fillId="0" borderId="10" xfId="136" applyNumberFormat="1" applyFont="1" applyFill="1" applyBorder="1" applyAlignment="1"/>
    <xf numFmtId="6" fontId="0" fillId="0" borderId="15" xfId="136" applyNumberFormat="1" applyFont="1" applyFill="1" applyBorder="1" applyAlignment="1"/>
    <xf numFmtId="6" fontId="0" fillId="0" borderId="12" xfId="0" applyNumberFormat="1" applyBorder="1"/>
    <xf numFmtId="0" fontId="4" fillId="0" borderId="25" xfId="0" applyFont="1" applyBorder="1" applyAlignment="1">
      <alignment horizontal="left"/>
    </xf>
    <xf numFmtId="164" fontId="0" fillId="0" borderId="68" xfId="0" applyNumberFormat="1" applyBorder="1"/>
    <xf numFmtId="0" fontId="0" fillId="0" borderId="17" xfId="0" applyBorder="1" applyAlignment="1">
      <alignment horizontal="center" vertical="center"/>
    </xf>
    <xf numFmtId="0" fontId="0" fillId="0" borderId="5" xfId="0" applyBorder="1" applyAlignment="1">
      <alignment horizontal="center" vertical="center" wrapText="1"/>
    </xf>
    <xf numFmtId="6" fontId="0" fillId="0" borderId="43" xfId="0" applyNumberFormat="1" applyBorder="1" applyAlignment="1">
      <alignment horizontal="right"/>
    </xf>
    <xf numFmtId="6" fontId="0" fillId="0" borderId="41" xfId="0" applyNumberFormat="1" applyBorder="1" applyAlignment="1">
      <alignment horizontal="right"/>
    </xf>
    <xf numFmtId="6" fontId="0" fillId="0" borderId="13" xfId="0" applyNumberFormat="1" applyBorder="1" applyAlignment="1">
      <alignment horizontal="right"/>
    </xf>
    <xf numFmtId="6" fontId="0" fillId="0" borderId="57" xfId="0" applyNumberFormat="1" applyBorder="1" applyAlignment="1">
      <alignment horizontal="right"/>
    </xf>
    <xf numFmtId="0" fontId="0" fillId="0" borderId="7" xfId="0" applyBorder="1" applyAlignment="1">
      <alignment horizontal="center" vertical="center" wrapText="1"/>
    </xf>
    <xf numFmtId="6" fontId="0" fillId="0" borderId="25" xfId="0" applyNumberFormat="1" applyBorder="1" applyAlignment="1">
      <alignment horizontal="right"/>
    </xf>
    <xf numFmtId="6" fontId="0" fillId="0" borderId="21" xfId="0" applyNumberFormat="1" applyBorder="1" applyAlignment="1">
      <alignment horizontal="right"/>
    </xf>
    <xf numFmtId="6" fontId="0" fillId="0" borderId="14" xfId="0" applyNumberFormat="1" applyBorder="1" applyAlignment="1">
      <alignment horizontal="right"/>
    </xf>
    <xf numFmtId="6" fontId="0" fillId="0" borderId="59" xfId="0" applyNumberFormat="1" applyBorder="1" applyAlignment="1">
      <alignment horizontal="right"/>
    </xf>
    <xf numFmtId="6" fontId="0" fillId="0" borderId="44" xfId="0" applyNumberFormat="1" applyBorder="1" applyAlignment="1">
      <alignment horizontal="right"/>
    </xf>
    <xf numFmtId="6" fontId="0" fillId="0" borderId="51" xfId="0" applyNumberFormat="1" applyBorder="1" applyAlignment="1">
      <alignment horizontal="right"/>
    </xf>
    <xf numFmtId="6" fontId="0" fillId="0" borderId="15" xfId="0" applyNumberFormat="1" applyBorder="1" applyAlignment="1">
      <alignment horizontal="right"/>
    </xf>
    <xf numFmtId="6" fontId="0" fillId="0" borderId="70" xfId="0" applyNumberFormat="1" applyBorder="1" applyAlignment="1">
      <alignment horizontal="right"/>
    </xf>
    <xf numFmtId="164" fontId="18" fillId="0" borderId="0" xfId="0" applyNumberFormat="1" applyFont="1" applyAlignment="1">
      <alignment horizontal="right"/>
    </xf>
    <xf numFmtId="1" fontId="0" fillId="0" borderId="0" xfId="0" applyNumberFormat="1" applyAlignment="1">
      <alignment horizontal="center"/>
    </xf>
    <xf numFmtId="164" fontId="6" fillId="0" borderId="0" xfId="0" applyNumberFormat="1" applyFont="1" applyAlignment="1">
      <alignment horizontal="center"/>
    </xf>
    <xf numFmtId="164" fontId="0" fillId="0" borderId="40" xfId="0" applyNumberFormat="1" applyBorder="1" applyAlignment="1">
      <alignment horizontal="center"/>
    </xf>
    <xf numFmtId="164" fontId="0" fillId="0" borderId="27" xfId="0" applyNumberFormat="1" applyBorder="1" applyAlignment="1">
      <alignment horizontal="center"/>
    </xf>
    <xf numFmtId="2" fontId="0" fillId="0" borderId="0" xfId="0" applyNumberFormat="1" applyAlignment="1">
      <alignment horizontal="center"/>
    </xf>
    <xf numFmtId="0" fontId="0" fillId="0" borderId="33" xfId="0" applyBorder="1"/>
    <xf numFmtId="164" fontId="0" fillId="2" borderId="38" xfId="0" applyNumberFormat="1" applyFill="1" applyBorder="1" applyAlignment="1">
      <alignment horizontal="center"/>
    </xf>
    <xf numFmtId="164" fontId="0" fillId="2" borderId="34" xfId="0" applyNumberFormat="1" applyFill="1" applyBorder="1" applyAlignment="1">
      <alignment horizontal="center"/>
    </xf>
    <xf numFmtId="164" fontId="0" fillId="0" borderId="20" xfId="0" applyNumberFormat="1" applyBorder="1" applyAlignment="1">
      <alignment horizontal="center"/>
    </xf>
    <xf numFmtId="0" fontId="10" fillId="0" borderId="0" xfId="2" applyFont="1"/>
    <xf numFmtId="0" fontId="4" fillId="0" borderId="25" xfId="2" applyFont="1" applyBorder="1" applyAlignment="1">
      <alignment horizontal="left" vertical="center"/>
    </xf>
    <xf numFmtId="0" fontId="4" fillId="0" borderId="25" xfId="2" applyFont="1" applyBorder="1" applyAlignment="1">
      <alignment horizontal="center" vertical="center"/>
    </xf>
    <xf numFmtId="0" fontId="4" fillId="0" borderId="0" xfId="2" applyFont="1" applyAlignment="1">
      <alignment horizontal="left" vertical="center"/>
    </xf>
    <xf numFmtId="0" fontId="8" fillId="0" borderId="0" xfId="2" applyFont="1" applyAlignment="1">
      <alignment horizontal="left" vertical="center"/>
    </xf>
    <xf numFmtId="166" fontId="4" fillId="0" borderId="0" xfId="2" applyNumberFormat="1" applyFont="1" applyAlignment="1">
      <alignment horizontal="left"/>
    </xf>
    <xf numFmtId="0" fontId="4" fillId="4" borderId="25" xfId="2" applyFont="1" applyFill="1" applyBorder="1" applyAlignment="1">
      <alignment horizontal="center" vertical="center"/>
    </xf>
    <xf numFmtId="10" fontId="4" fillId="0" borderId="0" xfId="2" applyNumberFormat="1" applyFont="1" applyAlignment="1">
      <alignment horizontal="center" vertical="center"/>
    </xf>
    <xf numFmtId="0" fontId="8" fillId="0" borderId="25" xfId="2" applyFont="1" applyBorder="1" applyAlignment="1">
      <alignment horizontal="center" vertical="center"/>
    </xf>
    <xf numFmtId="170" fontId="4" fillId="4" borderId="25" xfId="2" applyNumberFormat="1" applyFont="1" applyFill="1" applyBorder="1" applyAlignment="1">
      <alignment horizontal="center" vertical="center"/>
    </xf>
    <xf numFmtId="0" fontId="27" fillId="0" borderId="0" xfId="2" applyFont="1" applyAlignment="1">
      <alignment horizontal="left"/>
    </xf>
    <xf numFmtId="169" fontId="26" fillId="0" borderId="0" xfId="2" applyNumberFormat="1" applyFont="1" applyAlignment="1">
      <alignment horizontal="center" vertical="center"/>
    </xf>
    <xf numFmtId="0" fontId="4" fillId="0" borderId="0" xfId="2" applyFont="1" applyAlignment="1">
      <alignment horizontal="center" vertical="center"/>
    </xf>
    <xf numFmtId="0" fontId="8" fillId="0" borderId="0" xfId="0" applyFont="1" applyAlignment="1">
      <alignment horizontal="left"/>
    </xf>
    <xf numFmtId="167" fontId="28" fillId="0" borderId="0" xfId="2" applyNumberFormat="1" applyFont="1" applyAlignment="1">
      <alignment horizontal="left" vertical="center"/>
    </xf>
    <xf numFmtId="0" fontId="0" fillId="0" borderId="33" xfId="0" applyBorder="1" applyAlignment="1">
      <alignment horizontal="center" vertical="center"/>
    </xf>
    <xf numFmtId="0" fontId="0" fillId="0" borderId="30" xfId="0" applyBorder="1" applyAlignment="1">
      <alignment horizontal="center" vertical="center"/>
    </xf>
    <xf numFmtId="174" fontId="0" fillId="0" borderId="25" xfId="0" applyNumberFormat="1" applyBorder="1" applyAlignment="1">
      <alignment horizontal="center" vertical="center"/>
    </xf>
    <xf numFmtId="0" fontId="0" fillId="0" borderId="13" xfId="0" applyBorder="1" applyAlignment="1">
      <alignment horizontal="center"/>
    </xf>
    <xf numFmtId="173" fontId="0" fillId="0" borderId="28" xfId="0" applyNumberFormat="1" applyBorder="1" applyAlignment="1">
      <alignment horizontal="right"/>
    </xf>
    <xf numFmtId="173" fontId="0" fillId="0" borderId="43" xfId="0" applyNumberFormat="1" applyBorder="1" applyAlignment="1">
      <alignment horizontal="right"/>
    </xf>
    <xf numFmtId="173" fontId="0" fillId="0" borderId="18" xfId="0" applyNumberFormat="1" applyBorder="1" applyAlignment="1">
      <alignment horizontal="right"/>
    </xf>
    <xf numFmtId="6" fontId="0" fillId="0" borderId="6" xfId="0" applyNumberFormat="1" applyBorder="1" applyAlignment="1">
      <alignment horizontal="right"/>
    </xf>
    <xf numFmtId="6" fontId="0" fillId="0" borderId="37" xfId="0" applyNumberFormat="1" applyBorder="1" applyAlignment="1">
      <alignment horizontal="right"/>
    </xf>
    <xf numFmtId="6" fontId="0" fillId="0" borderId="38" xfId="0" applyNumberFormat="1" applyBorder="1" applyAlignment="1">
      <alignment horizontal="right"/>
    </xf>
    <xf numFmtId="173" fontId="0" fillId="0" borderId="45" xfId="0" applyNumberFormat="1" applyBorder="1" applyAlignment="1">
      <alignment horizontal="right"/>
    </xf>
    <xf numFmtId="173" fontId="0" fillId="0" borderId="25" xfId="0" applyNumberFormat="1" applyBorder="1" applyAlignment="1">
      <alignment horizontal="right"/>
    </xf>
    <xf numFmtId="173" fontId="0" fillId="0" borderId="19" xfId="0" applyNumberFormat="1" applyBorder="1" applyAlignment="1">
      <alignment horizontal="right"/>
    </xf>
    <xf numFmtId="6" fontId="0" fillId="0" borderId="8" xfId="0" applyNumberFormat="1" applyBorder="1" applyAlignment="1">
      <alignment horizontal="right"/>
    </xf>
    <xf numFmtId="0" fontId="0" fillId="2" borderId="25" xfId="0" applyFill="1" applyBorder="1" applyAlignment="1">
      <alignment vertical="center"/>
    </xf>
    <xf numFmtId="6" fontId="0" fillId="2" borderId="25" xfId="0" applyNumberFormat="1" applyFill="1" applyBorder="1"/>
    <xf numFmtId="6" fontId="0" fillId="0" borderId="30" xfId="0" applyNumberFormat="1" applyBorder="1" applyAlignment="1">
      <alignment horizontal="right"/>
    </xf>
    <xf numFmtId="6" fontId="0" fillId="0" borderId="17" xfId="0" applyNumberFormat="1" applyBorder="1" applyAlignment="1">
      <alignment horizontal="right"/>
    </xf>
    <xf numFmtId="173" fontId="0" fillId="0" borderId="29" xfId="0" applyNumberFormat="1" applyBorder="1" applyAlignment="1">
      <alignment horizontal="right"/>
    </xf>
    <xf numFmtId="173" fontId="0" fillId="0" borderId="44" xfId="0" applyNumberFormat="1" applyBorder="1" applyAlignment="1">
      <alignment horizontal="right"/>
    </xf>
    <xf numFmtId="173" fontId="0" fillId="0" borderId="20" xfId="0" applyNumberFormat="1" applyBorder="1" applyAlignment="1">
      <alignment horizontal="right"/>
    </xf>
    <xf numFmtId="6" fontId="0" fillId="0" borderId="10" xfId="0" applyNumberFormat="1" applyBorder="1" applyAlignment="1">
      <alignment horizontal="right"/>
    </xf>
    <xf numFmtId="6" fontId="0" fillId="0" borderId="0" xfId="0" applyNumberFormat="1" applyAlignment="1">
      <alignment horizontal="center"/>
    </xf>
    <xf numFmtId="6" fontId="0" fillId="0" borderId="40" xfId="0" applyNumberFormat="1" applyBorder="1" applyAlignment="1">
      <alignment horizontal="right" indent="1"/>
    </xf>
    <xf numFmtId="6" fontId="0" fillId="0" borderId="0" xfId="0" applyNumberFormat="1" applyAlignment="1">
      <alignment horizontal="right" indent="1"/>
    </xf>
    <xf numFmtId="43" fontId="12" fillId="0" borderId="0" xfId="136" applyFont="1" applyAlignment="1">
      <alignment horizontal="right" vertical="center"/>
    </xf>
    <xf numFmtId="0" fontId="0" fillId="0" borderId="22" xfId="0" applyBorder="1" applyAlignment="1">
      <alignment vertical="top" wrapText="1"/>
    </xf>
    <xf numFmtId="0" fontId="0" fillId="0" borderId="0" xfId="0" applyAlignment="1">
      <alignment vertical="top"/>
    </xf>
    <xf numFmtId="0" fontId="11" fillId="0" borderId="0" xfId="138" applyFill="1"/>
    <xf numFmtId="6" fontId="0" fillId="0" borderId="24" xfId="0" applyNumberFormat="1" applyBorder="1" applyAlignment="1">
      <alignment horizontal="right"/>
    </xf>
    <xf numFmtId="0" fontId="19" fillId="0" borderId="0" xfId="0" applyFont="1" applyAlignment="1">
      <alignment vertical="top" wrapText="1"/>
    </xf>
    <xf numFmtId="0" fontId="19" fillId="0" borderId="0" xfId="0" applyFont="1" applyAlignment="1">
      <alignment horizontal="right"/>
    </xf>
    <xf numFmtId="16" fontId="0" fillId="0" borderId="0" xfId="0" applyNumberFormat="1"/>
    <xf numFmtId="0" fontId="0" fillId="0" borderId="0" xfId="0" pivotButton="1"/>
    <xf numFmtId="0" fontId="0" fillId="7" borderId="0" xfId="0" applyFill="1"/>
    <xf numFmtId="16" fontId="0" fillId="7" borderId="0" xfId="0" applyNumberFormat="1" applyFill="1"/>
    <xf numFmtId="22" fontId="0" fillId="7" borderId="0" xfId="0" applyNumberFormat="1" applyFill="1"/>
    <xf numFmtId="0" fontId="0" fillId="7" borderId="0" xfId="0" applyFill="1" applyAlignment="1">
      <alignment wrapText="1"/>
    </xf>
    <xf numFmtId="0" fontId="4" fillId="3" borderId="25" xfId="0" applyFont="1" applyFill="1" applyBorder="1" applyAlignment="1">
      <alignment horizontal="center"/>
    </xf>
    <xf numFmtId="14" fontId="0" fillId="0" borderId="25" xfId="0" applyNumberFormat="1" applyBorder="1" applyAlignment="1">
      <alignment horizontal="center"/>
    </xf>
    <xf numFmtId="1" fontId="3" fillId="0" borderId="0" xfId="0" applyNumberFormat="1" applyFont="1"/>
    <xf numFmtId="1" fontId="29" fillId="0" borderId="0" xfId="0" applyNumberFormat="1" applyFont="1"/>
    <xf numFmtId="168" fontId="1" fillId="3" borderId="25" xfId="136" applyNumberFormat="1" applyFont="1" applyFill="1" applyBorder="1" applyAlignment="1">
      <alignment horizontal="center"/>
    </xf>
    <xf numFmtId="168" fontId="29" fillId="3" borderId="25" xfId="136" applyNumberFormat="1" applyFont="1" applyFill="1" applyBorder="1" applyAlignment="1">
      <alignment horizontal="center"/>
    </xf>
    <xf numFmtId="168" fontId="0" fillId="6" borderId="25" xfId="136" applyNumberFormat="1" applyFont="1" applyFill="1" applyBorder="1" applyAlignment="1">
      <alignment horizontal="center"/>
    </xf>
    <xf numFmtId="168" fontId="0" fillId="4" borderId="25" xfId="136" applyNumberFormat="1" applyFont="1" applyFill="1" applyBorder="1" applyAlignment="1">
      <alignment horizontal="center"/>
    </xf>
    <xf numFmtId="0" fontId="0" fillId="0" borderId="69" xfId="0" applyBorder="1"/>
    <xf numFmtId="0" fontId="4" fillId="0" borderId="22" xfId="2" applyFont="1" applyBorder="1" applyAlignment="1">
      <alignment vertical="center"/>
    </xf>
    <xf numFmtId="0" fontId="4" fillId="0" borderId="0" xfId="2" applyFont="1" applyAlignment="1">
      <alignment vertical="center"/>
    </xf>
    <xf numFmtId="0" fontId="4" fillId="0" borderId="72" xfId="2" applyFont="1" applyBorder="1" applyAlignment="1">
      <alignment vertical="center"/>
    </xf>
    <xf numFmtId="1" fontId="0" fillId="0" borderId="25" xfId="0" applyNumberFormat="1" applyBorder="1" applyAlignment="1">
      <alignment horizontal="left"/>
    </xf>
    <xf numFmtId="1" fontId="0" fillId="0" borderId="25" xfId="0" applyNumberFormat="1" applyBorder="1" applyAlignment="1">
      <alignment horizontal="center"/>
    </xf>
    <xf numFmtId="171" fontId="0" fillId="0" borderId="25" xfId="0" applyNumberFormat="1" applyBorder="1" applyAlignment="1">
      <alignment horizontal="center"/>
    </xf>
    <xf numFmtId="0" fontId="0" fillId="0" borderId="68" xfId="0" applyBorder="1"/>
    <xf numFmtId="2" fontId="0" fillId="3" borderId="25" xfId="0" applyNumberFormat="1" applyFill="1" applyBorder="1" applyAlignment="1">
      <alignment horizontal="center"/>
    </xf>
    <xf numFmtId="1" fontId="0" fillId="3" borderId="25" xfId="0" applyNumberFormat="1" applyFill="1" applyBorder="1" applyAlignment="1">
      <alignment horizontal="center"/>
    </xf>
    <xf numFmtId="164" fontId="0" fillId="4" borderId="25" xfId="0" applyNumberFormat="1" applyFill="1" applyBorder="1" applyAlignment="1">
      <alignment horizontal="center"/>
    </xf>
    <xf numFmtId="0" fontId="0" fillId="0" borderId="24" xfId="0" applyBorder="1" applyAlignment="1">
      <alignment horizontal="center"/>
    </xf>
    <xf numFmtId="2" fontId="0" fillId="3" borderId="24" xfId="0" applyNumberFormat="1" applyFill="1" applyBorder="1" applyAlignment="1">
      <alignment horizontal="center"/>
    </xf>
    <xf numFmtId="2" fontId="0" fillId="3" borderId="73" xfId="0" applyNumberFormat="1" applyFill="1" applyBorder="1" applyAlignment="1">
      <alignment horizontal="center"/>
    </xf>
    <xf numFmtId="2" fontId="0" fillId="4" borderId="25" xfId="0" applyNumberFormat="1" applyFill="1" applyBorder="1" applyAlignment="1">
      <alignment horizontal="center"/>
    </xf>
    <xf numFmtId="0" fontId="0" fillId="0" borderId="73" xfId="0" applyBorder="1" applyAlignment="1">
      <alignment horizontal="left"/>
    </xf>
    <xf numFmtId="0" fontId="0" fillId="0" borderId="24" xfId="0" applyBorder="1" applyAlignment="1">
      <alignment horizontal="left"/>
    </xf>
    <xf numFmtId="6" fontId="2" fillId="0" borderId="68" xfId="0" applyNumberFormat="1" applyFont="1" applyBorder="1"/>
    <xf numFmtId="168" fontId="0" fillId="0" borderId="25" xfId="136" applyNumberFormat="1" applyFont="1" applyFill="1" applyBorder="1" applyAlignment="1">
      <alignment horizontal="center"/>
    </xf>
    <xf numFmtId="164" fontId="18" fillId="0" borderId="0" xfId="0" applyNumberFormat="1" applyFont="1"/>
    <xf numFmtId="168" fontId="0" fillId="3" borderId="25" xfId="136" applyNumberFormat="1" applyFont="1" applyFill="1" applyBorder="1" applyAlignment="1">
      <alignment horizontal="right"/>
    </xf>
    <xf numFmtId="11" fontId="0" fillId="3" borderId="25" xfId="0" applyNumberFormat="1" applyFill="1" applyBorder="1" applyAlignment="1">
      <alignment horizontal="right"/>
    </xf>
    <xf numFmtId="0" fontId="0" fillId="0" borderId="73" xfId="0" applyBorder="1" applyAlignment="1">
      <alignment horizontal="center"/>
    </xf>
    <xf numFmtId="1" fontId="0" fillId="0" borderId="73" xfId="0" applyNumberFormat="1" applyBorder="1" applyAlignment="1">
      <alignment horizontal="center"/>
    </xf>
    <xf numFmtId="1" fontId="0" fillId="3" borderId="73" xfId="0" applyNumberFormat="1" applyFill="1" applyBorder="1" applyAlignment="1">
      <alignment horizontal="center"/>
    </xf>
    <xf numFmtId="0" fontId="0" fillId="3" borderId="24" xfId="0" applyFill="1" applyBorder="1" applyAlignment="1">
      <alignment horizontal="center"/>
    </xf>
    <xf numFmtId="171" fontId="0" fillId="0" borderId="73" xfId="0" applyNumberFormat="1" applyBorder="1" applyAlignment="1">
      <alignment horizontal="center"/>
    </xf>
    <xf numFmtId="168" fontId="0" fillId="3" borderId="25" xfId="136" applyNumberFormat="1" applyFont="1" applyFill="1" applyBorder="1" applyAlignment="1">
      <alignment horizontal="center"/>
    </xf>
    <xf numFmtId="0" fontId="5" fillId="0" borderId="0" xfId="20" applyAlignment="1">
      <alignment vertical="center"/>
    </xf>
    <xf numFmtId="164" fontId="5" fillId="0" borderId="0" xfId="20" applyNumberFormat="1" applyAlignment="1">
      <alignment vertical="center"/>
    </xf>
    <xf numFmtId="0" fontId="5" fillId="8" borderId="0" xfId="20" applyFill="1" applyAlignment="1">
      <alignment vertical="center"/>
    </xf>
    <xf numFmtId="0" fontId="5" fillId="8" borderId="0" xfId="6" applyFill="1"/>
    <xf numFmtId="0" fontId="31" fillId="8" borderId="0" xfId="20" applyFont="1" applyFill="1" applyAlignment="1">
      <alignment horizontal="left" vertical="center" indent="8"/>
    </xf>
    <xf numFmtId="0" fontId="5" fillId="0" borderId="42" xfId="20" applyBorder="1" applyAlignment="1">
      <alignment vertical="center"/>
    </xf>
    <xf numFmtId="0" fontId="32" fillId="0" borderId="42" xfId="20" applyFont="1" applyBorder="1" applyAlignment="1">
      <alignment horizontal="right" vertical="center"/>
    </xf>
    <xf numFmtId="0" fontId="33" fillId="0" borderId="0" xfId="20" applyFont="1" applyAlignment="1">
      <alignment horizontal="right" vertical="center"/>
    </xf>
    <xf numFmtId="0" fontId="34" fillId="0" borderId="42" xfId="20" applyFont="1" applyBorder="1" applyAlignment="1">
      <alignment vertical="center"/>
    </xf>
    <xf numFmtId="0" fontId="35" fillId="0" borderId="0" xfId="20" applyFont="1" applyAlignment="1">
      <alignment vertical="center"/>
    </xf>
    <xf numFmtId="0" fontId="5" fillId="0" borderId="4" xfId="20" applyBorder="1" applyAlignment="1">
      <alignment vertical="center"/>
    </xf>
    <xf numFmtId="164" fontId="33" fillId="0" borderId="0" xfId="20" applyNumberFormat="1" applyFont="1" applyAlignment="1">
      <alignment horizontal="right" vertical="center"/>
    </xf>
    <xf numFmtId="0" fontId="33" fillId="0" borderId="0" xfId="20" applyFont="1" applyAlignment="1">
      <alignment vertical="center"/>
    </xf>
    <xf numFmtId="0" fontId="36" fillId="0" borderId="0" xfId="20" applyFont="1" applyAlignment="1">
      <alignment vertical="center"/>
    </xf>
    <xf numFmtId="0" fontId="36" fillId="8" borderId="0" xfId="141" applyFont="1" applyFill="1" applyBorder="1" applyAlignment="1">
      <alignment vertical="center"/>
    </xf>
    <xf numFmtId="164" fontId="37" fillId="8" borderId="0" xfId="141" applyNumberFormat="1" applyFont="1" applyFill="1" applyBorder="1" applyAlignment="1">
      <alignment horizontal="center" vertical="center"/>
    </xf>
    <xf numFmtId="164" fontId="37" fillId="9" borderId="74" xfId="141" applyNumberFormat="1" applyFont="1" applyFill="1" applyBorder="1" applyAlignment="1">
      <alignment horizontal="center" vertical="center" wrapText="1"/>
    </xf>
    <xf numFmtId="0" fontId="36" fillId="8" borderId="0" xfId="20" applyFont="1" applyFill="1" applyAlignment="1">
      <alignment vertical="center"/>
    </xf>
    <xf numFmtId="0" fontId="38" fillId="8" borderId="0" xfId="20" applyFont="1" applyFill="1" applyAlignment="1">
      <alignment vertical="center"/>
    </xf>
    <xf numFmtId="169" fontId="38" fillId="8" borderId="0" xfId="20" applyNumberFormat="1" applyFont="1" applyFill="1" applyAlignment="1">
      <alignment vertical="center"/>
    </xf>
    <xf numFmtId="0" fontId="5" fillId="8" borderId="0" xfId="20" applyFill="1" applyAlignment="1">
      <alignment horizontal="center" vertical="center"/>
    </xf>
    <xf numFmtId="164" fontId="37" fillId="3" borderId="43" xfId="141" applyNumberFormat="1" applyFont="1" applyFill="1" applyBorder="1" applyAlignment="1">
      <alignment horizontal="center" vertical="center" wrapText="1"/>
    </xf>
    <xf numFmtId="0" fontId="5" fillId="8" borderId="0" xfId="20" applyFill="1" applyAlignment="1">
      <alignment vertical="center" wrapText="1"/>
    </xf>
    <xf numFmtId="164" fontId="37" fillId="8" borderId="0" xfId="141" applyNumberFormat="1" applyFont="1" applyFill="1" applyBorder="1" applyAlignment="1">
      <alignment horizontal="center" vertical="center" wrapText="1"/>
    </xf>
    <xf numFmtId="0" fontId="5" fillId="8" borderId="0" xfId="20" applyFill="1" applyAlignment="1">
      <alignment horizontal="left" vertical="center"/>
    </xf>
    <xf numFmtId="0" fontId="39" fillId="8" borderId="0" xfId="141" applyFont="1" applyFill="1" applyBorder="1" applyAlignment="1">
      <alignment horizontal="left" vertical="center" wrapText="1"/>
    </xf>
    <xf numFmtId="0" fontId="38" fillId="0" borderId="0" xfId="20" applyFont="1" applyAlignment="1">
      <alignment vertical="center"/>
    </xf>
    <xf numFmtId="169" fontId="38" fillId="0" borderId="0" xfId="20" applyNumberFormat="1" applyFont="1" applyAlignment="1">
      <alignment vertical="center"/>
    </xf>
    <xf numFmtId="0" fontId="39" fillId="0" borderId="0" xfId="20" applyFont="1" applyAlignment="1">
      <alignment vertical="center"/>
    </xf>
    <xf numFmtId="164" fontId="37" fillId="10" borderId="20" xfId="141" applyNumberFormat="1" applyFont="1" applyFill="1" applyBorder="1" applyAlignment="1">
      <alignment horizontal="center" vertical="center"/>
    </xf>
    <xf numFmtId="164" fontId="37" fillId="10" borderId="44" xfId="141" applyNumberFormat="1" applyFont="1" applyFill="1" applyBorder="1" applyAlignment="1">
      <alignment horizontal="center" vertical="center"/>
    </xf>
    <xf numFmtId="0" fontId="5" fillId="8" borderId="0" xfId="141" applyFill="1" applyBorder="1" applyAlignment="1">
      <alignment vertical="center"/>
    </xf>
    <xf numFmtId="164" fontId="5" fillId="8" borderId="0" xfId="141" applyNumberFormat="1" applyFill="1" applyBorder="1" applyAlignment="1">
      <alignment horizontal="center" vertical="center"/>
    </xf>
    <xf numFmtId="9" fontId="5" fillId="8" borderId="0" xfId="141" applyNumberFormat="1" applyFill="1" applyBorder="1" applyAlignment="1">
      <alignment horizontal="center" vertical="center"/>
    </xf>
    <xf numFmtId="164" fontId="5" fillId="11" borderId="19" xfId="141" applyNumberFormat="1" applyFill="1" applyBorder="1" applyAlignment="1">
      <alignment horizontal="center" vertical="center"/>
    </xf>
    <xf numFmtId="164" fontId="5" fillId="11" borderId="25" xfId="141" applyNumberFormat="1" applyFill="1" applyBorder="1" applyAlignment="1">
      <alignment horizontal="center" vertical="center"/>
    </xf>
    <xf numFmtId="164" fontId="5" fillId="12" borderId="25" xfId="141" applyNumberFormat="1" applyFill="1" applyBorder="1" applyAlignment="1">
      <alignment horizontal="center" vertical="center"/>
    </xf>
    <xf numFmtId="164" fontId="5" fillId="12" borderId="25" xfId="20" applyNumberFormat="1" applyFill="1" applyBorder="1" applyAlignment="1">
      <alignment horizontal="center" vertical="center"/>
    </xf>
    <xf numFmtId="0" fontId="5" fillId="8" borderId="25" xfId="141" applyFill="1" applyBorder="1" applyAlignment="1">
      <alignment vertical="center"/>
    </xf>
    <xf numFmtId="0" fontId="5" fillId="12" borderId="25" xfId="141" applyFill="1" applyBorder="1" applyAlignment="1">
      <alignment vertical="center"/>
    </xf>
    <xf numFmtId="0" fontId="30" fillId="13" borderId="25" xfId="20" applyFont="1" applyFill="1" applyBorder="1" applyAlignment="1">
      <alignment vertical="top"/>
    </xf>
    <xf numFmtId="0" fontId="42" fillId="14" borderId="45" xfId="141" applyFont="1" applyFill="1" applyBorder="1" applyAlignment="1">
      <alignment horizontal="center" vertical="center" textRotation="90" wrapText="1"/>
    </xf>
    <xf numFmtId="0" fontId="43" fillId="0" borderId="0" xfId="20" applyFont="1" applyAlignment="1">
      <alignment vertical="center"/>
    </xf>
    <xf numFmtId="0" fontId="43" fillId="0" borderId="0" xfId="20" applyFont="1" applyAlignment="1">
      <alignment vertical="center" wrapText="1"/>
    </xf>
    <xf numFmtId="0" fontId="44" fillId="8" borderId="0" xfId="20" applyFont="1" applyFill="1" applyAlignment="1">
      <alignment horizontal="center" vertical="center" wrapText="1"/>
    </xf>
    <xf numFmtId="0" fontId="44" fillId="8" borderId="0" xfId="20" applyFont="1" applyFill="1" applyAlignment="1">
      <alignment horizontal="center" vertical="center"/>
    </xf>
    <xf numFmtId="0" fontId="45" fillId="8" borderId="0" xfId="20" applyFont="1" applyFill="1" applyAlignment="1">
      <alignment vertical="center"/>
    </xf>
    <xf numFmtId="0" fontId="46" fillId="8" borderId="0" xfId="20" applyFont="1" applyFill="1" applyAlignment="1">
      <alignment vertical="center"/>
    </xf>
    <xf numFmtId="0" fontId="47" fillId="8" borderId="0" xfId="20" applyFont="1" applyFill="1"/>
    <xf numFmtId="164" fontId="48" fillId="8" borderId="0" xfId="141" applyNumberFormat="1" applyFont="1" applyFill="1" applyBorder="1" applyAlignment="1">
      <alignment horizontal="center" vertical="center" wrapText="1"/>
    </xf>
    <xf numFmtId="164" fontId="48" fillId="8" borderId="0" xfId="141" applyNumberFormat="1" applyFont="1" applyFill="1" applyBorder="1" applyAlignment="1">
      <alignment horizontal="center" vertical="center"/>
    </xf>
    <xf numFmtId="0" fontId="33" fillId="8" borderId="0" xfId="20" applyFont="1" applyFill="1" applyAlignment="1">
      <alignment horizontal="center" vertical="center"/>
    </xf>
    <xf numFmtId="164" fontId="5" fillId="0" borderId="0" xfId="141" applyNumberFormat="1" applyAlignment="1">
      <alignment vertical="center"/>
    </xf>
    <xf numFmtId="0" fontId="5" fillId="0" borderId="0" xfId="141" applyAlignment="1">
      <alignment vertical="center"/>
    </xf>
    <xf numFmtId="0" fontId="46" fillId="0" borderId="0" xfId="141" quotePrefix="1" applyFont="1" applyAlignment="1">
      <alignment vertical="center"/>
    </xf>
    <xf numFmtId="0" fontId="37" fillId="8" borderId="0" xfId="141" applyFont="1" applyFill="1" applyBorder="1" applyAlignment="1">
      <alignment horizontal="center" vertical="center"/>
    </xf>
    <xf numFmtId="164" fontId="37" fillId="10" borderId="27" xfId="141" applyNumberFormat="1" applyFont="1" applyFill="1" applyBorder="1" applyAlignment="1">
      <alignment horizontal="center" vertical="center"/>
    </xf>
    <xf numFmtId="164" fontId="37" fillId="10" borderId="75" xfId="141" applyNumberFormat="1" applyFont="1" applyFill="1" applyBorder="1" applyAlignment="1">
      <alignment horizontal="center" vertical="center"/>
    </xf>
    <xf numFmtId="164" fontId="37" fillId="10" borderId="74" xfId="141" applyNumberFormat="1" applyFont="1" applyFill="1" applyBorder="1" applyAlignment="1">
      <alignment horizontal="center" vertical="center"/>
    </xf>
    <xf numFmtId="0" fontId="40" fillId="10" borderId="42" xfId="20" applyFont="1" applyFill="1" applyBorder="1" applyAlignment="1">
      <alignment horizontal="left" vertical="center"/>
    </xf>
    <xf numFmtId="0" fontId="39" fillId="10" borderId="33" xfId="141" applyFont="1" applyFill="1" applyBorder="1" applyAlignment="1">
      <alignment horizontal="left" vertical="center"/>
    </xf>
    <xf numFmtId="164" fontId="49" fillId="8" borderId="0" xfId="141" applyNumberFormat="1" applyFont="1" applyFill="1" applyBorder="1" applyAlignment="1">
      <alignment horizontal="center" vertical="center"/>
    </xf>
    <xf numFmtId="164" fontId="49" fillId="15" borderId="27" xfId="141" applyNumberFormat="1" applyFont="1" applyFill="1" applyBorder="1" applyAlignment="1">
      <alignment horizontal="center" vertical="center"/>
    </xf>
    <xf numFmtId="164" fontId="37" fillId="14" borderId="75" xfId="141" applyNumberFormat="1" applyFont="1" applyFill="1" applyBorder="1" applyAlignment="1">
      <alignment horizontal="center"/>
    </xf>
    <xf numFmtId="164" fontId="37" fillId="16" borderId="74" xfId="141" applyNumberFormat="1" applyFont="1" applyFill="1" applyBorder="1" applyAlignment="1">
      <alignment horizontal="center"/>
    </xf>
    <xf numFmtId="164" fontId="37" fillId="16" borderId="76" xfId="141" applyNumberFormat="1" applyFont="1" applyFill="1" applyBorder="1" applyAlignment="1">
      <alignment horizontal="center"/>
    </xf>
    <xf numFmtId="0" fontId="50" fillId="16" borderId="27" xfId="141" applyFont="1" applyFill="1" applyBorder="1" applyAlignment="1">
      <alignment horizontal="left" vertical="center"/>
    </xf>
    <xf numFmtId="0" fontId="50" fillId="16" borderId="42" xfId="141" applyFont="1" applyFill="1" applyBorder="1" applyAlignment="1">
      <alignment horizontal="left" vertical="center"/>
    </xf>
    <xf numFmtId="0" fontId="5" fillId="0" borderId="72" xfId="141" applyBorder="1" applyAlignment="1">
      <alignment vertical="center"/>
    </xf>
    <xf numFmtId="164" fontId="5" fillId="17" borderId="16" xfId="141" applyNumberFormat="1" applyFill="1" applyBorder="1" applyAlignment="1">
      <alignment horizontal="center" vertical="center"/>
    </xf>
    <xf numFmtId="9" fontId="5" fillId="17" borderId="43" xfId="141" applyNumberFormat="1" applyFill="1" applyBorder="1" applyAlignment="1">
      <alignment horizontal="center" vertical="center"/>
    </xf>
    <xf numFmtId="164" fontId="5" fillId="11" borderId="46" xfId="141" applyNumberFormat="1" applyFill="1" applyBorder="1" applyAlignment="1">
      <alignment horizontal="center" vertical="center"/>
    </xf>
    <xf numFmtId="9" fontId="5" fillId="12" borderId="30" xfId="141" applyNumberFormat="1" applyFill="1" applyBorder="1" applyAlignment="1">
      <alignment horizontal="center" vertical="center"/>
    </xf>
    <xf numFmtId="164" fontId="5" fillId="12" borderId="26" xfId="141" applyNumberFormat="1" applyFill="1" applyBorder="1" applyAlignment="1">
      <alignment horizontal="center"/>
    </xf>
    <xf numFmtId="164" fontId="5" fillId="11" borderId="24" xfId="141" applyNumberFormat="1" applyFill="1" applyBorder="1" applyAlignment="1">
      <alignment horizontal="center" vertical="center"/>
    </xf>
    <xf numFmtId="164" fontId="5" fillId="12" borderId="71" xfId="141" applyNumberFormat="1" applyFill="1" applyBorder="1" applyAlignment="1">
      <alignment horizontal="center" vertical="center"/>
    </xf>
    <xf numFmtId="164" fontId="5" fillId="12" borderId="24" xfId="20" applyNumberFormat="1" applyFill="1" applyBorder="1" applyAlignment="1">
      <alignment horizontal="center" vertical="center"/>
    </xf>
    <xf numFmtId="0" fontId="5" fillId="0" borderId="25" xfId="141" applyBorder="1" applyAlignment="1">
      <alignment vertical="center"/>
    </xf>
    <xf numFmtId="9" fontId="5" fillId="12" borderId="37" xfId="141" applyNumberFormat="1" applyFill="1" applyBorder="1" applyAlignment="1">
      <alignment horizontal="center" vertical="center"/>
    </xf>
    <xf numFmtId="0" fontId="5" fillId="0" borderId="0" xfId="141" applyBorder="1" applyAlignment="1">
      <alignment vertical="center"/>
    </xf>
    <xf numFmtId="0" fontId="5" fillId="18" borderId="24" xfId="141" applyFill="1" applyBorder="1" applyAlignment="1">
      <alignment vertical="center"/>
    </xf>
    <xf numFmtId="0" fontId="43" fillId="8" borderId="0" xfId="20" applyFont="1" applyFill="1" applyAlignment="1">
      <alignment vertical="center"/>
    </xf>
    <xf numFmtId="0" fontId="52" fillId="8" borderId="0" xfId="20" applyFont="1" applyFill="1" applyAlignment="1">
      <alignment vertical="center"/>
    </xf>
    <xf numFmtId="0" fontId="53" fillId="8" borderId="0" xfId="20" applyFont="1" applyFill="1" applyAlignment="1">
      <alignment vertical="center"/>
    </xf>
    <xf numFmtId="9" fontId="5" fillId="12" borderId="28" xfId="141" applyNumberFormat="1" applyFill="1" applyBorder="1" applyAlignment="1">
      <alignment horizontal="center" vertical="center"/>
    </xf>
    <xf numFmtId="0" fontId="44" fillId="5" borderId="20" xfId="20" applyFont="1" applyFill="1" applyBorder="1" applyAlignment="1">
      <alignment horizontal="center" vertical="center"/>
    </xf>
    <xf numFmtId="0" fontId="44" fillId="5" borderId="44" xfId="20" applyFont="1" applyFill="1" applyBorder="1" applyAlignment="1">
      <alignment horizontal="center" vertical="center"/>
    </xf>
    <xf numFmtId="0" fontId="44" fillId="5" borderId="29" xfId="20" applyFont="1" applyFill="1" applyBorder="1" applyAlignment="1">
      <alignment horizontal="center" vertical="center"/>
    </xf>
    <xf numFmtId="0" fontId="5" fillId="15" borderId="63" xfId="20" applyFill="1" applyBorder="1" applyAlignment="1">
      <alignment vertical="center"/>
    </xf>
    <xf numFmtId="0" fontId="5" fillId="15" borderId="2" xfId="20" applyFill="1" applyBorder="1" applyAlignment="1">
      <alignment vertical="center"/>
    </xf>
    <xf numFmtId="0" fontId="32" fillId="15" borderId="2" xfId="20" applyFont="1" applyFill="1" applyBorder="1" applyAlignment="1">
      <alignment vertical="center"/>
    </xf>
    <xf numFmtId="0" fontId="32" fillId="15" borderId="2" xfId="6" applyFont="1" applyFill="1" applyBorder="1"/>
    <xf numFmtId="0" fontId="54" fillId="15" borderId="1" xfId="20" applyFont="1" applyFill="1" applyBorder="1" applyAlignment="1">
      <alignment vertical="center"/>
    </xf>
    <xf numFmtId="164" fontId="37" fillId="10" borderId="31" xfId="141" applyNumberFormat="1" applyFont="1" applyFill="1" applyBorder="1" applyAlignment="1">
      <alignment horizontal="center" vertical="center"/>
    </xf>
    <xf numFmtId="0" fontId="38" fillId="8" borderId="0" xfId="20" applyFont="1" applyFill="1"/>
    <xf numFmtId="0" fontId="38" fillId="19" borderId="27" xfId="20" applyFont="1" applyFill="1" applyBorder="1"/>
    <xf numFmtId="164" fontId="37" fillId="19" borderId="42" xfId="141" applyNumberFormat="1" applyFont="1" applyFill="1" applyBorder="1" applyAlignment="1">
      <alignment horizontal="center" wrapText="1"/>
    </xf>
    <xf numFmtId="164" fontId="37" fillId="19" borderId="42" xfId="141" applyNumberFormat="1" applyFont="1" applyFill="1" applyBorder="1" applyAlignment="1">
      <alignment horizontal="center"/>
    </xf>
    <xf numFmtId="0" fontId="36" fillId="19" borderId="42" xfId="141" applyFont="1" applyFill="1" applyBorder="1" applyAlignment="1">
      <alignment horizontal="right"/>
    </xf>
    <xf numFmtId="0" fontId="37" fillId="19" borderId="42" xfId="141" applyFont="1" applyFill="1" applyBorder="1" applyAlignment="1">
      <alignment horizontal="right"/>
    </xf>
    <xf numFmtId="0" fontId="5" fillId="19" borderId="3" xfId="20" applyFill="1" applyBorder="1" applyAlignment="1">
      <alignment vertical="center" wrapText="1"/>
    </xf>
    <xf numFmtId="164" fontId="49" fillId="0" borderId="40" xfId="141" applyNumberFormat="1" applyFont="1" applyBorder="1" applyAlignment="1">
      <alignment horizontal="center" vertical="center"/>
    </xf>
    <xf numFmtId="164" fontId="37" fillId="14" borderId="74" xfId="141" applyNumberFormat="1" applyFont="1" applyFill="1" applyBorder="1" applyAlignment="1">
      <alignment horizontal="center"/>
    </xf>
    <xf numFmtId="164" fontId="5" fillId="17" borderId="17" xfId="141" applyNumberFormat="1" applyFill="1" applyBorder="1" applyAlignment="1">
      <alignment horizontal="center" vertical="center"/>
    </xf>
    <xf numFmtId="9" fontId="5" fillId="17" borderId="78" xfId="141" applyNumberFormat="1" applyFill="1" applyBorder="1" applyAlignment="1">
      <alignment horizontal="center" vertical="center"/>
    </xf>
    <xf numFmtId="164" fontId="5" fillId="11" borderId="78" xfId="141" applyNumberFormat="1" applyFill="1" applyBorder="1" applyAlignment="1">
      <alignment horizontal="center" vertical="center"/>
    </xf>
    <xf numFmtId="164" fontId="5" fillId="11" borderId="26" xfId="141" applyNumberFormat="1" applyFill="1" applyBorder="1" applyAlignment="1">
      <alignment horizontal="center"/>
    </xf>
    <xf numFmtId="164" fontId="5" fillId="11" borderId="23" xfId="141" applyNumberFormat="1" applyFill="1" applyBorder="1" applyAlignment="1">
      <alignment horizontal="center" vertical="center"/>
    </xf>
    <xf numFmtId="164" fontId="5" fillId="12" borderId="79" xfId="141" applyNumberFormat="1" applyFill="1" applyBorder="1" applyAlignment="1">
      <alignment horizontal="center" vertical="center"/>
    </xf>
    <xf numFmtId="164" fontId="5" fillId="12" borderId="62" xfId="20" applyNumberFormat="1" applyFill="1" applyBorder="1" applyAlignment="1">
      <alignment horizontal="center" vertical="center"/>
    </xf>
    <xf numFmtId="0" fontId="5" fillId="18" borderId="23" xfId="141" applyFill="1" applyBorder="1" applyAlignment="1">
      <alignment vertical="center"/>
    </xf>
    <xf numFmtId="0" fontId="5" fillId="0" borderId="61" xfId="20" applyBorder="1" applyAlignment="1">
      <alignment vertical="center"/>
    </xf>
    <xf numFmtId="164" fontId="5" fillId="17" borderId="38" xfId="141" applyNumberFormat="1" applyFill="1" applyBorder="1" applyAlignment="1">
      <alignment horizontal="center" vertical="center"/>
    </xf>
    <xf numFmtId="9" fontId="5" fillId="17" borderId="24" xfId="141" applyNumberFormat="1" applyFill="1" applyBorder="1" applyAlignment="1">
      <alignment horizontal="center" vertical="center"/>
    </xf>
    <xf numFmtId="164" fontId="5" fillId="12" borderId="21" xfId="141" applyNumberFormat="1" applyFill="1" applyBorder="1" applyAlignment="1">
      <alignment horizontal="center" vertical="center"/>
    </xf>
    <xf numFmtId="0" fontId="5" fillId="0" borderId="45" xfId="141" applyBorder="1" applyAlignment="1">
      <alignment vertical="center"/>
    </xf>
    <xf numFmtId="0" fontId="48" fillId="8" borderId="0" xfId="141" applyFont="1" applyFill="1" applyBorder="1" applyAlignment="1">
      <alignment horizontal="center" vertical="center"/>
    </xf>
    <xf numFmtId="0" fontId="48" fillId="5" borderId="63" xfId="141" applyFont="1" applyFill="1" applyBorder="1" applyAlignment="1">
      <alignment horizontal="center" vertical="center"/>
    </xf>
    <xf numFmtId="0" fontId="48" fillId="5" borderId="16" xfId="141" applyFont="1" applyFill="1" applyBorder="1" applyAlignment="1">
      <alignment horizontal="center" vertical="center"/>
    </xf>
    <xf numFmtId="0" fontId="48" fillId="5" borderId="46" xfId="141" applyFont="1" applyFill="1" applyBorder="1" applyAlignment="1">
      <alignment horizontal="center" vertical="center"/>
    </xf>
    <xf numFmtId="0" fontId="48" fillId="5" borderId="32" xfId="141" applyFont="1" applyFill="1" applyBorder="1" applyAlignment="1">
      <alignment horizontal="center" vertical="center"/>
    </xf>
    <xf numFmtId="0" fontId="48" fillId="5" borderId="52" xfId="141" applyFont="1" applyFill="1" applyBorder="1" applyAlignment="1">
      <alignment horizontal="center" vertical="center"/>
    </xf>
    <xf numFmtId="0" fontId="30" fillId="13" borderId="80" xfId="20" applyFont="1" applyFill="1" applyBorder="1"/>
    <xf numFmtId="0" fontId="38" fillId="0" borderId="0" xfId="20" applyFont="1"/>
    <xf numFmtId="0" fontId="38" fillId="0" borderId="65" xfId="20" applyFont="1" applyBorder="1"/>
    <xf numFmtId="164" fontId="37" fillId="8" borderId="0" xfId="141" applyNumberFormat="1" applyFont="1" applyFill="1" applyBorder="1" applyAlignment="1">
      <alignment horizontal="center"/>
    </xf>
    <xf numFmtId="164" fontId="37" fillId="8" borderId="26" xfId="141" applyNumberFormat="1" applyFont="1" applyFill="1" applyBorder="1" applyAlignment="1">
      <alignment horizontal="center"/>
    </xf>
    <xf numFmtId="0" fontId="37" fillId="8" borderId="26" xfId="141" applyFont="1" applyFill="1" applyBorder="1" applyAlignment="1">
      <alignment horizontal="right"/>
    </xf>
    <xf numFmtId="0" fontId="37" fillId="8" borderId="36" xfId="141" applyFont="1" applyFill="1" applyBorder="1" applyAlignment="1">
      <alignment horizontal="right"/>
    </xf>
    <xf numFmtId="164" fontId="49" fillId="0" borderId="0" xfId="141" applyNumberFormat="1" applyFont="1" applyBorder="1" applyAlignment="1">
      <alignment horizontal="center" vertical="center"/>
    </xf>
    <xf numFmtId="164" fontId="49" fillId="0" borderId="27" xfId="141" applyNumberFormat="1" applyFont="1" applyBorder="1" applyAlignment="1">
      <alignment horizontal="center" vertical="center"/>
    </xf>
    <xf numFmtId="0" fontId="55" fillId="0" borderId="0" xfId="20" applyFont="1" applyAlignment="1">
      <alignment vertical="center"/>
    </xf>
    <xf numFmtId="164" fontId="5" fillId="17" borderId="67" xfId="141" applyNumberFormat="1" applyFill="1" applyBorder="1" applyAlignment="1">
      <alignment horizontal="center" vertical="center"/>
    </xf>
    <xf numFmtId="9" fontId="5" fillId="17" borderId="23" xfId="141" applyNumberFormat="1" applyFill="1" applyBorder="1" applyAlignment="1">
      <alignment horizontal="center" vertical="center"/>
    </xf>
    <xf numFmtId="9" fontId="5" fillId="12" borderId="66" xfId="141" applyNumberFormat="1" applyFill="1" applyBorder="1" applyAlignment="1">
      <alignment horizontal="center" vertical="center"/>
    </xf>
    <xf numFmtId="0" fontId="5" fillId="0" borderId="45" xfId="20" applyBorder="1" applyAlignment="1">
      <alignment vertical="center"/>
    </xf>
    <xf numFmtId="0" fontId="56" fillId="8" borderId="0" xfId="20" applyFont="1" applyFill="1" applyAlignment="1">
      <alignment horizontal="left" vertical="center" indent="12"/>
    </xf>
    <xf numFmtId="0" fontId="32" fillId="8" borderId="0" xfId="20" applyFont="1" applyFill="1" applyAlignment="1">
      <alignment vertical="center"/>
    </xf>
    <xf numFmtId="0" fontId="57" fillId="8" borderId="0" xfId="20" applyFont="1" applyFill="1" applyAlignment="1">
      <alignment vertical="center"/>
    </xf>
    <xf numFmtId="164" fontId="32" fillId="8" borderId="0" xfId="141" applyNumberFormat="1" applyFont="1" applyFill="1" applyBorder="1" applyAlignment="1">
      <alignment vertical="center"/>
    </xf>
    <xf numFmtId="0" fontId="32" fillId="8" borderId="0" xfId="20" applyFont="1" applyFill="1" applyAlignment="1">
      <alignment vertical="center" wrapText="1"/>
    </xf>
    <xf numFmtId="0" fontId="32" fillId="8" borderId="0" xfId="6" applyFont="1" applyFill="1"/>
    <xf numFmtId="0" fontId="51" fillId="8" borderId="0" xfId="20" applyFont="1" applyFill="1" applyAlignment="1">
      <alignment vertical="center"/>
    </xf>
    <xf numFmtId="0" fontId="30" fillId="13" borderId="81" xfId="20" applyFont="1" applyFill="1" applyBorder="1"/>
    <xf numFmtId="0" fontId="37" fillId="8" borderId="0" xfId="141" applyFont="1" applyFill="1" applyBorder="1" applyAlignment="1">
      <alignment horizontal="right" vertical="center" wrapText="1"/>
    </xf>
    <xf numFmtId="164" fontId="37" fillId="19" borderId="0" xfId="141" applyNumberFormat="1" applyFont="1" applyFill="1" applyBorder="1" applyAlignment="1">
      <alignment horizontal="center" vertical="center"/>
    </xf>
    <xf numFmtId="0" fontId="37" fillId="19" borderId="0" xfId="141" applyFont="1" applyFill="1" applyBorder="1" applyAlignment="1">
      <alignment horizontal="right" vertical="center" wrapText="1"/>
    </xf>
    <xf numFmtId="0" fontId="36" fillId="19" borderId="0" xfId="20" applyFont="1" applyFill="1" applyAlignment="1">
      <alignment vertical="center"/>
    </xf>
    <xf numFmtId="0" fontId="5" fillId="19" borderId="0" xfId="20" applyFill="1" applyAlignment="1">
      <alignment vertical="center"/>
    </xf>
    <xf numFmtId="0" fontId="36" fillId="8" borderId="0" xfId="20" applyFont="1" applyFill="1"/>
    <xf numFmtId="0" fontId="38" fillId="19" borderId="0" xfId="20" applyFont="1" applyFill="1"/>
    <xf numFmtId="0" fontId="38" fillId="8" borderId="63" xfId="20" applyFont="1" applyFill="1" applyBorder="1"/>
    <xf numFmtId="164" fontId="37" fillId="8" borderId="2" xfId="141" applyNumberFormat="1" applyFont="1" applyFill="1" applyBorder="1" applyAlignment="1">
      <alignment horizontal="center"/>
    </xf>
    <xf numFmtId="0" fontId="36" fillId="8" borderId="2" xfId="141" applyFont="1" applyFill="1" applyBorder="1" applyAlignment="1">
      <alignment horizontal="right"/>
    </xf>
    <xf numFmtId="0" fontId="37" fillId="8" borderId="2" xfId="141" applyFont="1" applyFill="1" applyBorder="1" applyAlignment="1">
      <alignment horizontal="right"/>
    </xf>
    <xf numFmtId="0" fontId="36" fillId="8" borderId="1" xfId="141" applyFont="1" applyFill="1" applyBorder="1" applyAlignment="1">
      <alignment horizontal="center" wrapText="1"/>
    </xf>
    <xf numFmtId="0" fontId="36" fillId="19" borderId="0" xfId="20" applyFont="1" applyFill="1"/>
    <xf numFmtId="0" fontId="38" fillId="19" borderId="63" xfId="20" applyFont="1" applyFill="1" applyBorder="1"/>
    <xf numFmtId="164" fontId="37" fillId="19" borderId="2" xfId="141" applyNumberFormat="1" applyFont="1" applyFill="1" applyBorder="1" applyAlignment="1">
      <alignment horizontal="center"/>
    </xf>
    <xf numFmtId="0" fontId="36" fillId="19" borderId="2" xfId="141" applyFont="1" applyFill="1" applyBorder="1" applyAlignment="1">
      <alignment horizontal="right"/>
    </xf>
    <xf numFmtId="0" fontId="37" fillId="19" borderId="2" xfId="141" applyFont="1" applyFill="1" applyBorder="1" applyAlignment="1">
      <alignment horizontal="right"/>
    </xf>
    <xf numFmtId="0" fontId="36" fillId="19" borderId="1" xfId="141" applyFont="1" applyFill="1" applyBorder="1" applyAlignment="1">
      <alignment horizontal="center" wrapText="1"/>
    </xf>
    <xf numFmtId="0" fontId="36" fillId="0" borderId="0" xfId="20" applyFont="1"/>
    <xf numFmtId="164" fontId="49" fillId="19" borderId="0" xfId="141" applyNumberFormat="1" applyFont="1" applyFill="1" applyBorder="1" applyAlignment="1">
      <alignment horizontal="center" vertical="center"/>
    </xf>
    <xf numFmtId="164" fontId="37" fillId="14" borderId="78" xfId="141" applyNumberFormat="1" applyFont="1" applyFill="1" applyBorder="1" applyAlignment="1">
      <alignment horizontal="center"/>
    </xf>
    <xf numFmtId="164" fontId="37" fillId="16" borderId="82" xfId="141" applyNumberFormat="1" applyFont="1" applyFill="1" applyBorder="1" applyAlignment="1">
      <alignment horizontal="center"/>
    </xf>
    <xf numFmtId="0" fontId="50" fillId="16" borderId="4" xfId="141" applyFont="1" applyFill="1" applyBorder="1" applyAlignment="1">
      <alignment horizontal="left" vertical="center"/>
    </xf>
    <xf numFmtId="0" fontId="50" fillId="16" borderId="77" xfId="141" applyFont="1" applyFill="1" applyBorder="1" applyAlignment="1">
      <alignment horizontal="left" vertical="center"/>
    </xf>
    <xf numFmtId="0" fontId="50" fillId="16" borderId="3" xfId="141" applyFont="1" applyFill="1" applyBorder="1" applyAlignment="1">
      <alignment horizontal="left" vertical="center"/>
    </xf>
    <xf numFmtId="0" fontId="38" fillId="8" borderId="40" xfId="20" applyFont="1" applyFill="1" applyBorder="1"/>
    <xf numFmtId="164" fontId="37" fillId="8" borderId="42" xfId="141" applyNumberFormat="1" applyFont="1" applyFill="1" applyBorder="1" applyAlignment="1">
      <alignment horizontal="center" wrapText="1"/>
    </xf>
    <xf numFmtId="164" fontId="37" fillId="8" borderId="42" xfId="141" applyNumberFormat="1" applyFont="1" applyFill="1" applyBorder="1" applyAlignment="1">
      <alignment horizontal="center"/>
    </xf>
    <xf numFmtId="0" fontId="36" fillId="8" borderId="42" xfId="141" applyFont="1" applyFill="1" applyBorder="1" applyAlignment="1">
      <alignment horizontal="right"/>
    </xf>
    <xf numFmtId="0" fontId="37" fillId="8" borderId="33" xfId="141" applyFont="1" applyFill="1" applyBorder="1" applyAlignment="1">
      <alignment horizontal="right"/>
    </xf>
    <xf numFmtId="164" fontId="37" fillId="14" borderId="16" xfId="141" applyNumberFormat="1" applyFont="1" applyFill="1" applyBorder="1" applyAlignment="1">
      <alignment horizontal="center"/>
    </xf>
    <xf numFmtId="164" fontId="37" fillId="20" borderId="46" xfId="141" applyNumberFormat="1" applyFont="1" applyFill="1" applyBorder="1" applyAlignment="1">
      <alignment horizontal="center"/>
    </xf>
    <xf numFmtId="164" fontId="37" fillId="20" borderId="60" xfId="141" applyNumberFormat="1" applyFont="1" applyFill="1" applyBorder="1" applyAlignment="1">
      <alignment horizontal="center"/>
    </xf>
    <xf numFmtId="0" fontId="36" fillId="20" borderId="2" xfId="141" applyFont="1" applyFill="1" applyBorder="1" applyAlignment="1">
      <alignment horizontal="right"/>
    </xf>
    <xf numFmtId="0" fontId="5" fillId="0" borderId="0" xfId="20"/>
    <xf numFmtId="0" fontId="43" fillId="0" borderId="0" xfId="20" applyFont="1"/>
    <xf numFmtId="0" fontId="43" fillId="19" borderId="0" xfId="20" applyFont="1" applyFill="1"/>
    <xf numFmtId="0" fontId="43" fillId="0" borderId="65" xfId="20" applyFont="1" applyBorder="1"/>
    <xf numFmtId="164" fontId="5" fillId="17" borderId="22" xfId="141" applyNumberFormat="1" applyFill="1" applyBorder="1" applyAlignment="1">
      <alignment horizontal="center" vertical="center"/>
    </xf>
    <xf numFmtId="9" fontId="5" fillId="12" borderId="23" xfId="141" applyNumberFormat="1" applyFill="1" applyBorder="1" applyAlignment="1">
      <alignment horizontal="center" vertical="center"/>
    </xf>
    <xf numFmtId="164" fontId="5" fillId="11" borderId="58" xfId="141" applyNumberFormat="1" applyFill="1" applyBorder="1" applyAlignment="1">
      <alignment horizontal="center"/>
    </xf>
    <xf numFmtId="164" fontId="5" fillId="11" borderId="62" xfId="141" applyNumberFormat="1" applyFill="1" applyBorder="1" applyAlignment="1">
      <alignment horizontal="center"/>
    </xf>
    <xf numFmtId="164" fontId="5" fillId="12" borderId="79" xfId="141" applyNumberFormat="1" applyFill="1" applyBorder="1" applyAlignment="1">
      <alignment horizontal="center"/>
    </xf>
    <xf numFmtId="164" fontId="5" fillId="12" borderId="62" xfId="141" applyNumberFormat="1" applyFill="1" applyBorder="1" applyAlignment="1">
      <alignment horizontal="center"/>
    </xf>
    <xf numFmtId="0" fontId="5" fillId="0" borderId="62" xfId="141" applyBorder="1" applyAlignment="1">
      <alignment horizontal="right" vertical="center"/>
    </xf>
    <xf numFmtId="0" fontId="5" fillId="0" borderId="61" xfId="141" applyBorder="1"/>
    <xf numFmtId="0" fontId="5" fillId="19" borderId="0" xfId="20" applyFill="1"/>
    <xf numFmtId="164" fontId="5" fillId="17" borderId="71" xfId="141" applyNumberFormat="1" applyFill="1" applyBorder="1" applyAlignment="1">
      <alignment horizontal="center" vertical="center"/>
    </xf>
    <xf numFmtId="9" fontId="5" fillId="12" borderId="24" xfId="141" applyNumberFormat="1" applyFill="1" applyBorder="1" applyAlignment="1">
      <alignment horizontal="center" vertical="center"/>
    </xf>
    <xf numFmtId="164" fontId="5" fillId="11" borderId="25" xfId="141" applyNumberFormat="1" applyFill="1" applyBorder="1" applyAlignment="1">
      <alignment horizontal="center"/>
    </xf>
    <xf numFmtId="164" fontId="5" fillId="12" borderId="21" xfId="141" applyNumberFormat="1" applyFill="1" applyBorder="1" applyAlignment="1">
      <alignment horizontal="center"/>
    </xf>
    <xf numFmtId="164" fontId="5" fillId="12" borderId="25" xfId="141" applyNumberFormat="1" applyFill="1" applyBorder="1" applyAlignment="1">
      <alignment horizontal="center"/>
    </xf>
    <xf numFmtId="0" fontId="5" fillId="0" borderId="25" xfId="141" applyBorder="1" applyAlignment="1">
      <alignment horizontal="right" vertical="center"/>
    </xf>
    <xf numFmtId="0" fontId="5" fillId="0" borderId="45" xfId="141" applyBorder="1"/>
    <xf numFmtId="0" fontId="5" fillId="0" borderId="62" xfId="141" applyBorder="1" applyAlignment="1">
      <alignment vertical="center"/>
    </xf>
    <xf numFmtId="0" fontId="5" fillId="0" borderId="25" xfId="141" applyBorder="1"/>
    <xf numFmtId="0" fontId="36" fillId="0" borderId="26" xfId="20" applyFont="1" applyBorder="1"/>
    <xf numFmtId="164" fontId="37" fillId="14" borderId="31" xfId="141" applyNumberFormat="1" applyFont="1" applyFill="1" applyBorder="1" applyAlignment="1">
      <alignment horizontal="center"/>
    </xf>
    <xf numFmtId="164" fontId="37" fillId="20" borderId="74" xfId="141" applyNumberFormat="1" applyFont="1" applyFill="1" applyBorder="1" applyAlignment="1">
      <alignment horizontal="center"/>
    </xf>
    <xf numFmtId="0" fontId="36" fillId="20" borderId="76" xfId="141" applyFont="1" applyFill="1" applyBorder="1" applyAlignment="1">
      <alignment horizontal="right"/>
    </xf>
    <xf numFmtId="164" fontId="5" fillId="11" borderId="24" xfId="141" applyNumberFormat="1" applyFill="1" applyBorder="1" applyAlignment="1">
      <alignment horizontal="center"/>
    </xf>
    <xf numFmtId="164" fontId="5" fillId="12" borderId="71" xfId="141" applyNumberFormat="1" applyFill="1" applyBorder="1" applyAlignment="1">
      <alignment horizontal="center"/>
    </xf>
    <xf numFmtId="164" fontId="5" fillId="12" borderId="24" xfId="141" applyNumberFormat="1" applyFill="1" applyBorder="1" applyAlignment="1">
      <alignment horizontal="center"/>
    </xf>
    <xf numFmtId="0" fontId="5" fillId="0" borderId="24" xfId="141" applyBorder="1"/>
    <xf numFmtId="0" fontId="37" fillId="20" borderId="76" xfId="141" applyFont="1" applyFill="1" applyBorder="1" applyAlignment="1">
      <alignment horizontal="right"/>
    </xf>
    <xf numFmtId="164" fontId="5" fillId="11" borderId="57" xfId="141" applyNumberFormat="1" applyFill="1" applyBorder="1" applyAlignment="1">
      <alignment horizontal="center"/>
    </xf>
    <xf numFmtId="164" fontId="5" fillId="11" borderId="23" xfId="141" applyNumberFormat="1" applyFill="1" applyBorder="1" applyAlignment="1">
      <alignment horizontal="center"/>
    </xf>
    <xf numFmtId="164" fontId="5" fillId="12" borderId="62" xfId="141" applyNumberFormat="1" applyFill="1" applyBorder="1" applyAlignment="1">
      <alignment horizontal="center" vertical="center"/>
    </xf>
    <xf numFmtId="0" fontId="43" fillId="0" borderId="11" xfId="20" applyFont="1" applyBorder="1"/>
    <xf numFmtId="164" fontId="5" fillId="17" borderId="41" xfId="141" applyNumberFormat="1" applyFill="1" applyBorder="1" applyAlignment="1">
      <alignment horizontal="center" vertical="center"/>
    </xf>
    <xf numFmtId="164" fontId="5" fillId="11" borderId="43" xfId="141" applyNumberFormat="1" applyFill="1" applyBorder="1" applyAlignment="1">
      <alignment horizontal="center" vertical="center"/>
    </xf>
    <xf numFmtId="9" fontId="5" fillId="12" borderId="43" xfId="141" applyNumberFormat="1" applyFill="1" applyBorder="1" applyAlignment="1">
      <alignment horizontal="center" vertical="center"/>
    </xf>
    <xf numFmtId="164" fontId="5" fillId="11" borderId="43" xfId="141" applyNumberFormat="1" applyFill="1" applyBorder="1" applyAlignment="1">
      <alignment horizontal="center"/>
    </xf>
    <xf numFmtId="164" fontId="5" fillId="12" borderId="41" xfId="141" applyNumberFormat="1" applyFill="1" applyBorder="1" applyAlignment="1">
      <alignment horizontal="center"/>
    </xf>
    <xf numFmtId="164" fontId="5" fillId="12" borderId="43" xfId="141" applyNumberFormat="1" applyFill="1" applyBorder="1" applyAlignment="1">
      <alignment horizontal="center"/>
    </xf>
    <xf numFmtId="0" fontId="5" fillId="0" borderId="43" xfId="141" applyBorder="1"/>
    <xf numFmtId="0" fontId="5" fillId="18" borderId="43" xfId="141" applyFill="1" applyBorder="1" applyAlignment="1">
      <alignment vertical="center"/>
    </xf>
    <xf numFmtId="0" fontId="59" fillId="8" borderId="0" xfId="20" applyFont="1" applyFill="1" applyAlignment="1">
      <alignment vertical="center"/>
    </xf>
    <xf numFmtId="0" fontId="60" fillId="8" borderId="0" xfId="20" applyFont="1" applyFill="1" applyAlignment="1">
      <alignment vertical="center"/>
    </xf>
    <xf numFmtId="164" fontId="61" fillId="19" borderId="0" xfId="141" applyNumberFormat="1" applyFont="1" applyFill="1" applyBorder="1" applyAlignment="1">
      <alignment horizontal="center" vertical="center"/>
    </xf>
    <xf numFmtId="164" fontId="61" fillId="8" borderId="77" xfId="141" applyNumberFormat="1" applyFont="1" applyFill="1" applyBorder="1" applyAlignment="1">
      <alignment horizontal="center" vertical="center"/>
    </xf>
    <xf numFmtId="164" fontId="62" fillId="8" borderId="4" xfId="141" applyNumberFormat="1" applyFont="1" applyFill="1" applyBorder="1" applyAlignment="1">
      <alignment horizontal="center" vertical="center"/>
    </xf>
    <xf numFmtId="164" fontId="61" fillId="8" borderId="78" xfId="141" applyNumberFormat="1" applyFont="1" applyFill="1" applyBorder="1" applyAlignment="1">
      <alignment horizontal="center" vertical="center"/>
    </xf>
    <xf numFmtId="164" fontId="61" fillId="8" borderId="54" xfId="141" applyNumberFormat="1" applyFont="1" applyFill="1" applyBorder="1" applyAlignment="1">
      <alignment horizontal="center" vertical="center"/>
    </xf>
    <xf numFmtId="0" fontId="59" fillId="8" borderId="82" xfId="20" applyFont="1" applyFill="1" applyBorder="1" applyAlignment="1">
      <alignment horizontal="left" vertical="center"/>
    </xf>
    <xf numFmtId="0" fontId="59" fillId="8" borderId="4" xfId="20" applyFont="1" applyFill="1" applyBorder="1" applyAlignment="1">
      <alignment horizontal="left" vertical="center"/>
    </xf>
    <xf numFmtId="0" fontId="61" fillId="8" borderId="3" xfId="141" applyFont="1" applyFill="1" applyBorder="1" applyAlignment="1">
      <alignment horizontal="left" vertical="center"/>
    </xf>
    <xf numFmtId="0" fontId="59" fillId="19" borderId="0" xfId="20" applyFont="1" applyFill="1" applyAlignment="1">
      <alignment vertical="center"/>
    </xf>
    <xf numFmtId="164" fontId="37" fillId="10" borderId="76" xfId="141" applyNumberFormat="1" applyFont="1" applyFill="1" applyBorder="1" applyAlignment="1">
      <alignment horizontal="center" vertical="center"/>
    </xf>
    <xf numFmtId="164" fontId="63" fillId="14" borderId="75" xfId="141" applyNumberFormat="1" applyFont="1" applyFill="1" applyBorder="1" applyAlignment="1">
      <alignment horizontal="center" vertical="center"/>
    </xf>
    <xf numFmtId="164" fontId="37" fillId="16" borderId="74" xfId="141" applyNumberFormat="1" applyFont="1" applyFill="1" applyBorder="1" applyAlignment="1">
      <alignment horizontal="center" vertical="center"/>
    </xf>
    <xf numFmtId="164" fontId="37" fillId="0" borderId="0" xfId="141" applyNumberFormat="1" applyFont="1" applyBorder="1" applyAlignment="1">
      <alignment horizontal="center" vertical="center"/>
    </xf>
    <xf numFmtId="0" fontId="37" fillId="0" borderId="0" xfId="141" applyFont="1" applyBorder="1" applyAlignment="1">
      <alignment horizontal="right" vertical="center"/>
    </xf>
    <xf numFmtId="0" fontId="36" fillId="19" borderId="0" xfId="141" applyFont="1" applyFill="1" applyBorder="1" applyAlignment="1">
      <alignment vertical="center"/>
    </xf>
    <xf numFmtId="0" fontId="36" fillId="0" borderId="72" xfId="141" applyFont="1" applyBorder="1" applyAlignment="1">
      <alignment vertical="center"/>
    </xf>
    <xf numFmtId="164" fontId="5" fillId="17" borderId="19" xfId="141" applyNumberFormat="1" applyFill="1" applyBorder="1" applyAlignment="1">
      <alignment horizontal="center" vertical="center"/>
    </xf>
    <xf numFmtId="9" fontId="5" fillId="17" borderId="25" xfId="141" applyNumberFormat="1" applyFill="1" applyBorder="1" applyAlignment="1">
      <alignment horizontal="center" vertical="center"/>
    </xf>
    <xf numFmtId="9" fontId="5" fillId="12" borderId="45" xfId="141" applyNumberFormat="1" applyFill="1" applyBorder="1" applyAlignment="1">
      <alignment horizontal="center" vertical="center"/>
    </xf>
    <xf numFmtId="164" fontId="5" fillId="11" borderId="21" xfId="141" applyNumberFormat="1" applyFill="1" applyBorder="1" applyAlignment="1">
      <alignment horizontal="center" vertical="center"/>
    </xf>
    <xf numFmtId="164" fontId="5" fillId="11" borderId="62" xfId="141" applyNumberFormat="1" applyFill="1" applyBorder="1" applyAlignment="1">
      <alignment horizontal="center" vertical="center"/>
    </xf>
    <xf numFmtId="0" fontId="43" fillId="0" borderId="62" xfId="141" applyFont="1" applyBorder="1" applyAlignment="1">
      <alignment vertical="center"/>
    </xf>
    <xf numFmtId="0" fontId="5" fillId="18" borderId="62" xfId="141" applyFill="1" applyBorder="1" applyAlignment="1">
      <alignment vertical="center"/>
    </xf>
    <xf numFmtId="0" fontId="43" fillId="0" borderId="25" xfId="141" applyFont="1" applyBorder="1" applyAlignment="1">
      <alignment vertical="center"/>
    </xf>
    <xf numFmtId="0" fontId="5" fillId="18" borderId="25" xfId="141" applyFill="1" applyBorder="1" applyAlignment="1">
      <alignment vertical="center"/>
    </xf>
    <xf numFmtId="164" fontId="5" fillId="0" borderId="0" xfId="141" applyNumberFormat="1" applyBorder="1" applyAlignment="1">
      <alignment horizontal="center" vertical="center"/>
    </xf>
    <xf numFmtId="164" fontId="43" fillId="0" borderId="0" xfId="141" applyNumberFormat="1" applyFont="1" applyBorder="1" applyAlignment="1">
      <alignment vertical="center"/>
    </xf>
    <xf numFmtId="0" fontId="43" fillId="0" borderId="0" xfId="141" applyFont="1" applyBorder="1" applyAlignment="1">
      <alignment vertical="center"/>
    </xf>
    <xf numFmtId="0" fontId="5" fillId="19" borderId="0" xfId="141" applyFill="1" applyBorder="1" applyAlignment="1">
      <alignment vertical="center"/>
    </xf>
    <xf numFmtId="164" fontId="5" fillId="17" borderId="18" xfId="141" applyNumberFormat="1" applyFill="1" applyBorder="1" applyAlignment="1">
      <alignment horizontal="center" vertical="center"/>
    </xf>
    <xf numFmtId="0" fontId="30" fillId="13" borderId="83" xfId="20" applyFont="1" applyFill="1" applyBorder="1"/>
    <xf numFmtId="0" fontId="5" fillId="8" borderId="65" xfId="20" applyFill="1" applyBorder="1" applyAlignment="1">
      <alignment vertical="center"/>
    </xf>
    <xf numFmtId="164" fontId="37" fillId="8" borderId="0" xfId="20" applyNumberFormat="1" applyFont="1" applyFill="1" applyAlignment="1">
      <alignment vertical="center"/>
    </xf>
    <xf numFmtId="0" fontId="5" fillId="0" borderId="77" xfId="141" applyBorder="1" applyAlignment="1">
      <alignment vertical="center"/>
    </xf>
    <xf numFmtId="164" fontId="5" fillId="17" borderId="50" xfId="141" applyNumberFormat="1" applyFill="1" applyBorder="1" applyAlignment="1">
      <alignment horizontal="center" vertical="center"/>
    </xf>
    <xf numFmtId="9" fontId="5" fillId="17" borderId="62" xfId="141" applyNumberFormat="1" applyFill="1" applyBorder="1" applyAlignment="1">
      <alignment horizontal="center" vertical="center"/>
    </xf>
    <xf numFmtId="9" fontId="5" fillId="12" borderId="61" xfId="141" applyNumberFormat="1" applyFill="1" applyBorder="1" applyAlignment="1">
      <alignment horizontal="center" vertical="center"/>
    </xf>
    <xf numFmtId="9" fontId="43" fillId="0" borderId="62" xfId="141" applyNumberFormat="1" applyFont="1" applyBorder="1" applyAlignment="1">
      <alignment vertical="center"/>
    </xf>
    <xf numFmtId="9" fontId="43" fillId="0" borderId="25" xfId="141" applyNumberFormat="1" applyFont="1" applyBorder="1" applyAlignment="1">
      <alignment vertical="center"/>
    </xf>
    <xf numFmtId="0" fontId="5" fillId="21" borderId="25" xfId="141" applyFill="1" applyBorder="1" applyAlignment="1">
      <alignment vertical="center"/>
    </xf>
    <xf numFmtId="9" fontId="5" fillId="8" borderId="24" xfId="141" applyNumberFormat="1" applyFill="1" applyBorder="1" applyAlignment="1">
      <alignment vertical="center"/>
    </xf>
    <xf numFmtId="0" fontId="5" fillId="0" borderId="25" xfId="20" applyBorder="1" applyAlignment="1">
      <alignment vertical="center"/>
    </xf>
    <xf numFmtId="0" fontId="5" fillId="10" borderId="25" xfId="141" applyFill="1" applyBorder="1" applyAlignment="1">
      <alignment vertical="center"/>
    </xf>
    <xf numFmtId="0" fontId="5" fillId="22" borderId="25" xfId="141" applyFill="1" applyBorder="1" applyAlignment="1">
      <alignment vertical="center"/>
    </xf>
    <xf numFmtId="9" fontId="5" fillId="0" borderId="25" xfId="20" applyNumberFormat="1" applyBorder="1" applyAlignment="1">
      <alignment vertical="center"/>
    </xf>
    <xf numFmtId="0" fontId="5" fillId="14" borderId="25" xfId="141" applyFill="1" applyBorder="1" applyAlignment="1">
      <alignment vertical="center"/>
    </xf>
    <xf numFmtId="164" fontId="5" fillId="0" borderId="0" xfId="141" applyNumberFormat="1" applyBorder="1" applyAlignment="1">
      <alignment vertical="center"/>
    </xf>
    <xf numFmtId="164" fontId="5" fillId="8" borderId="0" xfId="141" applyNumberFormat="1" applyFill="1" applyBorder="1" applyAlignment="1">
      <alignment vertical="center"/>
    </xf>
    <xf numFmtId="0" fontId="5" fillId="0" borderId="0" xfId="141" applyBorder="1" applyAlignment="1">
      <alignment vertical="center" wrapText="1"/>
    </xf>
    <xf numFmtId="164" fontId="5" fillId="12" borderId="24" xfId="141" applyNumberFormat="1" applyFill="1" applyBorder="1" applyAlignment="1">
      <alignment horizontal="center" vertical="center"/>
    </xf>
    <xf numFmtId="10" fontId="5" fillId="8" borderId="25" xfId="141" applyNumberFormat="1" applyFill="1" applyBorder="1" applyAlignment="1">
      <alignment vertical="center"/>
    </xf>
    <xf numFmtId="0" fontId="8" fillId="0" borderId="0" xfId="20" applyFont="1"/>
    <xf numFmtId="0" fontId="5" fillId="0" borderId="63" xfId="141" applyBorder="1" applyAlignment="1">
      <alignment vertical="center"/>
    </xf>
    <xf numFmtId="164" fontId="5" fillId="11" borderId="41" xfId="141" applyNumberFormat="1" applyFill="1" applyBorder="1" applyAlignment="1">
      <alignment horizontal="center" vertical="center"/>
    </xf>
    <xf numFmtId="164" fontId="5" fillId="12" borderId="43" xfId="141" applyNumberFormat="1" applyFill="1" applyBorder="1" applyAlignment="1">
      <alignment horizontal="center" vertical="center"/>
    </xf>
    <xf numFmtId="9" fontId="5" fillId="8" borderId="43" xfId="141" applyNumberFormat="1" applyFill="1" applyBorder="1" applyAlignment="1">
      <alignment vertical="center"/>
    </xf>
    <xf numFmtId="0" fontId="5" fillId="8" borderId="43" xfId="141" applyFill="1" applyBorder="1" applyAlignment="1">
      <alignment vertical="center"/>
    </xf>
    <xf numFmtId="0" fontId="30" fillId="13" borderId="84" xfId="20" applyFont="1" applyFill="1" applyBorder="1"/>
    <xf numFmtId="0" fontId="44" fillId="19" borderId="0" xfId="20" applyFont="1" applyFill="1" applyAlignment="1">
      <alignment horizontal="center" vertical="center" wrapText="1"/>
    </xf>
    <xf numFmtId="164" fontId="48" fillId="19" borderId="0" xfId="141" applyNumberFormat="1" applyFont="1" applyFill="1" applyBorder="1" applyAlignment="1">
      <alignment horizontal="center" vertical="center" wrapText="1"/>
    </xf>
    <xf numFmtId="0" fontId="64" fillId="0" borderId="0" xfId="20" applyFont="1" applyAlignment="1">
      <alignment vertical="center"/>
    </xf>
    <xf numFmtId="0" fontId="64" fillId="8" borderId="0" xfId="20" applyFont="1" applyFill="1" applyAlignment="1">
      <alignment vertical="center"/>
    </xf>
    <xf numFmtId="0" fontId="65" fillId="0" borderId="0" xfId="20" applyFont="1" applyAlignment="1">
      <alignment vertical="center"/>
    </xf>
    <xf numFmtId="0" fontId="5" fillId="0" borderId="77" xfId="20" applyBorder="1"/>
    <xf numFmtId="2" fontId="37" fillId="8" borderId="44" xfId="20" applyNumberFormat="1" applyFont="1" applyFill="1" applyBorder="1" applyAlignment="1">
      <alignment horizontal="center" vertical="center"/>
    </xf>
    <xf numFmtId="0" fontId="36" fillId="12" borderId="10" xfId="20" applyFont="1" applyFill="1" applyBorder="1" applyAlignment="1">
      <alignment horizontal="center" vertical="center" wrapText="1"/>
    </xf>
    <xf numFmtId="0" fontId="37" fillId="0" borderId="44" xfId="20" applyFont="1" applyBorder="1" applyAlignment="1">
      <alignment horizontal="right" vertical="center" wrapText="1"/>
    </xf>
    <xf numFmtId="0" fontId="37" fillId="0" borderId="44" xfId="141" applyFont="1" applyBorder="1" applyAlignment="1">
      <alignment horizontal="right" vertical="center" wrapText="1"/>
    </xf>
    <xf numFmtId="0" fontId="67" fillId="12" borderId="44" xfId="141" applyFont="1" applyFill="1" applyBorder="1" applyAlignment="1">
      <alignment horizontal="center" vertical="center" wrapText="1"/>
    </xf>
    <xf numFmtId="0" fontId="37" fillId="0" borderId="29" xfId="141" applyFont="1" applyBorder="1" applyAlignment="1">
      <alignment horizontal="right" vertical="center" wrapText="1"/>
    </xf>
    <xf numFmtId="0" fontId="35" fillId="8" borderId="0" xfId="20" applyFont="1" applyFill="1" applyAlignment="1" applyProtection="1">
      <alignment horizontal="center" vertical="center"/>
      <protection locked="0"/>
    </xf>
    <xf numFmtId="0" fontId="35" fillId="8" borderId="19" xfId="20" applyFont="1" applyFill="1" applyBorder="1" applyAlignment="1" applyProtection="1">
      <alignment horizontal="center" vertical="center"/>
      <protection locked="0"/>
    </xf>
    <xf numFmtId="14" fontId="68" fillId="12" borderId="25" xfId="20" applyNumberFormat="1" applyFont="1" applyFill="1" applyBorder="1" applyAlignment="1" applyProtection="1">
      <alignment horizontal="center" vertical="center"/>
      <protection locked="0"/>
    </xf>
    <xf numFmtId="0" fontId="52" fillId="12" borderId="21" xfId="20" applyFont="1" applyFill="1" applyBorder="1" applyAlignment="1">
      <alignment horizontal="center" vertical="center"/>
    </xf>
    <xf numFmtId="164" fontId="37" fillId="0" borderId="25" xfId="141" applyNumberFormat="1" applyFont="1" applyBorder="1" applyAlignment="1">
      <alignment horizontal="right" vertical="center" wrapText="1"/>
    </xf>
    <xf numFmtId="0" fontId="37" fillId="0" borderId="25" xfId="20" applyFont="1" applyBorder="1" applyAlignment="1" applyProtection="1">
      <alignment horizontal="right" vertical="center"/>
      <protection locked="0"/>
    </xf>
    <xf numFmtId="0" fontId="37" fillId="12" borderId="25" xfId="141" applyFont="1" applyFill="1" applyBorder="1" applyAlignment="1">
      <alignment horizontal="center" vertical="center" wrapText="1"/>
    </xf>
    <xf numFmtId="0" fontId="37" fillId="8" borderId="25" xfId="20" applyFont="1" applyFill="1" applyBorder="1" applyAlignment="1">
      <alignment horizontal="right" vertical="center"/>
    </xf>
    <xf numFmtId="0" fontId="37" fillId="12" borderId="25" xfId="141" applyFont="1" applyFill="1" applyBorder="1" applyAlignment="1">
      <alignment horizontal="center" vertical="center"/>
    </xf>
    <xf numFmtId="0" fontId="37" fillId="8" borderId="45" xfId="141" applyFont="1" applyFill="1" applyBorder="1" applyAlignment="1">
      <alignment horizontal="right" vertical="center"/>
    </xf>
    <xf numFmtId="0" fontId="5" fillId="18" borderId="0" xfId="20" applyFill="1" applyAlignment="1">
      <alignment vertical="center" wrapText="1"/>
    </xf>
    <xf numFmtId="0" fontId="35" fillId="8" borderId="18" xfId="20" applyFont="1" applyFill="1" applyBorder="1" applyAlignment="1" applyProtection="1">
      <alignment horizontal="center" vertical="center"/>
      <protection locked="0"/>
    </xf>
    <xf numFmtId="14" fontId="68" fillId="12" borderId="43" xfId="20" applyNumberFormat="1" applyFont="1" applyFill="1" applyBorder="1" applyAlignment="1" applyProtection="1">
      <alignment horizontal="center" vertical="center"/>
      <protection locked="0"/>
    </xf>
    <xf numFmtId="164" fontId="37" fillId="0" borderId="43" xfId="141" applyNumberFormat="1" applyFont="1" applyBorder="1" applyAlignment="1">
      <alignment horizontal="right" vertical="center"/>
    </xf>
    <xf numFmtId="0" fontId="36" fillId="0" borderId="43" xfId="20" applyFont="1" applyBorder="1" applyAlignment="1">
      <alignment vertical="center"/>
    </xf>
    <xf numFmtId="0" fontId="36" fillId="12" borderId="43" xfId="20" applyFont="1" applyFill="1" applyBorder="1" applyAlignment="1">
      <alignment horizontal="center" vertical="center"/>
    </xf>
    <xf numFmtId="0" fontId="37" fillId="0" borderId="43" xfId="141" applyFont="1" applyBorder="1" applyAlignment="1">
      <alignment horizontal="right" vertical="center" wrapText="1"/>
    </xf>
    <xf numFmtId="0" fontId="69" fillId="0" borderId="28" xfId="141" applyFont="1" applyBorder="1" applyAlignment="1">
      <alignment horizontal="right" vertical="center"/>
    </xf>
    <xf numFmtId="0" fontId="5" fillId="12" borderId="0" xfId="20" applyFill="1" applyAlignment="1">
      <alignment vertical="center"/>
    </xf>
    <xf numFmtId="0" fontId="4" fillId="14" borderId="0" xfId="0" applyFont="1" applyFill="1"/>
    <xf numFmtId="0" fontId="0" fillId="6" borderId="25" xfId="0" applyFill="1" applyBorder="1" applyAlignment="1">
      <alignment horizontal="center"/>
    </xf>
    <xf numFmtId="0" fontId="4" fillId="23" borderId="0" xfId="0" applyFont="1" applyFill="1"/>
    <xf numFmtId="164" fontId="0" fillId="3" borderId="25" xfId="0" applyNumberFormat="1" applyFill="1" applyBorder="1"/>
    <xf numFmtId="164" fontId="4" fillId="3" borderId="25" xfId="0" applyNumberFormat="1" applyFont="1" applyFill="1" applyBorder="1" applyAlignment="1">
      <alignment horizontal="right"/>
    </xf>
    <xf numFmtId="0" fontId="20" fillId="0" borderId="0" xfId="0" applyFont="1" applyAlignment="1">
      <alignment vertical="center" textRotation="90"/>
    </xf>
    <xf numFmtId="0" fontId="2" fillId="0" borderId="0" xfId="0" applyFont="1"/>
    <xf numFmtId="2" fontId="4" fillId="4" borderId="25" xfId="2" applyNumberFormat="1" applyFont="1" applyFill="1" applyBorder="1" applyAlignment="1">
      <alignment horizontal="center" vertical="center"/>
    </xf>
    <xf numFmtId="0" fontId="4" fillId="3" borderId="25" xfId="2" applyFont="1" applyFill="1" applyBorder="1" applyAlignment="1">
      <alignment horizontal="center" vertical="center"/>
    </xf>
    <xf numFmtId="170" fontId="4" fillId="3" borderId="25" xfId="2" applyNumberFormat="1" applyFont="1" applyFill="1" applyBorder="1" applyAlignment="1">
      <alignment horizontal="center" vertical="center"/>
    </xf>
    <xf numFmtId="169" fontId="4" fillId="4" borderId="25" xfId="2" applyNumberFormat="1" applyFont="1" applyFill="1" applyBorder="1" applyAlignment="1">
      <alignment horizontal="center" vertical="center"/>
    </xf>
    <xf numFmtId="10" fontId="4" fillId="4" borderId="25" xfId="2" applyNumberFormat="1" applyFont="1" applyFill="1" applyBorder="1" applyAlignment="1">
      <alignment horizontal="center" vertical="center"/>
    </xf>
    <xf numFmtId="37" fontId="1" fillId="4" borderId="25" xfId="136" applyNumberFormat="1" applyFont="1" applyFill="1" applyBorder="1" applyAlignment="1">
      <alignment horizontal="center"/>
    </xf>
    <xf numFmtId="37" fontId="1" fillId="3" borderId="25" xfId="136" applyNumberFormat="1" applyFont="1" applyFill="1" applyBorder="1" applyAlignment="1">
      <alignment horizontal="center"/>
    </xf>
    <xf numFmtId="168" fontId="0" fillId="0" borderId="5" xfId="136" applyNumberFormat="1" applyFont="1" applyBorder="1" applyAlignment="1">
      <alignment horizontal="right"/>
    </xf>
    <xf numFmtId="168" fontId="0" fillId="0" borderId="36" xfId="136" applyNumberFormat="1" applyFont="1" applyBorder="1" applyAlignment="1">
      <alignment horizontal="right"/>
    </xf>
    <xf numFmtId="168" fontId="0" fillId="0" borderId="3" xfId="136" applyNumberFormat="1" applyFont="1" applyBorder="1" applyAlignment="1">
      <alignment horizontal="right"/>
    </xf>
    <xf numFmtId="39" fontId="1" fillId="4" borderId="25" xfId="136" applyNumberFormat="1" applyFont="1" applyFill="1" applyBorder="1" applyAlignment="1">
      <alignment horizontal="center"/>
    </xf>
    <xf numFmtId="169" fontId="0" fillId="3" borderId="25" xfId="1" applyNumberFormat="1" applyFont="1" applyFill="1" applyBorder="1" applyAlignment="1">
      <alignment horizontal="center"/>
    </xf>
    <xf numFmtId="170" fontId="0" fillId="3" borderId="25" xfId="137" applyNumberFormat="1" applyFont="1" applyFill="1" applyBorder="1" applyAlignment="1">
      <alignment horizontal="center"/>
    </xf>
    <xf numFmtId="10" fontId="4" fillId="3" borderId="25" xfId="2" applyNumberFormat="1" applyFont="1" applyFill="1" applyBorder="1" applyAlignment="1">
      <alignment horizontal="center" vertical="center"/>
    </xf>
    <xf numFmtId="2" fontId="0" fillId="3" borderId="25" xfId="137" applyNumberFormat="1" applyFont="1" applyFill="1" applyBorder="1" applyAlignment="1">
      <alignment horizontal="center"/>
    </xf>
    <xf numFmtId="1" fontId="0" fillId="4" borderId="25" xfId="0" applyNumberFormat="1" applyFill="1" applyBorder="1" applyAlignment="1">
      <alignment horizontal="center"/>
    </xf>
    <xf numFmtId="0" fontId="11" fillId="4" borderId="25" xfId="138" applyFill="1" applyBorder="1" applyAlignment="1">
      <alignment horizontal="right"/>
    </xf>
    <xf numFmtId="171" fontId="0" fillId="4" borderId="25" xfId="0" applyNumberFormat="1" applyFill="1" applyBorder="1" applyAlignment="1">
      <alignment horizontal="center"/>
    </xf>
    <xf numFmtId="168" fontId="0" fillId="3" borderId="28" xfId="136" applyNumberFormat="1" applyFont="1" applyFill="1" applyBorder="1"/>
    <xf numFmtId="168" fontId="0" fillId="3" borderId="43" xfId="136" applyNumberFormat="1" applyFont="1" applyFill="1" applyBorder="1"/>
    <xf numFmtId="168" fontId="0" fillId="3" borderId="41" xfId="136" applyNumberFormat="1" applyFont="1" applyFill="1" applyBorder="1"/>
    <xf numFmtId="172" fontId="0" fillId="3" borderId="18" xfId="1" applyNumberFormat="1" applyFont="1" applyFill="1" applyBorder="1"/>
    <xf numFmtId="168" fontId="0" fillId="3" borderId="56" xfId="136" applyNumberFormat="1" applyFont="1" applyFill="1" applyBorder="1"/>
    <xf numFmtId="168" fontId="0" fillId="3" borderId="45" xfId="136" applyNumberFormat="1" applyFont="1" applyFill="1" applyBorder="1"/>
    <xf numFmtId="168" fontId="0" fillId="3" borderId="25" xfId="136" applyNumberFormat="1" applyFont="1" applyFill="1" applyBorder="1"/>
    <xf numFmtId="168" fontId="0" fillId="3" borderId="21" xfId="136" applyNumberFormat="1" applyFont="1" applyFill="1" applyBorder="1"/>
    <xf numFmtId="172" fontId="0" fillId="3" borderId="19" xfId="1" applyNumberFormat="1" applyFont="1" applyFill="1" applyBorder="1"/>
    <xf numFmtId="168" fontId="0" fillId="3" borderId="47" xfId="136" applyNumberFormat="1" applyFont="1" applyFill="1" applyBorder="1"/>
    <xf numFmtId="168" fontId="0" fillId="3" borderId="29" xfId="136" applyNumberFormat="1" applyFont="1" applyFill="1" applyBorder="1"/>
    <xf numFmtId="168" fontId="0" fillId="3" borderId="44" xfId="136" applyNumberFormat="1" applyFont="1" applyFill="1" applyBorder="1"/>
    <xf numFmtId="168" fontId="0" fillId="3" borderId="51" xfId="136" applyNumberFormat="1" applyFont="1" applyFill="1" applyBorder="1"/>
    <xf numFmtId="172" fontId="0" fillId="3" borderId="20" xfId="1" applyNumberFormat="1" applyFont="1" applyFill="1" applyBorder="1"/>
    <xf numFmtId="168" fontId="0" fillId="3" borderId="55" xfId="136" applyNumberFormat="1" applyFont="1" applyFill="1" applyBorder="1"/>
    <xf numFmtId="168" fontId="0" fillId="4" borderId="28" xfId="136" applyNumberFormat="1" applyFont="1" applyFill="1" applyBorder="1"/>
    <xf numFmtId="168" fontId="0" fillId="4" borderId="18" xfId="136" applyNumberFormat="1" applyFont="1" applyFill="1" applyBorder="1"/>
    <xf numFmtId="168" fontId="0" fillId="4" borderId="45" xfId="136" applyNumberFormat="1" applyFont="1" applyFill="1" applyBorder="1"/>
    <xf numFmtId="168" fontId="0" fillId="4" borderId="19" xfId="136" applyNumberFormat="1" applyFont="1" applyFill="1" applyBorder="1"/>
    <xf numFmtId="168" fontId="0" fillId="4" borderId="29" xfId="136" applyNumberFormat="1" applyFont="1" applyFill="1" applyBorder="1"/>
    <xf numFmtId="168" fontId="0" fillId="4" borderId="20" xfId="136" applyNumberFormat="1" applyFont="1" applyFill="1" applyBorder="1"/>
    <xf numFmtId="0" fontId="0" fillId="4" borderId="25" xfId="0" applyFill="1" applyBorder="1" applyAlignment="1">
      <alignment vertical="center"/>
    </xf>
    <xf numFmtId="6" fontId="0" fillId="4" borderId="25" xfId="0" applyNumberFormat="1" applyFill="1" applyBorder="1"/>
    <xf numFmtId="174" fontId="0" fillId="4" borderId="25" xfId="0" applyNumberFormat="1" applyFill="1" applyBorder="1" applyAlignment="1">
      <alignment horizontal="center" vertical="center"/>
    </xf>
    <xf numFmtId="172" fontId="0" fillId="3" borderId="25" xfId="1" applyNumberFormat="1" applyFont="1" applyFill="1" applyBorder="1"/>
    <xf numFmtId="0" fontId="4" fillId="0" borderId="25" xfId="0" applyFont="1" applyBorder="1" applyAlignment="1">
      <alignment horizontal="center" vertical="center"/>
    </xf>
    <xf numFmtId="6" fontId="0" fillId="0" borderId="26" xfId="0" applyNumberFormat="1" applyBorder="1" applyAlignment="1">
      <alignment horizontal="right" vertical="center" wrapText="1"/>
    </xf>
    <xf numFmtId="6" fontId="0" fillId="0" borderId="4" xfId="0" applyNumberFormat="1" applyBorder="1" applyAlignment="1">
      <alignment horizontal="right" vertical="center" wrapText="1"/>
    </xf>
    <xf numFmtId="164" fontId="0" fillId="0" borderId="13" xfId="0" applyNumberFormat="1" applyBorder="1" applyAlignment="1">
      <alignment horizontal="right"/>
    </xf>
    <xf numFmtId="164" fontId="0" fillId="0" borderId="57" xfId="0" applyNumberFormat="1" applyBorder="1" applyAlignment="1">
      <alignment horizontal="right"/>
    </xf>
    <xf numFmtId="164" fontId="0" fillId="0" borderId="39" xfId="0" applyNumberFormat="1" applyBorder="1" applyAlignment="1">
      <alignment horizontal="right"/>
    </xf>
    <xf numFmtId="164" fontId="0" fillId="0" borderId="58" xfId="0" applyNumberFormat="1" applyBorder="1" applyAlignment="1">
      <alignment horizontal="right"/>
    </xf>
    <xf numFmtId="164" fontId="0" fillId="0" borderId="14" xfId="0" applyNumberFormat="1" applyBorder="1" applyAlignment="1">
      <alignment horizontal="right"/>
    </xf>
    <xf numFmtId="164" fontId="0" fillId="0" borderId="59" xfId="0" applyNumberFormat="1" applyBorder="1" applyAlignment="1">
      <alignment horizontal="right"/>
    </xf>
    <xf numFmtId="0" fontId="11" fillId="4" borderId="25" xfId="138" applyFill="1" applyBorder="1" applyAlignment="1">
      <alignment horizontal="right" vertical="center"/>
    </xf>
    <xf numFmtId="0" fontId="0" fillId="3" borderId="73" xfId="0" applyFill="1" applyBorder="1" applyAlignment="1">
      <alignment horizontal="center"/>
    </xf>
    <xf numFmtId="6" fontId="3" fillId="0" borderId="0" xfId="0" applyNumberFormat="1" applyFont="1" applyAlignment="1">
      <alignment horizontal="right"/>
    </xf>
    <xf numFmtId="1" fontId="4" fillId="3" borderId="25" xfId="2" applyNumberFormat="1" applyFont="1" applyFill="1" applyBorder="1" applyAlignment="1">
      <alignment horizontal="center" vertical="center"/>
    </xf>
    <xf numFmtId="0" fontId="81" fillId="0" borderId="0" xfId="142" applyAlignment="1">
      <alignment horizontal="left" vertical="top"/>
    </xf>
    <xf numFmtId="0" fontId="82" fillId="0" borderId="0" xfId="143" applyAlignment="1">
      <alignment horizontal="left" vertical="top"/>
    </xf>
    <xf numFmtId="172" fontId="0" fillId="0" borderId="0" xfId="144" applyNumberFormat="1" applyFont="1" applyBorder="1" applyAlignment="1">
      <alignment horizontal="left" vertical="top"/>
    </xf>
    <xf numFmtId="164" fontId="0" fillId="3" borderId="25" xfId="1" applyNumberFormat="1" applyFont="1" applyFill="1" applyBorder="1"/>
    <xf numFmtId="0" fontId="84" fillId="0" borderId="0" xfId="142" applyFont="1" applyAlignment="1">
      <alignment horizontal="left" vertical="top"/>
    </xf>
    <xf numFmtId="0" fontId="85" fillId="0" borderId="0" xfId="142" applyFont="1" applyAlignment="1">
      <alignment horizontal="left" vertical="top"/>
    </xf>
    <xf numFmtId="172" fontId="1" fillId="0" borderId="0" xfId="144" applyNumberFormat="1" applyFont="1" applyBorder="1" applyAlignment="1">
      <alignment horizontal="left" vertical="top"/>
    </xf>
    <xf numFmtId="0" fontId="1" fillId="0" borderId="25" xfId="0" applyFont="1" applyBorder="1" applyAlignment="1">
      <alignment horizontal="right"/>
    </xf>
    <xf numFmtId="0" fontId="85" fillId="4" borderId="25" xfId="142" applyFont="1" applyFill="1" applyBorder="1" applyAlignment="1">
      <alignment horizontal="center" vertical="top"/>
    </xf>
    <xf numFmtId="0" fontId="85" fillId="0" borderId="0" xfId="142" applyFont="1" applyAlignment="1">
      <alignment horizontal="center" vertical="top"/>
    </xf>
    <xf numFmtId="0" fontId="85" fillId="0" borderId="25" xfId="142" applyFont="1" applyBorder="1" applyAlignment="1">
      <alignment horizontal="center" vertical="top"/>
    </xf>
    <xf numFmtId="0" fontId="85" fillId="0" borderId="25" xfId="142" applyFont="1" applyBorder="1" applyAlignment="1">
      <alignment horizontal="left" vertical="top"/>
    </xf>
    <xf numFmtId="0" fontId="85" fillId="3" borderId="25" xfId="142" applyFont="1" applyFill="1" applyBorder="1" applyAlignment="1">
      <alignment horizontal="center" vertical="top"/>
    </xf>
    <xf numFmtId="164" fontId="1" fillId="3" borderId="25" xfId="1" applyNumberFormat="1" applyFont="1" applyFill="1" applyBorder="1"/>
    <xf numFmtId="39" fontId="85" fillId="3" borderId="25" xfId="142" applyNumberFormat="1" applyFont="1" applyFill="1" applyBorder="1" applyAlignment="1">
      <alignment horizontal="center" vertical="top"/>
    </xf>
    <xf numFmtId="0" fontId="83" fillId="0" borderId="0" xfId="142" applyFont="1" applyAlignment="1">
      <alignment horizontal="right" vertical="top"/>
    </xf>
    <xf numFmtId="164" fontId="5" fillId="8" borderId="0" xfId="20" applyNumberFormat="1" applyFill="1" applyAlignment="1">
      <alignment vertical="center"/>
    </xf>
    <xf numFmtId="0" fontId="11" fillId="0" borderId="0" xfId="138" applyAlignment="1">
      <alignment horizontal="right"/>
    </xf>
    <xf numFmtId="0" fontId="4" fillId="0" borderId="0" xfId="0" applyFont="1" applyAlignment="1">
      <alignment horizontal="left" vertical="top" wrapText="1"/>
    </xf>
    <xf numFmtId="0" fontId="0" fillId="2" borderId="1" xfId="0" applyFill="1" applyBorder="1" applyAlignment="1">
      <alignment horizontal="center" vertical="center" wrapText="1"/>
    </xf>
    <xf numFmtId="0" fontId="0" fillId="2" borderId="3"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30" xfId="0"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78" xfId="0" applyFill="1" applyBorder="1" applyAlignment="1">
      <alignment horizontal="center" vertical="center" wrapText="1"/>
    </xf>
    <xf numFmtId="0" fontId="0" fillId="2" borderId="63"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2" xfId="0" applyFill="1" applyBorder="1" applyAlignment="1">
      <alignment horizontal="center" vertical="center" wrapText="1"/>
    </xf>
    <xf numFmtId="0" fontId="0" fillId="2" borderId="4" xfId="0" applyFill="1" applyBorder="1" applyAlignment="1">
      <alignment horizontal="center" vertical="center" wrapText="1"/>
    </xf>
    <xf numFmtId="0" fontId="3" fillId="0" borderId="32"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0" fillId="2" borderId="43" xfId="0" applyFill="1" applyBorder="1" applyAlignment="1">
      <alignment horizontal="center" vertical="center" wrapText="1"/>
    </xf>
    <xf numFmtId="0" fontId="0" fillId="2" borderId="44" xfId="0" applyFill="1" applyBorder="1" applyAlignment="1">
      <alignment horizontal="center" vertical="center" wrapText="1"/>
    </xf>
    <xf numFmtId="0" fontId="0" fillId="0" borderId="33" xfId="0" applyBorder="1" applyAlignment="1">
      <alignment horizontal="center"/>
    </xf>
    <xf numFmtId="0" fontId="0" fillId="0" borderId="27" xfId="0" applyBorder="1" applyAlignment="1">
      <alignment horizontal="center"/>
    </xf>
    <xf numFmtId="0" fontId="0" fillId="0" borderId="0" xfId="0" applyAlignment="1">
      <alignment horizontal="left" vertical="top"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63"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26" xfId="0" applyFont="1" applyBorder="1" applyAlignment="1">
      <alignment horizontal="left"/>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32" xfId="0" applyBorder="1" applyAlignment="1">
      <alignment horizontal="center" vertical="center" wrapText="1"/>
    </xf>
    <xf numFmtId="0" fontId="0" fillId="0" borderId="30"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20" fillId="0" borderId="62" xfId="0" applyFont="1" applyBorder="1" applyAlignment="1">
      <alignment horizontal="center" vertical="center" textRotation="90"/>
    </xf>
    <xf numFmtId="0" fontId="20" fillId="0" borderId="23" xfId="0" applyFont="1" applyBorder="1" applyAlignment="1">
      <alignment horizontal="center" vertical="center" textRotation="90"/>
    </xf>
    <xf numFmtId="0" fontId="20" fillId="0" borderId="24" xfId="0" applyFont="1" applyBorder="1" applyAlignment="1">
      <alignment horizontal="center" vertical="center" textRotation="90"/>
    </xf>
    <xf numFmtId="0" fontId="3" fillId="0" borderId="33" xfId="0" applyFont="1" applyBorder="1" applyAlignment="1">
      <alignment horizontal="center"/>
    </xf>
    <xf numFmtId="0" fontId="3" fillId="0" borderId="42" xfId="0" applyFont="1" applyBorder="1" applyAlignment="1">
      <alignment horizontal="center"/>
    </xf>
    <xf numFmtId="0" fontId="3" fillId="0" borderId="27" xfId="0" applyFont="1" applyBorder="1" applyAlignment="1">
      <alignment horizontal="center"/>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0" borderId="69" xfId="0" applyBorder="1" applyAlignment="1">
      <alignment horizontal="left" vertical="top" wrapText="1"/>
    </xf>
    <xf numFmtId="0" fontId="0" fillId="0" borderId="67" xfId="0" applyBorder="1" applyAlignment="1">
      <alignment horizontal="center" vertical="center" wrapText="1"/>
    </xf>
    <xf numFmtId="0" fontId="0" fillId="0" borderId="66" xfId="0" applyBorder="1" applyAlignment="1">
      <alignment horizontal="center" vertical="center" wrapText="1"/>
    </xf>
    <xf numFmtId="0" fontId="0" fillId="0" borderId="46" xfId="0" applyBorder="1" applyAlignment="1">
      <alignment horizontal="center" vertical="center" wrapText="1"/>
    </xf>
    <xf numFmtId="0" fontId="0" fillId="0" borderId="23" xfId="0" applyBorder="1" applyAlignment="1">
      <alignment horizontal="center" vertical="center" wrapText="1"/>
    </xf>
    <xf numFmtId="0" fontId="0" fillId="0" borderId="65" xfId="0" applyBorder="1" applyAlignment="1">
      <alignment horizontal="center" vertical="center" wrapText="1"/>
    </xf>
    <xf numFmtId="0" fontId="0" fillId="0" borderId="1" xfId="0" applyBorder="1" applyAlignment="1">
      <alignment horizontal="center" vertical="center"/>
    </xf>
    <xf numFmtId="0" fontId="0" fillId="0" borderId="68" xfId="0" applyBorder="1" applyAlignment="1">
      <alignment horizontal="center" vertical="center"/>
    </xf>
    <xf numFmtId="0" fontId="3" fillId="0" borderId="33" xfId="0" applyFont="1" applyBorder="1" applyAlignment="1">
      <alignment horizontal="center" vertical="center"/>
    </xf>
    <xf numFmtId="0" fontId="3" fillId="0" borderId="27" xfId="0" applyFont="1" applyBorder="1" applyAlignment="1">
      <alignment horizontal="center" vertical="center"/>
    </xf>
    <xf numFmtId="0" fontId="0" fillId="0" borderId="28" xfId="0" applyBorder="1" applyAlignment="1">
      <alignment horizontal="center" vertical="center"/>
    </xf>
    <xf numFmtId="0" fontId="0" fillId="0" borderId="61" xfId="0" applyBorder="1" applyAlignment="1">
      <alignment horizontal="center" vertical="center"/>
    </xf>
    <xf numFmtId="49" fontId="0" fillId="0" borderId="18" xfId="0" applyNumberFormat="1" applyBorder="1" applyAlignment="1">
      <alignment horizontal="center" vertical="center" wrapText="1"/>
    </xf>
    <xf numFmtId="49" fontId="0" fillId="0" borderId="50" xfId="0" applyNumberFormat="1" applyBorder="1" applyAlignment="1">
      <alignment horizontal="center" vertical="center" wrapText="1"/>
    </xf>
    <xf numFmtId="0" fontId="3" fillId="0" borderId="42" xfId="0" applyFont="1" applyBorder="1" applyAlignment="1">
      <alignment horizontal="center" vertical="center"/>
    </xf>
    <xf numFmtId="0" fontId="3" fillId="0" borderId="1" xfId="0" applyFont="1" applyBorder="1" applyAlignment="1">
      <alignment horizontal="center"/>
    </xf>
    <xf numFmtId="0" fontId="3" fillId="0" borderId="63" xfId="0" applyFont="1" applyBorder="1" applyAlignment="1">
      <alignment horizontal="center"/>
    </xf>
    <xf numFmtId="0" fontId="0" fillId="0" borderId="13" xfId="0" applyBorder="1" applyAlignment="1">
      <alignment horizontal="center" vertical="center" wrapText="1"/>
    </xf>
    <xf numFmtId="0" fontId="0" fillId="0" borderId="64" xfId="0" applyBorder="1" applyAlignment="1">
      <alignment horizontal="center" vertical="center" wrapText="1"/>
    </xf>
    <xf numFmtId="0" fontId="0" fillId="0" borderId="18" xfId="0" applyBorder="1" applyAlignment="1">
      <alignment horizontal="center" vertical="center"/>
    </xf>
    <xf numFmtId="0" fontId="0" fillId="0" borderId="50" xfId="0" applyBorder="1" applyAlignment="1">
      <alignment horizontal="center" vertical="center"/>
    </xf>
    <xf numFmtId="0" fontId="3" fillId="0" borderId="28" xfId="0" applyFont="1" applyBorder="1" applyAlignment="1">
      <alignment horizontal="center"/>
    </xf>
    <xf numFmtId="0" fontId="3" fillId="0" borderId="43" xfId="0" applyFont="1" applyBorder="1" applyAlignment="1">
      <alignment horizontal="center"/>
    </xf>
    <xf numFmtId="0" fontId="3" fillId="0" borderId="18" xfId="0" applyFont="1" applyBorder="1" applyAlignment="1">
      <alignment horizontal="center"/>
    </xf>
    <xf numFmtId="0" fontId="0" fillId="0" borderId="56" xfId="0" applyBorder="1" applyAlignment="1">
      <alignment horizontal="center" vertical="center" wrapText="1"/>
    </xf>
    <xf numFmtId="0" fontId="0" fillId="0" borderId="55" xfId="0" applyBorder="1" applyAlignment="1">
      <alignment horizontal="center" vertical="center" wrapText="1"/>
    </xf>
    <xf numFmtId="0" fontId="0" fillId="0" borderId="18" xfId="0" applyBorder="1" applyAlignment="1">
      <alignment horizontal="center" vertical="center" wrapText="1"/>
    </xf>
    <xf numFmtId="0" fontId="0" fillId="0" borderId="20"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16" xfId="0" applyBorder="1" applyAlignment="1">
      <alignment horizontal="center" vertical="center"/>
    </xf>
    <xf numFmtId="0" fontId="0" fillId="0" borderId="17" xfId="0" applyBorder="1" applyAlignment="1">
      <alignment horizontal="center" vertical="center"/>
    </xf>
    <xf numFmtId="0" fontId="3" fillId="0" borderId="25" xfId="0" applyFont="1" applyBorder="1" applyAlignment="1">
      <alignment horizontal="center" vertical="center"/>
    </xf>
    <xf numFmtId="0" fontId="0" fillId="0" borderId="21" xfId="0" applyBorder="1" applyAlignment="1">
      <alignment horizontal="center"/>
    </xf>
    <xf numFmtId="0" fontId="0" fillId="0" borderId="47" xfId="0" applyBorder="1" applyAlignment="1">
      <alignment horizontal="center"/>
    </xf>
    <xf numFmtId="0" fontId="0" fillId="0" borderId="25" xfId="0" applyBorder="1" applyAlignment="1">
      <alignment horizontal="center" vertical="center"/>
    </xf>
    <xf numFmtId="164" fontId="63" fillId="14" borderId="33" xfId="141" applyNumberFormat="1" applyFont="1" applyFill="1" applyBorder="1" applyAlignment="1">
      <alignment horizontal="center" vertical="center" wrapText="1"/>
    </xf>
    <xf numFmtId="0" fontId="5" fillId="0" borderId="76" xfId="20" applyBorder="1" applyAlignment="1">
      <alignment horizontal="center" vertical="center" wrapText="1"/>
    </xf>
    <xf numFmtId="164" fontId="63" fillId="14" borderId="75" xfId="141" applyNumberFormat="1" applyFont="1" applyFill="1" applyBorder="1" applyAlignment="1">
      <alignment horizontal="center" vertical="center" wrapText="1"/>
    </xf>
    <xf numFmtId="0" fontId="5" fillId="0" borderId="27" xfId="20" applyBorder="1" applyAlignment="1">
      <alignment horizontal="center" vertical="center" wrapText="1"/>
    </xf>
    <xf numFmtId="164" fontId="48" fillId="5" borderId="45" xfId="141" applyNumberFormat="1" applyFont="1" applyFill="1" applyBorder="1" applyAlignment="1">
      <alignment horizontal="center" vertical="center" wrapText="1"/>
    </xf>
    <xf numFmtId="0" fontId="5" fillId="5" borderId="25" xfId="20" applyFill="1" applyBorder="1" applyAlignment="1">
      <alignment horizontal="center" vertical="center" wrapText="1"/>
    </xf>
    <xf numFmtId="164" fontId="48" fillId="5" borderId="25" xfId="141" applyNumberFormat="1" applyFont="1" applyFill="1" applyBorder="1" applyAlignment="1">
      <alignment horizontal="center" vertical="center" wrapText="1"/>
    </xf>
    <xf numFmtId="0" fontId="5" fillId="5" borderId="19" xfId="20" applyFill="1" applyBorder="1" applyAlignment="1">
      <alignment horizontal="center" vertical="center" wrapText="1"/>
    </xf>
    <xf numFmtId="164" fontId="37" fillId="10" borderId="75" xfId="141" applyNumberFormat="1" applyFont="1" applyFill="1" applyBorder="1" applyAlignment="1">
      <alignment horizontal="center" vertical="center" wrapText="1"/>
    </xf>
    <xf numFmtId="164" fontId="37" fillId="14" borderId="33" xfId="141" applyNumberFormat="1" applyFont="1" applyFill="1" applyBorder="1" applyAlignment="1">
      <alignment horizontal="center" wrapText="1"/>
    </xf>
    <xf numFmtId="0" fontId="5" fillId="14" borderId="76" xfId="20" applyFill="1" applyBorder="1" applyAlignment="1">
      <alignment horizontal="center" wrapText="1"/>
    </xf>
    <xf numFmtId="164" fontId="37" fillId="14" borderId="75" xfId="141" applyNumberFormat="1" applyFont="1" applyFill="1" applyBorder="1" applyAlignment="1">
      <alignment horizontal="center" wrapText="1"/>
    </xf>
    <xf numFmtId="0" fontId="5" fillId="14" borderId="27" xfId="20" applyFill="1" applyBorder="1" applyAlignment="1">
      <alignment horizontal="center" wrapText="1"/>
    </xf>
    <xf numFmtId="0" fontId="51" fillId="15" borderId="68" xfId="20" applyFont="1" applyFill="1" applyBorder="1" applyAlignment="1">
      <alignment vertical="center" wrapText="1"/>
    </xf>
    <xf numFmtId="0" fontId="5" fillId="15" borderId="0" xfId="20" applyFill="1" applyAlignment="1">
      <alignment wrapText="1"/>
    </xf>
    <xf numFmtId="0" fontId="5" fillId="15" borderId="72" xfId="20" applyFill="1" applyBorder="1" applyAlignment="1">
      <alignment wrapText="1"/>
    </xf>
    <xf numFmtId="0" fontId="5" fillId="15" borderId="3" xfId="20" applyFill="1" applyBorder="1" applyAlignment="1">
      <alignment wrapText="1"/>
    </xf>
    <xf numFmtId="0" fontId="5" fillId="15" borderId="4" xfId="20" applyFill="1" applyBorder="1" applyAlignment="1">
      <alignment wrapText="1"/>
    </xf>
    <xf numFmtId="0" fontId="5" fillId="15" borderId="77" xfId="20" applyFill="1" applyBorder="1" applyAlignment="1">
      <alignment wrapText="1"/>
    </xf>
    <xf numFmtId="0" fontId="5" fillId="0" borderId="0" xfId="20" applyAlignment="1">
      <alignment wrapText="1"/>
    </xf>
    <xf numFmtId="0" fontId="5" fillId="0" borderId="72" xfId="20" applyBorder="1" applyAlignment="1">
      <alignment wrapText="1"/>
    </xf>
    <xf numFmtId="0" fontId="5" fillId="0" borderId="3" xfId="20" applyBorder="1" applyAlignment="1">
      <alignment wrapText="1"/>
    </xf>
    <xf numFmtId="0" fontId="5" fillId="0" borderId="4" xfId="20" applyBorder="1" applyAlignment="1">
      <alignment wrapText="1"/>
    </xf>
    <xf numFmtId="0" fontId="5" fillId="0" borderId="77" xfId="20" applyBorder="1" applyAlignment="1">
      <alignment wrapText="1"/>
    </xf>
    <xf numFmtId="164" fontId="37" fillId="10" borderId="33" xfId="141" applyNumberFormat="1" applyFont="1" applyFill="1" applyBorder="1" applyAlignment="1">
      <alignment horizontal="center" vertical="center" wrapText="1"/>
    </xf>
    <xf numFmtId="0" fontId="48" fillId="5" borderId="46" xfId="141" applyFont="1" applyFill="1" applyBorder="1" applyAlignment="1">
      <alignment horizontal="center" vertical="center" wrapText="1"/>
    </xf>
    <xf numFmtId="0" fontId="48" fillId="5" borderId="24" xfId="141" applyFont="1" applyFill="1" applyBorder="1" applyAlignment="1">
      <alignment horizontal="center" vertical="center" wrapText="1"/>
    </xf>
    <xf numFmtId="0" fontId="44" fillId="5" borderId="25" xfId="20" applyFont="1" applyFill="1" applyBorder="1" applyAlignment="1">
      <alignment horizontal="center" vertical="center" wrapText="1"/>
    </xf>
    <xf numFmtId="0" fontId="48" fillId="5" borderId="23" xfId="141" applyFont="1" applyFill="1" applyBorder="1" applyAlignment="1">
      <alignment horizontal="center" vertical="center" wrapText="1"/>
    </xf>
    <xf numFmtId="0" fontId="44" fillId="5" borderId="78" xfId="20" applyFont="1" applyFill="1" applyBorder="1" applyAlignment="1">
      <alignment horizontal="center" vertical="center" wrapText="1"/>
    </xf>
    <xf numFmtId="164" fontId="48" fillId="5" borderId="46" xfId="141" applyNumberFormat="1" applyFont="1" applyFill="1" applyBorder="1" applyAlignment="1">
      <alignment horizontal="center" vertical="center" wrapText="1"/>
    </xf>
    <xf numFmtId="164" fontId="48" fillId="5" borderId="23" xfId="141" applyNumberFormat="1" applyFont="1" applyFill="1" applyBorder="1" applyAlignment="1">
      <alignment horizontal="center" vertical="center" wrapText="1"/>
    </xf>
    <xf numFmtId="0" fontId="32" fillId="5" borderId="78" xfId="20" applyFont="1" applyFill="1" applyBorder="1" applyAlignment="1">
      <alignment horizontal="center" vertical="center" wrapText="1"/>
    </xf>
    <xf numFmtId="0" fontId="37" fillId="0" borderId="0" xfId="141" applyFont="1" applyBorder="1" applyAlignment="1">
      <alignment horizontal="right" vertical="center"/>
    </xf>
    <xf numFmtId="164" fontId="48" fillId="15" borderId="11" xfId="141" applyNumberFormat="1" applyFont="1" applyFill="1" applyBorder="1" applyAlignment="1">
      <alignment horizontal="center" vertical="center" wrapText="1"/>
    </xf>
    <xf numFmtId="0" fontId="5" fillId="0" borderId="65" xfId="20" applyBorder="1" applyAlignment="1">
      <alignment horizontal="center" vertical="center" wrapText="1"/>
    </xf>
    <xf numFmtId="0" fontId="5" fillId="0" borderId="12" xfId="20" applyBorder="1" applyAlignment="1">
      <alignment horizontal="center" vertical="center" wrapText="1"/>
    </xf>
    <xf numFmtId="164" fontId="48" fillId="8" borderId="0" xfId="141" applyNumberFormat="1" applyFont="1" applyFill="1" applyBorder="1" applyAlignment="1">
      <alignment horizontal="center" vertical="center" wrapText="1"/>
    </xf>
    <xf numFmtId="0" fontId="5" fillId="8" borderId="0" xfId="20" applyFill="1" applyAlignment="1">
      <alignment vertical="center" wrapText="1"/>
    </xf>
    <xf numFmtId="0" fontId="44" fillId="8" borderId="0" xfId="20" applyFont="1" applyFill="1" applyAlignment="1">
      <alignment horizontal="center" vertical="center" wrapText="1"/>
    </xf>
    <xf numFmtId="0" fontId="5" fillId="8" borderId="0" xfId="141" applyFill="1" applyBorder="1" applyAlignment="1">
      <alignment vertical="center" wrapText="1"/>
    </xf>
    <xf numFmtId="164" fontId="39" fillId="8" borderId="0" xfId="141" applyNumberFormat="1" applyFont="1" applyFill="1" applyBorder="1" applyAlignment="1">
      <alignment horizontal="left" vertical="center" wrapText="1"/>
    </xf>
    <xf numFmtId="0" fontId="40" fillId="8" borderId="0" xfId="20" applyFont="1" applyFill="1" applyAlignment="1">
      <alignment horizontal="left" vertical="center" wrapText="1"/>
    </xf>
    <xf numFmtId="164" fontId="48" fillId="5" borderId="24" xfId="141" applyNumberFormat="1" applyFont="1" applyFill="1" applyBorder="1" applyAlignment="1">
      <alignment horizontal="center" vertical="center" wrapText="1"/>
    </xf>
    <xf numFmtId="0" fontId="51" fillId="8" borderId="0" xfId="20" applyFont="1" applyFill="1" applyAlignment="1">
      <alignment vertical="center" wrapText="1"/>
    </xf>
    <xf numFmtId="0" fontId="5" fillId="8" borderId="0" xfId="20" applyFill="1" applyAlignment="1">
      <alignment wrapText="1"/>
    </xf>
    <xf numFmtId="0" fontId="5" fillId="14" borderId="42" xfId="20" applyFill="1" applyBorder="1" applyAlignment="1">
      <alignment horizontal="center" wrapText="1"/>
    </xf>
    <xf numFmtId="0" fontId="48" fillId="5" borderId="32" xfId="141" applyFont="1" applyFill="1" applyBorder="1" applyAlignment="1">
      <alignment horizontal="center" vertical="center" wrapText="1"/>
    </xf>
    <xf numFmtId="0" fontId="48" fillId="5" borderId="66" xfId="141" applyFont="1" applyFill="1" applyBorder="1" applyAlignment="1">
      <alignment horizontal="center" vertical="center" wrapText="1"/>
    </xf>
    <xf numFmtId="0" fontId="44" fillId="5" borderId="30" xfId="20" applyFont="1" applyFill="1" applyBorder="1" applyAlignment="1">
      <alignment horizontal="center" vertical="center" wrapText="1"/>
    </xf>
    <xf numFmtId="164" fontId="37" fillId="9" borderId="74" xfId="141" applyNumberFormat="1" applyFont="1" applyFill="1" applyBorder="1" applyAlignment="1">
      <alignment horizontal="center" vertical="center" wrapText="1"/>
    </xf>
    <xf numFmtId="164" fontId="37" fillId="9" borderId="31" xfId="141" applyNumberFormat="1" applyFont="1" applyFill="1" applyBorder="1" applyAlignment="1">
      <alignment horizontal="center" vertical="center" wrapText="1"/>
    </xf>
    <xf numFmtId="164" fontId="48" fillId="5" borderId="52" xfId="141" applyNumberFormat="1" applyFont="1" applyFill="1" applyBorder="1" applyAlignment="1">
      <alignment horizontal="center" vertical="center" wrapText="1"/>
    </xf>
    <xf numFmtId="164" fontId="48" fillId="5" borderId="22" xfId="141" applyNumberFormat="1" applyFont="1" applyFill="1" applyBorder="1" applyAlignment="1">
      <alignment horizontal="center" vertical="center" wrapText="1"/>
    </xf>
    <xf numFmtId="0" fontId="44" fillId="5" borderId="54" xfId="20" applyFont="1" applyFill="1" applyBorder="1" applyAlignment="1">
      <alignment horizontal="center" vertical="center" wrapText="1"/>
    </xf>
    <xf numFmtId="164" fontId="48" fillId="5" borderId="28" xfId="141" applyNumberFormat="1" applyFont="1" applyFill="1" applyBorder="1" applyAlignment="1">
      <alignment horizontal="center" vertical="center" wrapText="1"/>
    </xf>
    <xf numFmtId="0" fontId="5" fillId="5" borderId="43" xfId="20" applyFill="1" applyBorder="1" applyAlignment="1">
      <alignment horizontal="center" vertical="center" wrapText="1"/>
    </xf>
    <xf numFmtId="0" fontId="5" fillId="5" borderId="18" xfId="20" applyFill="1" applyBorder="1" applyAlignment="1">
      <alignment horizontal="center" vertical="center" wrapText="1"/>
    </xf>
    <xf numFmtId="164" fontId="37" fillId="9" borderId="75" xfId="141" applyNumberFormat="1" applyFont="1" applyFill="1" applyBorder="1" applyAlignment="1">
      <alignment horizontal="center" vertical="center" wrapText="1"/>
    </xf>
    <xf numFmtId="164" fontId="37" fillId="3" borderId="75" xfId="141" applyNumberFormat="1" applyFont="1" applyFill="1" applyBorder="1" applyAlignment="1">
      <alignment horizontal="center" vertical="center" wrapText="1"/>
    </xf>
    <xf numFmtId="0" fontId="5" fillId="3" borderId="27" xfId="20" applyFill="1" applyBorder="1" applyAlignment="1">
      <alignment horizontal="center" vertical="center" wrapText="1"/>
    </xf>
    <xf numFmtId="0" fontId="32" fillId="5" borderId="25" xfId="20" applyFont="1" applyFill="1" applyBorder="1" applyAlignment="1">
      <alignment horizontal="center" vertical="center" wrapText="1"/>
    </xf>
    <xf numFmtId="0" fontId="37" fillId="9" borderId="53" xfId="141" applyFont="1" applyFill="1" applyBorder="1" applyAlignment="1">
      <alignment horizontal="center" vertical="center" wrapText="1"/>
    </xf>
    <xf numFmtId="0" fontId="37" fillId="9" borderId="74" xfId="141" applyFont="1" applyFill="1" applyBorder="1" applyAlignment="1">
      <alignment horizontal="center" vertical="center" wrapText="1"/>
    </xf>
    <xf numFmtId="164" fontId="37" fillId="3" borderId="33" xfId="141" applyNumberFormat="1" applyFont="1" applyFill="1" applyBorder="1" applyAlignment="1">
      <alignment horizontal="center" vertical="center" wrapText="1"/>
    </xf>
    <xf numFmtId="0" fontId="5" fillId="3" borderId="42" xfId="20" applyFill="1" applyBorder="1" applyAlignment="1">
      <alignment horizontal="center" vertical="center" wrapText="1"/>
    </xf>
    <xf numFmtId="0" fontId="5" fillId="3" borderId="76" xfId="20" applyFill="1" applyBorder="1" applyAlignment="1">
      <alignment horizontal="center" vertical="center" wrapText="1"/>
    </xf>
    <xf numFmtId="0" fontId="39" fillId="10" borderId="29" xfId="141" applyFont="1" applyFill="1" applyBorder="1" applyAlignment="1">
      <alignment horizontal="left" vertical="center" wrapText="1"/>
    </xf>
    <xf numFmtId="0" fontId="5" fillId="0" borderId="44" xfId="20" applyBorder="1" applyAlignment="1">
      <alignment horizontal="left" vertical="center"/>
    </xf>
    <xf numFmtId="0" fontId="48" fillId="5" borderId="37" xfId="141" applyFont="1" applyFill="1" applyBorder="1" applyAlignment="1">
      <alignment horizontal="center" vertical="center" wrapText="1"/>
    </xf>
    <xf numFmtId="0" fontId="44" fillId="5" borderId="45" xfId="20" applyFont="1" applyFill="1" applyBorder="1" applyAlignment="1">
      <alignment horizontal="center" vertical="center" wrapText="1"/>
    </xf>
    <xf numFmtId="164" fontId="48" fillId="5" borderId="16" xfId="141" applyNumberFormat="1" applyFont="1" applyFill="1" applyBorder="1" applyAlignment="1">
      <alignment horizontal="center" vertical="center" wrapText="1"/>
    </xf>
    <xf numFmtId="164" fontId="48" fillId="5" borderId="38" xfId="141" applyNumberFormat="1" applyFont="1" applyFill="1" applyBorder="1" applyAlignment="1">
      <alignment horizontal="center" vertical="center" wrapText="1"/>
    </xf>
    <xf numFmtId="0" fontId="44" fillId="5" borderId="19" xfId="20" applyFont="1" applyFill="1" applyBorder="1" applyAlignment="1">
      <alignment horizontal="center" vertical="center" wrapText="1"/>
    </xf>
    <xf numFmtId="0" fontId="50" fillId="16" borderId="33" xfId="141" applyFont="1" applyFill="1" applyBorder="1" applyAlignment="1">
      <alignment horizontal="left" vertical="center"/>
    </xf>
    <xf numFmtId="0" fontId="50" fillId="16" borderId="42" xfId="141" applyFont="1" applyFill="1" applyBorder="1" applyAlignment="1">
      <alignment horizontal="left" vertical="center"/>
    </xf>
    <xf numFmtId="0" fontId="50" fillId="16" borderId="76" xfId="141" applyFont="1" applyFill="1" applyBorder="1" applyAlignment="1">
      <alignment horizontal="left" vertical="center"/>
    </xf>
    <xf numFmtId="0" fontId="48" fillId="5" borderId="78" xfId="141" applyFont="1" applyFill="1" applyBorder="1" applyAlignment="1">
      <alignment horizontal="center" vertical="center" wrapText="1"/>
    </xf>
    <xf numFmtId="0" fontId="42" fillId="14" borderId="11" xfId="141" applyFont="1" applyFill="1" applyBorder="1" applyAlignment="1">
      <alignment horizontal="center" vertical="center" textRotation="90" wrapText="1"/>
    </xf>
    <xf numFmtId="0" fontId="42" fillId="14" borderId="65" xfId="141" applyFont="1" applyFill="1" applyBorder="1" applyAlignment="1">
      <alignment horizontal="center" vertical="center" textRotation="90" wrapText="1"/>
    </xf>
    <xf numFmtId="0" fontId="5" fillId="0" borderId="65" xfId="20" applyBorder="1" applyAlignment="1">
      <alignment vertical="center" wrapText="1"/>
    </xf>
    <xf numFmtId="164" fontId="37" fillId="14" borderId="1" xfId="141" applyNumberFormat="1" applyFont="1" applyFill="1" applyBorder="1" applyAlignment="1">
      <alignment horizontal="center" wrapText="1"/>
    </xf>
    <xf numFmtId="164" fontId="37" fillId="14" borderId="63" xfId="141" applyNumberFormat="1" applyFont="1" applyFill="1" applyBorder="1" applyAlignment="1">
      <alignment horizontal="center" wrapText="1"/>
    </xf>
    <xf numFmtId="164" fontId="37" fillId="14" borderId="42" xfId="141" applyNumberFormat="1" applyFont="1" applyFill="1" applyBorder="1" applyAlignment="1">
      <alignment horizontal="center" wrapText="1"/>
    </xf>
    <xf numFmtId="164" fontId="37" fillId="14" borderId="54" xfId="141" applyNumberFormat="1" applyFont="1" applyFill="1" applyBorder="1" applyAlignment="1">
      <alignment horizontal="center" wrapText="1"/>
    </xf>
    <xf numFmtId="0" fontId="5" fillId="14" borderId="82" xfId="20" applyFill="1" applyBorder="1" applyAlignment="1">
      <alignment horizontal="center" wrapText="1"/>
    </xf>
    <xf numFmtId="0" fontId="5" fillId="14" borderId="4" xfId="20" applyFill="1" applyBorder="1" applyAlignment="1">
      <alignment horizontal="center" wrapText="1"/>
    </xf>
    <xf numFmtId="0" fontId="37" fillId="20" borderId="1" xfId="141" applyFont="1" applyFill="1" applyBorder="1" applyAlignment="1">
      <alignment horizontal="right"/>
    </xf>
    <xf numFmtId="0" fontId="36" fillId="20" borderId="2" xfId="141" applyFont="1" applyFill="1" applyBorder="1" applyAlignment="1">
      <alignment horizontal="right"/>
    </xf>
    <xf numFmtId="0" fontId="36" fillId="20" borderId="63" xfId="141" applyFont="1" applyFill="1" applyBorder="1" applyAlignment="1">
      <alignment horizontal="right"/>
    </xf>
    <xf numFmtId="0" fontId="5" fillId="0" borderId="68" xfId="20" applyBorder="1" applyAlignment="1">
      <alignment vertical="center" wrapText="1"/>
    </xf>
    <xf numFmtId="0" fontId="5" fillId="0" borderId="12" xfId="20" applyBorder="1" applyAlignment="1">
      <alignment vertical="center" wrapText="1"/>
    </xf>
    <xf numFmtId="164" fontId="48" fillId="15" borderId="63" xfId="141" applyNumberFormat="1" applyFont="1" applyFill="1" applyBorder="1" applyAlignment="1">
      <alignment horizontal="center" vertical="center" wrapText="1"/>
    </xf>
    <xf numFmtId="164" fontId="48" fillId="15" borderId="72" xfId="141" applyNumberFormat="1" applyFont="1" applyFill="1" applyBorder="1" applyAlignment="1">
      <alignment horizontal="center" vertical="center" wrapText="1"/>
    </xf>
    <xf numFmtId="0" fontId="44" fillId="15" borderId="77" xfId="20" applyFont="1" applyFill="1" applyBorder="1" applyAlignment="1">
      <alignment horizontal="center" vertical="center" wrapText="1"/>
    </xf>
    <xf numFmtId="0" fontId="70" fillId="0" borderId="0" xfId="20" applyFont="1" applyAlignment="1">
      <alignment horizontal="center" vertical="center"/>
    </xf>
    <xf numFmtId="0" fontId="5" fillId="0" borderId="0" xfId="20" applyAlignment="1">
      <alignment horizontal="center" vertical="center"/>
    </xf>
    <xf numFmtId="0" fontId="5" fillId="0" borderId="0" xfId="20" applyAlignment="1">
      <alignment vertical="center"/>
    </xf>
    <xf numFmtId="0" fontId="42" fillId="14" borderId="1" xfId="141" applyFont="1" applyFill="1" applyBorder="1" applyAlignment="1">
      <alignment horizontal="center" vertical="center" textRotation="90" wrapText="1"/>
    </xf>
    <xf numFmtId="0" fontId="42" fillId="14" borderId="68" xfId="20" applyFont="1" applyFill="1" applyBorder="1" applyAlignment="1">
      <alignment horizontal="center" vertical="center" textRotation="90" wrapText="1"/>
    </xf>
    <xf numFmtId="0" fontId="42" fillId="14" borderId="3" xfId="20" applyFont="1" applyFill="1" applyBorder="1" applyAlignment="1">
      <alignment horizontal="center" vertical="center" textRotation="90" wrapText="1"/>
    </xf>
    <xf numFmtId="0" fontId="5" fillId="8" borderId="0" xfId="141" applyFill="1" applyBorder="1" applyAlignment="1">
      <alignment vertical="center"/>
    </xf>
    <xf numFmtId="0" fontId="5" fillId="8" borderId="0" xfId="20" applyFill="1" applyAlignment="1">
      <alignment vertical="center"/>
    </xf>
    <xf numFmtId="0" fontId="50" fillId="8" borderId="28" xfId="20" applyFont="1" applyFill="1" applyBorder="1" applyAlignment="1" applyProtection="1">
      <alignment vertical="center" wrapText="1"/>
      <protection locked="0"/>
    </xf>
    <xf numFmtId="0" fontId="66" fillId="0" borderId="43" xfId="20" applyFont="1" applyBorder="1" applyAlignment="1">
      <alignment vertical="center" wrapText="1"/>
    </xf>
    <xf numFmtId="0" fontId="50" fillId="8" borderId="45" xfId="20" applyFont="1" applyFill="1" applyBorder="1" applyAlignment="1" applyProtection="1">
      <alignment vertical="center" wrapText="1"/>
      <protection locked="0"/>
    </xf>
    <xf numFmtId="0" fontId="66" fillId="0" borderId="25" xfId="20" applyFont="1" applyBorder="1" applyAlignment="1">
      <alignment vertical="center" wrapText="1"/>
    </xf>
    <xf numFmtId="0" fontId="50" fillId="8" borderId="29" xfId="20" applyFont="1" applyFill="1" applyBorder="1" applyAlignment="1" applyProtection="1">
      <alignment vertical="center" wrapText="1"/>
      <protection locked="0"/>
    </xf>
    <xf numFmtId="0" fontId="66" fillId="0" borderId="44" xfId="20" applyFont="1" applyBorder="1" applyAlignment="1">
      <alignment vertical="center" wrapText="1"/>
    </xf>
    <xf numFmtId="0" fontId="42" fillId="14" borderId="68" xfId="141" applyFont="1" applyFill="1" applyBorder="1" applyAlignment="1">
      <alignment horizontal="center" vertical="center" textRotation="90" wrapText="1"/>
    </xf>
    <xf numFmtId="0" fontId="5" fillId="0" borderId="3" xfId="20" applyBorder="1" applyAlignment="1">
      <alignment vertical="center" wrapText="1"/>
    </xf>
    <xf numFmtId="0" fontId="37" fillId="20" borderId="33" xfId="141" applyFont="1" applyFill="1" applyBorder="1" applyAlignment="1">
      <alignment horizontal="right"/>
    </xf>
    <xf numFmtId="0" fontId="37" fillId="20" borderId="42" xfId="141" applyFont="1" applyFill="1" applyBorder="1" applyAlignment="1">
      <alignment horizontal="right"/>
    </xf>
    <xf numFmtId="0" fontId="37" fillId="20" borderId="76" xfId="141" applyFont="1" applyFill="1" applyBorder="1" applyAlignment="1">
      <alignment horizontal="right"/>
    </xf>
    <xf numFmtId="0" fontId="36" fillId="20" borderId="42" xfId="141" applyFont="1" applyFill="1" applyBorder="1" applyAlignment="1">
      <alignment horizontal="right"/>
    </xf>
    <xf numFmtId="0" fontId="36" fillId="20" borderId="76" xfId="141" applyFont="1" applyFill="1" applyBorder="1" applyAlignment="1">
      <alignment horizontal="right"/>
    </xf>
    <xf numFmtId="14" fontId="52" fillId="12" borderId="41" xfId="20" applyNumberFormat="1" applyFont="1" applyFill="1" applyBorder="1" applyAlignment="1">
      <alignment horizontal="center" vertical="center" wrapText="1"/>
    </xf>
    <xf numFmtId="0" fontId="5" fillId="0" borderId="6" xfId="20" applyBorder="1" applyAlignment="1">
      <alignment vertical="center" wrapText="1"/>
    </xf>
    <xf numFmtId="0" fontId="36" fillId="12" borderId="51" xfId="20" applyFont="1" applyFill="1" applyBorder="1" applyAlignment="1">
      <alignment vertical="center" wrapText="1"/>
    </xf>
    <xf numFmtId="0" fontId="36" fillId="12" borderId="10" xfId="20" applyFont="1" applyFill="1" applyBorder="1" applyAlignment="1">
      <alignment vertical="center" wrapText="1"/>
    </xf>
  </cellXfs>
  <cellStyles count="145">
    <cellStyle name="Comma" xfId="136" builtinId="3"/>
    <cellStyle name="Comma 2" xfId="7" xr:uid="{00000000-0005-0000-0000-000001000000}"/>
    <cellStyle name="Comma 47 2" xfId="17" xr:uid="{00000000-0005-0000-0000-000002000000}"/>
    <cellStyle name="Comma 47 3" xfId="18" xr:uid="{00000000-0005-0000-0000-000003000000}"/>
    <cellStyle name="Comma 47 4" xfId="19" xr:uid="{00000000-0005-0000-0000-000004000000}"/>
    <cellStyle name="Comma0" xfId="8" xr:uid="{00000000-0005-0000-0000-000005000000}"/>
    <cellStyle name="Currency" xfId="1" builtinId="4"/>
    <cellStyle name="Currency 2" xfId="16" xr:uid="{00000000-0005-0000-0000-000007000000}"/>
    <cellStyle name="Currency 3" xfId="144" xr:uid="{3939DF56-349E-4FB0-86EB-F85735100191}"/>
    <cellStyle name="Currency0" xfId="9" xr:uid="{00000000-0005-0000-0000-000008000000}"/>
    <cellStyle name="Date" xfId="10" xr:uid="{00000000-0005-0000-0000-000009000000}"/>
    <cellStyle name="Fixed" xfId="11" xr:uid="{00000000-0005-0000-0000-00000A000000}"/>
    <cellStyle name="Hyperlink" xfId="138" builtinId="8"/>
    <cellStyle name="Hyperlink 2" xfId="140" xr:uid="{AD4A4CA1-0933-4496-9F39-DCD9244CC876}"/>
    <cellStyle name="Hyperlink 3" xfId="143" xr:uid="{D815F89B-3564-4290-9DCB-6F38811AAC00}"/>
    <cellStyle name="Normal" xfId="0" builtinId="0"/>
    <cellStyle name="Normal 11" xfId="20" xr:uid="{00000000-0005-0000-0000-00000D000000}"/>
    <cellStyle name="Normal 11 2" xfId="21" xr:uid="{00000000-0005-0000-0000-00000E000000}"/>
    <cellStyle name="Normal 11 3" xfId="22" xr:uid="{00000000-0005-0000-0000-00000F000000}"/>
    <cellStyle name="Normal 11 4" xfId="23" xr:uid="{00000000-0005-0000-0000-000010000000}"/>
    <cellStyle name="Normal 11 5" xfId="24" xr:uid="{00000000-0005-0000-0000-000011000000}"/>
    <cellStyle name="Normal 12" xfId="25" xr:uid="{00000000-0005-0000-0000-000012000000}"/>
    <cellStyle name="Normal 12 2" xfId="26" xr:uid="{00000000-0005-0000-0000-000013000000}"/>
    <cellStyle name="Normal 12 3" xfId="27" xr:uid="{00000000-0005-0000-0000-000014000000}"/>
    <cellStyle name="Normal 12 4" xfId="28" xr:uid="{00000000-0005-0000-0000-000015000000}"/>
    <cellStyle name="Normal 12 5" xfId="29" xr:uid="{00000000-0005-0000-0000-000016000000}"/>
    <cellStyle name="Normal 13" xfId="30" xr:uid="{00000000-0005-0000-0000-000017000000}"/>
    <cellStyle name="Normal 13 2" xfId="31" xr:uid="{00000000-0005-0000-0000-000018000000}"/>
    <cellStyle name="Normal 13 3" xfId="32" xr:uid="{00000000-0005-0000-0000-000019000000}"/>
    <cellStyle name="Normal 13 4" xfId="33" xr:uid="{00000000-0005-0000-0000-00001A000000}"/>
    <cellStyle name="Normal 13 5" xfId="34" xr:uid="{00000000-0005-0000-0000-00001B000000}"/>
    <cellStyle name="Normal 14" xfId="35" xr:uid="{00000000-0005-0000-0000-00001C000000}"/>
    <cellStyle name="Normal 14 2" xfId="36" xr:uid="{00000000-0005-0000-0000-00001D000000}"/>
    <cellStyle name="Normal 14 3" xfId="37" xr:uid="{00000000-0005-0000-0000-00001E000000}"/>
    <cellStyle name="Normal 14 4" xfId="38" xr:uid="{00000000-0005-0000-0000-00001F000000}"/>
    <cellStyle name="Normal 14 5" xfId="39" xr:uid="{00000000-0005-0000-0000-000020000000}"/>
    <cellStyle name="Normal 15" xfId="40" xr:uid="{00000000-0005-0000-0000-000021000000}"/>
    <cellStyle name="Normal 15 2" xfId="41" xr:uid="{00000000-0005-0000-0000-000022000000}"/>
    <cellStyle name="Normal 15 3" xfId="42" xr:uid="{00000000-0005-0000-0000-000023000000}"/>
    <cellStyle name="Normal 15 4" xfId="43" xr:uid="{00000000-0005-0000-0000-000024000000}"/>
    <cellStyle name="Normal 15 5" xfId="44" xr:uid="{00000000-0005-0000-0000-000025000000}"/>
    <cellStyle name="Normal 16" xfId="2" xr:uid="{00000000-0005-0000-0000-000026000000}"/>
    <cellStyle name="Normal 16 2" xfId="45" xr:uid="{00000000-0005-0000-0000-000027000000}"/>
    <cellStyle name="Normal 16 3" xfId="46" xr:uid="{00000000-0005-0000-0000-000028000000}"/>
    <cellStyle name="Normal 16 4" xfId="47" xr:uid="{00000000-0005-0000-0000-000029000000}"/>
    <cellStyle name="Normal 16 5" xfId="48" xr:uid="{00000000-0005-0000-0000-00002A000000}"/>
    <cellStyle name="Normal 17" xfId="4" xr:uid="{00000000-0005-0000-0000-00002B000000}"/>
    <cellStyle name="Normal 17 2" xfId="49" xr:uid="{00000000-0005-0000-0000-00002C000000}"/>
    <cellStyle name="Normal 17 3" xfId="50" xr:uid="{00000000-0005-0000-0000-00002D000000}"/>
    <cellStyle name="Normal 17 4" xfId="51" xr:uid="{00000000-0005-0000-0000-00002E000000}"/>
    <cellStyle name="Normal 17 5" xfId="52" xr:uid="{00000000-0005-0000-0000-00002F000000}"/>
    <cellStyle name="Normal 18" xfId="3" xr:uid="{00000000-0005-0000-0000-000030000000}"/>
    <cellStyle name="Normal 18 2" xfId="53" xr:uid="{00000000-0005-0000-0000-000031000000}"/>
    <cellStyle name="Normal 18 3" xfId="54" xr:uid="{00000000-0005-0000-0000-000032000000}"/>
    <cellStyle name="Normal 18 4" xfId="55" xr:uid="{00000000-0005-0000-0000-000033000000}"/>
    <cellStyle name="Normal 18 5" xfId="56" xr:uid="{00000000-0005-0000-0000-000034000000}"/>
    <cellStyle name="Normal 19" xfId="5" xr:uid="{00000000-0005-0000-0000-000035000000}"/>
    <cellStyle name="Normal 19 2" xfId="57" xr:uid="{00000000-0005-0000-0000-000036000000}"/>
    <cellStyle name="Normal 19 3" xfId="58" xr:uid="{00000000-0005-0000-0000-000037000000}"/>
    <cellStyle name="Normal 19 4" xfId="59" xr:uid="{00000000-0005-0000-0000-000038000000}"/>
    <cellStyle name="Normal 19 5" xfId="60" xr:uid="{00000000-0005-0000-0000-000039000000}"/>
    <cellStyle name="Normal 2" xfId="6" xr:uid="{00000000-0005-0000-0000-00003A000000}"/>
    <cellStyle name="Normal 2 2" xfId="61" xr:uid="{00000000-0005-0000-0000-00003B000000}"/>
    <cellStyle name="Normal 2 3" xfId="62" xr:uid="{00000000-0005-0000-0000-00003C000000}"/>
    <cellStyle name="Normal 2 4" xfId="63" xr:uid="{00000000-0005-0000-0000-00003D000000}"/>
    <cellStyle name="Normal 2 5" xfId="64" xr:uid="{00000000-0005-0000-0000-00003E000000}"/>
    <cellStyle name="Normal 20" xfId="65" xr:uid="{00000000-0005-0000-0000-00003F000000}"/>
    <cellStyle name="Normal 20 2" xfId="66" xr:uid="{00000000-0005-0000-0000-000040000000}"/>
    <cellStyle name="Normal 20 3" xfId="67" xr:uid="{00000000-0005-0000-0000-000041000000}"/>
    <cellStyle name="Normal 20 4" xfId="68" xr:uid="{00000000-0005-0000-0000-000042000000}"/>
    <cellStyle name="Normal 20 5" xfId="69" xr:uid="{00000000-0005-0000-0000-000043000000}"/>
    <cellStyle name="Normal 21" xfId="70" xr:uid="{00000000-0005-0000-0000-000044000000}"/>
    <cellStyle name="Normal 21 2" xfId="71" xr:uid="{00000000-0005-0000-0000-000045000000}"/>
    <cellStyle name="Normal 21 3" xfId="72" xr:uid="{00000000-0005-0000-0000-000046000000}"/>
    <cellStyle name="Normal 21 4" xfId="73" xr:uid="{00000000-0005-0000-0000-000047000000}"/>
    <cellStyle name="Normal 21 5" xfId="74" xr:uid="{00000000-0005-0000-0000-000048000000}"/>
    <cellStyle name="Normal 23" xfId="75" xr:uid="{00000000-0005-0000-0000-000049000000}"/>
    <cellStyle name="Normal 23 2" xfId="76" xr:uid="{00000000-0005-0000-0000-00004A000000}"/>
    <cellStyle name="Normal 23 3" xfId="77" xr:uid="{00000000-0005-0000-0000-00004B000000}"/>
    <cellStyle name="Normal 23 4" xfId="78" xr:uid="{00000000-0005-0000-0000-00004C000000}"/>
    <cellStyle name="Normal 23 5" xfId="79" xr:uid="{00000000-0005-0000-0000-00004D000000}"/>
    <cellStyle name="Normal 24" xfId="80" xr:uid="{00000000-0005-0000-0000-00004E000000}"/>
    <cellStyle name="Normal 24 2" xfId="81" xr:uid="{00000000-0005-0000-0000-00004F000000}"/>
    <cellStyle name="Normal 24 3" xfId="82" xr:uid="{00000000-0005-0000-0000-000050000000}"/>
    <cellStyle name="Normal 24 4" xfId="83" xr:uid="{00000000-0005-0000-0000-000051000000}"/>
    <cellStyle name="Normal 24 5" xfId="84" xr:uid="{00000000-0005-0000-0000-000052000000}"/>
    <cellStyle name="Normal 25" xfId="85" xr:uid="{00000000-0005-0000-0000-000053000000}"/>
    <cellStyle name="Normal 25 2" xfId="86" xr:uid="{00000000-0005-0000-0000-000054000000}"/>
    <cellStyle name="Normal 25 3" xfId="87" xr:uid="{00000000-0005-0000-0000-000055000000}"/>
    <cellStyle name="Normal 25 4" xfId="88" xr:uid="{00000000-0005-0000-0000-000056000000}"/>
    <cellStyle name="Normal 25 5" xfId="89" xr:uid="{00000000-0005-0000-0000-000057000000}"/>
    <cellStyle name="Normal 26" xfId="90" xr:uid="{00000000-0005-0000-0000-000058000000}"/>
    <cellStyle name="Normal 26 2" xfId="91" xr:uid="{00000000-0005-0000-0000-000059000000}"/>
    <cellStyle name="Normal 26 3" xfId="92" xr:uid="{00000000-0005-0000-0000-00005A000000}"/>
    <cellStyle name="Normal 26 4" xfId="93" xr:uid="{00000000-0005-0000-0000-00005B000000}"/>
    <cellStyle name="Normal 26 5" xfId="94" xr:uid="{00000000-0005-0000-0000-00005C000000}"/>
    <cellStyle name="Normal 27" xfId="95" xr:uid="{00000000-0005-0000-0000-00005D000000}"/>
    <cellStyle name="Normal 27 2" xfId="96" xr:uid="{00000000-0005-0000-0000-00005E000000}"/>
    <cellStyle name="Normal 27 3" xfId="97" xr:uid="{00000000-0005-0000-0000-00005F000000}"/>
    <cellStyle name="Normal 27 4" xfId="98" xr:uid="{00000000-0005-0000-0000-000060000000}"/>
    <cellStyle name="Normal 27 5" xfId="99" xr:uid="{00000000-0005-0000-0000-000061000000}"/>
    <cellStyle name="Normal 28 2" xfId="100" xr:uid="{00000000-0005-0000-0000-000062000000}"/>
    <cellStyle name="Normal 28 3" xfId="101" xr:uid="{00000000-0005-0000-0000-000063000000}"/>
    <cellStyle name="Normal 28 4" xfId="102" xr:uid="{00000000-0005-0000-0000-000064000000}"/>
    <cellStyle name="Normal 29" xfId="103" xr:uid="{00000000-0005-0000-0000-000065000000}"/>
    <cellStyle name="Normal 3" xfId="12" xr:uid="{00000000-0005-0000-0000-000066000000}"/>
    <cellStyle name="Normal 3 2" xfId="104" xr:uid="{00000000-0005-0000-0000-000067000000}"/>
    <cellStyle name="Normal 3 3" xfId="105" xr:uid="{00000000-0005-0000-0000-000068000000}"/>
    <cellStyle name="Normal 3 4" xfId="106" xr:uid="{00000000-0005-0000-0000-000069000000}"/>
    <cellStyle name="Normal 3 5" xfId="107" xr:uid="{00000000-0005-0000-0000-00006A000000}"/>
    <cellStyle name="Normal 30" xfId="108" xr:uid="{00000000-0005-0000-0000-00006B000000}"/>
    <cellStyle name="Normal 32" xfId="109" xr:uid="{00000000-0005-0000-0000-00006C000000}"/>
    <cellStyle name="Normal 4" xfId="13" xr:uid="{00000000-0005-0000-0000-00006D000000}"/>
    <cellStyle name="Normal 4 2" xfId="110" xr:uid="{00000000-0005-0000-0000-00006E000000}"/>
    <cellStyle name="Normal 4 3" xfId="111" xr:uid="{00000000-0005-0000-0000-00006F000000}"/>
    <cellStyle name="Normal 4 4" xfId="112" xr:uid="{00000000-0005-0000-0000-000070000000}"/>
    <cellStyle name="Normal 4 5" xfId="113" xr:uid="{00000000-0005-0000-0000-000071000000}"/>
    <cellStyle name="Normal 5" xfId="139" xr:uid="{800F61AB-3829-4A8A-A3A9-0D3639B5EA4F}"/>
    <cellStyle name="Normal 5 2" xfId="114" xr:uid="{00000000-0005-0000-0000-000072000000}"/>
    <cellStyle name="Normal 5 3" xfId="115" xr:uid="{00000000-0005-0000-0000-000073000000}"/>
    <cellStyle name="Normal 5 4" xfId="116" xr:uid="{00000000-0005-0000-0000-000074000000}"/>
    <cellStyle name="Normal 5 5" xfId="117" xr:uid="{00000000-0005-0000-0000-000075000000}"/>
    <cellStyle name="Normal 6" xfId="118" xr:uid="{00000000-0005-0000-0000-000076000000}"/>
    <cellStyle name="Normal 6 2" xfId="119" xr:uid="{00000000-0005-0000-0000-000077000000}"/>
    <cellStyle name="Normal 6 3" xfId="120" xr:uid="{00000000-0005-0000-0000-000078000000}"/>
    <cellStyle name="Normal 6 4" xfId="121" xr:uid="{00000000-0005-0000-0000-000079000000}"/>
    <cellStyle name="Normal 6 5" xfId="122" xr:uid="{00000000-0005-0000-0000-00007A000000}"/>
    <cellStyle name="Normal 7" xfId="142" xr:uid="{13971D49-5E40-430B-8CCF-EA830B51B959}"/>
    <cellStyle name="Normal 7 2" xfId="123" xr:uid="{00000000-0005-0000-0000-00007B000000}"/>
    <cellStyle name="Normal 7 3" xfId="124" xr:uid="{00000000-0005-0000-0000-00007C000000}"/>
    <cellStyle name="Normal 7 4" xfId="125" xr:uid="{00000000-0005-0000-0000-00007D000000}"/>
    <cellStyle name="Normal 7 5" xfId="126" xr:uid="{00000000-0005-0000-0000-00007E000000}"/>
    <cellStyle name="Normal 8 2" xfId="127" xr:uid="{00000000-0005-0000-0000-00007F000000}"/>
    <cellStyle name="Normal 8 3" xfId="128" xr:uid="{00000000-0005-0000-0000-000080000000}"/>
    <cellStyle name="Normal 8 4" xfId="129" xr:uid="{00000000-0005-0000-0000-000081000000}"/>
    <cellStyle name="Normal 8 5" xfId="130" xr:uid="{00000000-0005-0000-0000-000082000000}"/>
    <cellStyle name="Normal 9" xfId="131" xr:uid="{00000000-0005-0000-0000-000083000000}"/>
    <cellStyle name="Normal 9 2" xfId="132" xr:uid="{00000000-0005-0000-0000-000084000000}"/>
    <cellStyle name="Normal 9 3" xfId="133" xr:uid="{00000000-0005-0000-0000-000085000000}"/>
    <cellStyle name="Normal 9 4" xfId="134" xr:uid="{00000000-0005-0000-0000-000086000000}"/>
    <cellStyle name="Normal 9 5" xfId="135" xr:uid="{00000000-0005-0000-0000-000087000000}"/>
    <cellStyle name="Normal_Sheet1 2" xfId="141" xr:uid="{3728E938-5099-4B8C-AE51-036EDF96A649}"/>
    <cellStyle name="Percent" xfId="137" builtinId="5"/>
    <cellStyle name="Percent 2" xfId="14" xr:uid="{00000000-0005-0000-0000-000089000000}"/>
    <cellStyle name="Percent 3" xfId="15" xr:uid="{00000000-0005-0000-0000-00008A000000}"/>
  </cellStyles>
  <dxfs count="3">
    <dxf>
      <font>
        <color auto="1"/>
      </font>
      <fill>
        <patternFill>
          <bgColor theme="6" tint="0.39994506668294322"/>
        </patternFill>
      </fill>
    </dxf>
    <dxf>
      <font>
        <color auto="1"/>
      </font>
      <fill>
        <patternFill patternType="solid">
          <fgColor auto="1"/>
          <bgColor theme="6" tint="0.39994506668294322"/>
        </patternFill>
      </fill>
    </dxf>
    <dxf>
      <font>
        <color rgb="FF9C0006"/>
      </font>
      <fill>
        <patternFill>
          <bgColor rgb="FFFFC7CE"/>
        </patternFill>
      </fill>
    </dxf>
  </dxfs>
  <tableStyles count="0" defaultTableStyle="TableStyleMedium2" defaultPivotStyle="PivotStyleLight16"/>
  <colors>
    <mruColors>
      <color rgb="FFF97B7B"/>
      <color rgb="FFFF9999"/>
      <color rgb="FFFF9933"/>
      <color rgb="FFF76F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pivotCacheDefinition" Target="pivotCache/pivotCacheDefinition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pivotCacheDefinition" Target="pivotCache/pivotCacheDefinition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1042147</xdr:colOff>
      <xdr:row>9</xdr:row>
      <xdr:rowOff>22411</xdr:rowOff>
    </xdr:from>
    <xdr:to>
      <xdr:col>9</xdr:col>
      <xdr:colOff>931769</xdr:colOff>
      <xdr:row>28</xdr:row>
      <xdr:rowOff>142724</xdr:rowOff>
    </xdr:to>
    <xdr:pic>
      <xdr:nvPicPr>
        <xdr:cNvPr id="2" name="Picture 1" descr="A map with a river running through it&#10;&#10;Description automatically generated">
          <a:extLst>
            <a:ext uri="{FF2B5EF4-FFF2-40B4-BE49-F238E27FC236}">
              <a16:creationId xmlns:a16="http://schemas.microsoft.com/office/drawing/2014/main" id="{AD007E67-46FA-4C60-B034-EC979D86301C}"/>
            </a:ext>
          </a:extLst>
        </xdr:cNvPr>
        <xdr:cNvPicPr>
          <a:picLocks noChangeAspect="1"/>
        </xdr:cNvPicPr>
      </xdr:nvPicPr>
      <xdr:blipFill rotWithShape="1">
        <a:blip xmlns:r="http://schemas.openxmlformats.org/officeDocument/2006/relationships" r:embed="rId1"/>
        <a:srcRect l="20927" t="16254" r="1772" b="6126"/>
        <a:stretch/>
      </xdr:blipFill>
      <xdr:spPr>
        <a:xfrm>
          <a:off x="7272618" y="1075764"/>
          <a:ext cx="6533029" cy="37286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23</xdr:col>
      <xdr:colOff>47626</xdr:colOff>
      <xdr:row>12</xdr:row>
      <xdr:rowOff>47625</xdr:rowOff>
    </xdr:from>
    <xdr:ext cx="9926529" cy="7595926"/>
    <xdr:pic>
      <xdr:nvPicPr>
        <xdr:cNvPr id="5" name="Picture 4">
          <a:extLst>
            <a:ext uri="{FF2B5EF4-FFF2-40B4-BE49-F238E27FC236}">
              <a16:creationId xmlns:a16="http://schemas.microsoft.com/office/drawing/2014/main" id="{50E8DFEC-6FE5-4FA1-869B-B4A505A51ECF}"/>
            </a:ext>
          </a:extLst>
        </xdr:cNvPr>
        <xdr:cNvPicPr>
          <a:picLocks noChangeAspect="1"/>
        </xdr:cNvPicPr>
      </xdr:nvPicPr>
      <xdr:blipFill>
        <a:blip xmlns:r="http://schemas.openxmlformats.org/officeDocument/2006/relationships" r:embed="rId1"/>
        <a:stretch>
          <a:fillRect/>
        </a:stretch>
      </xdr:blipFill>
      <xdr:spPr>
        <a:xfrm>
          <a:off x="45434251" y="2524125"/>
          <a:ext cx="9926529" cy="75959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8804</xdr:colOff>
      <xdr:row>6</xdr:row>
      <xdr:rowOff>176892</xdr:rowOff>
    </xdr:from>
    <xdr:ext cx="15100448" cy="6721929"/>
    <xdr:pic>
      <xdr:nvPicPr>
        <xdr:cNvPr id="2" name="Picture 1">
          <a:extLst>
            <a:ext uri="{FF2B5EF4-FFF2-40B4-BE49-F238E27FC236}">
              <a16:creationId xmlns:a16="http://schemas.microsoft.com/office/drawing/2014/main" id="{A65E671D-3A61-4C9E-99F3-641DD09F25D0}"/>
            </a:ext>
          </a:extLst>
        </xdr:cNvPr>
        <xdr:cNvPicPr>
          <a:picLocks noChangeAspect="1"/>
        </xdr:cNvPicPr>
      </xdr:nvPicPr>
      <xdr:blipFill>
        <a:blip xmlns:r="http://schemas.openxmlformats.org/officeDocument/2006/relationships" r:embed="rId1"/>
        <a:stretch>
          <a:fillRect/>
        </a:stretch>
      </xdr:blipFill>
      <xdr:spPr>
        <a:xfrm>
          <a:off x="621125" y="367392"/>
          <a:ext cx="15100448" cy="6721929"/>
        </a:xfrm>
        <a:prstGeom prst="rect">
          <a:avLst/>
        </a:prstGeom>
        <a:ln w="12700">
          <a:solidFill>
            <a:schemeClr val="tx1"/>
          </a:solidFill>
        </a:ln>
      </xdr:spPr>
    </xdr:pic>
    <xdr:clientData/>
  </xdr:oneCellAnchor>
  <xdr:twoCellAnchor editAs="oneCell">
    <xdr:from>
      <xdr:col>4</xdr:col>
      <xdr:colOff>2372591</xdr:colOff>
      <xdr:row>55</xdr:row>
      <xdr:rowOff>28854</xdr:rowOff>
    </xdr:from>
    <xdr:to>
      <xdr:col>17</xdr:col>
      <xdr:colOff>263484</xdr:colOff>
      <xdr:row>95</xdr:row>
      <xdr:rowOff>149635</xdr:rowOff>
    </xdr:to>
    <xdr:pic>
      <xdr:nvPicPr>
        <xdr:cNvPr id="3" name="Picture 2">
          <a:extLst>
            <a:ext uri="{FF2B5EF4-FFF2-40B4-BE49-F238E27FC236}">
              <a16:creationId xmlns:a16="http://schemas.microsoft.com/office/drawing/2014/main" id="{8F74675E-794D-7DF6-A7D8-7BD52AAF1452}"/>
            </a:ext>
          </a:extLst>
        </xdr:cNvPr>
        <xdr:cNvPicPr>
          <a:picLocks noChangeAspect="1"/>
        </xdr:cNvPicPr>
      </xdr:nvPicPr>
      <xdr:blipFill>
        <a:blip xmlns:r="http://schemas.openxmlformats.org/officeDocument/2006/relationships" r:embed="rId2"/>
        <a:stretch>
          <a:fillRect/>
        </a:stretch>
      </xdr:blipFill>
      <xdr:spPr>
        <a:xfrm>
          <a:off x="8944841" y="10506354"/>
          <a:ext cx="10368643" cy="77407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17</xdr:col>
      <xdr:colOff>160762</xdr:colOff>
      <xdr:row>43</xdr:row>
      <xdr:rowOff>65952</xdr:rowOff>
    </xdr:to>
    <xdr:pic>
      <xdr:nvPicPr>
        <xdr:cNvPr id="4" name="Picture 3">
          <a:extLst>
            <a:ext uri="{FF2B5EF4-FFF2-40B4-BE49-F238E27FC236}">
              <a16:creationId xmlns:a16="http://schemas.microsoft.com/office/drawing/2014/main" id="{13B59D7C-A5BF-A7F9-79D3-F59BDA27C626}"/>
            </a:ext>
          </a:extLst>
        </xdr:cNvPr>
        <xdr:cNvPicPr>
          <a:picLocks noChangeAspect="1"/>
        </xdr:cNvPicPr>
      </xdr:nvPicPr>
      <xdr:blipFill>
        <a:blip xmlns:r="http://schemas.openxmlformats.org/officeDocument/2006/relationships" r:embed="rId1"/>
        <a:stretch>
          <a:fillRect/>
        </a:stretch>
      </xdr:blipFill>
      <xdr:spPr>
        <a:xfrm>
          <a:off x="1212273" y="2476500"/>
          <a:ext cx="9252807" cy="57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10</xdr:row>
      <xdr:rowOff>0</xdr:rowOff>
    </xdr:from>
    <xdr:to>
      <xdr:col>13</xdr:col>
      <xdr:colOff>62442</xdr:colOff>
      <xdr:row>42</xdr:row>
      <xdr:rowOff>11206</xdr:rowOff>
    </xdr:to>
    <xdr:pic>
      <xdr:nvPicPr>
        <xdr:cNvPr id="6" name="Picture 5">
          <a:extLst>
            <a:ext uri="{FF2B5EF4-FFF2-40B4-BE49-F238E27FC236}">
              <a16:creationId xmlns:a16="http://schemas.microsoft.com/office/drawing/2014/main" id="{FC0908D6-0C1D-4DFF-9D0A-D0AEAE3FDF85}"/>
            </a:ext>
          </a:extLst>
        </xdr:cNvPr>
        <xdr:cNvPicPr>
          <a:picLocks noChangeAspect="1"/>
        </xdr:cNvPicPr>
      </xdr:nvPicPr>
      <xdr:blipFill>
        <a:blip xmlns:r="http://schemas.openxmlformats.org/officeDocument/2006/relationships" r:embed="rId1"/>
        <a:stretch>
          <a:fillRect/>
        </a:stretch>
      </xdr:blipFill>
      <xdr:spPr>
        <a:xfrm>
          <a:off x="1210235" y="1905000"/>
          <a:ext cx="8612531" cy="6107206"/>
        </a:xfrm>
        <a:prstGeom prst="rect">
          <a:avLst/>
        </a:prstGeom>
      </xdr:spPr>
    </xdr:pic>
    <xdr:clientData/>
  </xdr:twoCellAnchor>
  <xdr:twoCellAnchor editAs="oneCell">
    <xdr:from>
      <xdr:col>2</xdr:col>
      <xdr:colOff>0</xdr:colOff>
      <xdr:row>45</xdr:row>
      <xdr:rowOff>0</xdr:rowOff>
    </xdr:from>
    <xdr:to>
      <xdr:col>18</xdr:col>
      <xdr:colOff>141973</xdr:colOff>
      <xdr:row>88</xdr:row>
      <xdr:rowOff>170405</xdr:rowOff>
    </xdr:to>
    <xdr:pic>
      <xdr:nvPicPr>
        <xdr:cNvPr id="7" name="Picture 6">
          <a:extLst>
            <a:ext uri="{FF2B5EF4-FFF2-40B4-BE49-F238E27FC236}">
              <a16:creationId xmlns:a16="http://schemas.microsoft.com/office/drawing/2014/main" id="{D5721AD1-A65D-447F-A5F2-6271B44A15BB}"/>
            </a:ext>
          </a:extLst>
        </xdr:cNvPr>
        <xdr:cNvPicPr>
          <a:picLocks noChangeAspect="1"/>
        </xdr:cNvPicPr>
      </xdr:nvPicPr>
      <xdr:blipFill>
        <a:blip xmlns:r="http://schemas.openxmlformats.org/officeDocument/2006/relationships" r:embed="rId2"/>
        <a:stretch>
          <a:fillRect/>
        </a:stretch>
      </xdr:blipFill>
      <xdr:spPr>
        <a:xfrm>
          <a:off x="1210235" y="8572500"/>
          <a:ext cx="11695238" cy="83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27</xdr:col>
      <xdr:colOff>245356</xdr:colOff>
      <xdr:row>61</xdr:row>
      <xdr:rowOff>170309</xdr:rowOff>
    </xdr:to>
    <xdr:pic>
      <xdr:nvPicPr>
        <xdr:cNvPr id="2" name="Picture 1">
          <a:extLst>
            <a:ext uri="{FF2B5EF4-FFF2-40B4-BE49-F238E27FC236}">
              <a16:creationId xmlns:a16="http://schemas.microsoft.com/office/drawing/2014/main" id="{D1D47283-3C76-E259-50C0-0F569B9FA089}"/>
            </a:ext>
          </a:extLst>
        </xdr:cNvPr>
        <xdr:cNvPicPr>
          <a:picLocks noChangeAspect="1"/>
        </xdr:cNvPicPr>
      </xdr:nvPicPr>
      <xdr:blipFill>
        <a:blip xmlns:r="http://schemas.openxmlformats.org/officeDocument/2006/relationships" r:embed="rId1"/>
        <a:stretch>
          <a:fillRect/>
        </a:stretch>
      </xdr:blipFill>
      <xdr:spPr>
        <a:xfrm>
          <a:off x="0" y="3048000"/>
          <a:ext cx="18352381" cy="9123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25</xdr:col>
      <xdr:colOff>432507</xdr:colOff>
      <xdr:row>79</xdr:row>
      <xdr:rowOff>132214</xdr:rowOff>
    </xdr:to>
    <xdr:pic>
      <xdr:nvPicPr>
        <xdr:cNvPr id="4" name="Picture 3">
          <a:extLst>
            <a:ext uri="{FF2B5EF4-FFF2-40B4-BE49-F238E27FC236}">
              <a16:creationId xmlns:a16="http://schemas.microsoft.com/office/drawing/2014/main" id="{CCC99D14-5D47-4DDE-8913-DF2EBFA45E3F}"/>
            </a:ext>
          </a:extLst>
        </xdr:cNvPr>
        <xdr:cNvPicPr>
          <a:picLocks noChangeAspect="1"/>
        </xdr:cNvPicPr>
      </xdr:nvPicPr>
      <xdr:blipFill>
        <a:blip xmlns:r="http://schemas.openxmlformats.org/officeDocument/2006/relationships" r:embed="rId1"/>
        <a:stretch>
          <a:fillRect/>
        </a:stretch>
      </xdr:blipFill>
      <xdr:spPr>
        <a:xfrm>
          <a:off x="0" y="7048500"/>
          <a:ext cx="18149007" cy="9085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12</xdr:row>
      <xdr:rowOff>76200</xdr:rowOff>
    </xdr:from>
    <xdr:ext cx="7209524" cy="5876190"/>
    <xdr:pic>
      <xdr:nvPicPr>
        <xdr:cNvPr id="2" name="Picture 1">
          <a:extLst>
            <a:ext uri="{FF2B5EF4-FFF2-40B4-BE49-F238E27FC236}">
              <a16:creationId xmlns:a16="http://schemas.microsoft.com/office/drawing/2014/main" id="{A8603003-DE8D-4F70-962C-61045409FB47}"/>
            </a:ext>
          </a:extLst>
        </xdr:cNvPr>
        <xdr:cNvPicPr>
          <a:picLocks noChangeAspect="1"/>
        </xdr:cNvPicPr>
      </xdr:nvPicPr>
      <xdr:blipFill>
        <a:blip xmlns:r="http://schemas.openxmlformats.org/officeDocument/2006/relationships" r:embed="rId1"/>
        <a:stretch>
          <a:fillRect/>
        </a:stretch>
      </xdr:blipFill>
      <xdr:spPr>
        <a:xfrm>
          <a:off x="0" y="2362200"/>
          <a:ext cx="7209524" cy="587619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43</xdr:row>
      <xdr:rowOff>54428</xdr:rowOff>
    </xdr:from>
    <xdr:to>
      <xdr:col>25</xdr:col>
      <xdr:colOff>593707</xdr:colOff>
      <xdr:row>106</xdr:row>
      <xdr:rowOff>138867</xdr:rowOff>
    </xdr:to>
    <xdr:pic>
      <xdr:nvPicPr>
        <xdr:cNvPr id="2" name="Picture 1">
          <a:extLst>
            <a:ext uri="{FF2B5EF4-FFF2-40B4-BE49-F238E27FC236}">
              <a16:creationId xmlns:a16="http://schemas.microsoft.com/office/drawing/2014/main" id="{377D2439-F44D-11E8-EC12-6B75A206B781}"/>
            </a:ext>
          </a:extLst>
        </xdr:cNvPr>
        <xdr:cNvPicPr>
          <a:picLocks noChangeAspect="1"/>
        </xdr:cNvPicPr>
      </xdr:nvPicPr>
      <xdr:blipFill>
        <a:blip xmlns:r="http://schemas.openxmlformats.org/officeDocument/2006/relationships" r:embed="rId1"/>
        <a:stretch>
          <a:fillRect/>
        </a:stretch>
      </xdr:blipFill>
      <xdr:spPr>
        <a:xfrm>
          <a:off x="0" y="12300857"/>
          <a:ext cx="18364636" cy="103714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Projects\09000\9320\TS\INFRA%20Grant\BCA%20Workbook%20-%20Base.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local_mflanagan\INetCache\Content.Outlook\71TN3B6R\3604-80_TPCE_Scoping.xlsx" TargetMode="External"/><Relationship Id="rId1" Type="http://schemas.openxmlformats.org/officeDocument/2006/relationships/externalLinkPath" Target="file:///C:\Users\local_mflanagan\INetCache\Content.Outlook\71TN3B6R\3604-80_TPCE_Scop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MN%20-%20BNSF%20TIGER%202014\400-Technical\402%20BCA\New%20Analysis%20Network%20Grade%20Crossings\MGCAM12032009%20-%20Test42614_Staples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fgroup.loc\DFSMapK\Trans\Grant%20Applications\2020%20Grants\INFRA\TH%2010%20Rum%20River\BCA\Copy%20of%20TH%2010%20Rum%20River%20BCA%20Workbook_updated%20cos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JunBAK\Atlanta\FINAL%20RUNS\Atlanta%20Optimization%202016\AMPK_fixtoll25_sellink\Create%20Summaries\AMPK_OD%20Markets_v2X.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information about TPCE"/>
      <sheetName val="CHIMES INFLATION"/>
      <sheetName val="CHIMES Entry"/>
      <sheetName val="Change Summary"/>
      <sheetName val="items under each pull down menu"/>
    </sheetNames>
    <sheetDataSet>
      <sheetData sheetId="0"/>
      <sheetData sheetId="1">
        <row r="20">
          <cell r="C20">
            <v>2024</v>
          </cell>
          <cell r="E20">
            <v>2025</v>
          </cell>
        </row>
        <row r="36">
          <cell r="A36">
            <v>1.0350000000000001</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sheetName val="Safety Benefits"/>
      <sheetName val="Travel Time Savings (Summary)"/>
      <sheetName val="Travel Time Savings (Ferry St)"/>
      <sheetName val="Travel Time Savings (TH 10)"/>
      <sheetName val="Travel Time Savings (4th Ave)"/>
      <sheetName val="Capital Cost and RCV Calc"/>
      <sheetName val="Operation and Maintenance"/>
      <sheetName val="RCV Calculator"/>
    </sheetNames>
    <sheetDataSet>
      <sheetData sheetId="0">
        <row r="5">
          <cell r="D5">
            <v>2020</v>
          </cell>
        </row>
      </sheetData>
      <sheetData sheetId="1"/>
      <sheetData sheetId="2"/>
      <sheetData sheetId="3"/>
      <sheetData sheetId="4"/>
      <sheetData sheetId="5"/>
      <sheetData sheetId="6"/>
      <sheetData sheetId="7"/>
      <sheetData sheetId="8"/>
      <sheetData sheetId="9">
        <row r="15">
          <cell r="N15">
            <v>0.99668901533542642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BCA Summary "/>
      <sheetName val="Operations Calculations"/>
      <sheetName val="VOC Savings"/>
      <sheetName val="Travel Time Savings"/>
      <sheetName val="Safety Improvements"/>
      <sheetName val="Safety Impacts of Alt Routes"/>
      <sheetName val="Air Quality"/>
      <sheetName val="Construction Travel Time Impact"/>
      <sheetName val="Capital Cost + RCV"/>
      <sheetName val="O&amp;M + Rehab"/>
      <sheetName val="Traffic Patterns"/>
      <sheetName val="Existing TH 11 AADT Data"/>
      <sheetName val="VMT &amp; Crash Data by Route"/>
      <sheetName val="Traffic Forecast Data"/>
      <sheetName val="SETUP"/>
      <sheetName val="Input"/>
      <sheetName val="Summary"/>
    </sheetNames>
    <sheetDataSet>
      <sheetData sheetId="0">
        <row r="3">
          <cell r="B3"/>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8">
          <cell r="B28" t="str">
            <v>AM Peak</v>
          </cell>
        </row>
      </sheetData>
      <sheetData sheetId="16">
        <row r="1">
          <cell r="C1" t="str">
            <v>TRIP</v>
          </cell>
        </row>
      </sheetData>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 Flanagan" refreshedDate="45133.371107754632" createdVersion="8" refreshedVersion="8" minRefreshableVersion="3" recordCount="18" xr:uid="{EEE1892B-842E-45C5-8F10-BB06216F233B}">
  <cacheSource type="worksheet">
    <worksheetSource ref="A1:DC9" sheet="Crash Data - Build Cars"/>
  </cacheSource>
  <cacheFields count="107">
    <cacheField name="INCIDENTID" numFmtId="0">
      <sharedItems containsSemiMixedTypes="0" containsString="0" containsNumber="1" containsInteger="1" minValue="418594" maxValue="11054749"/>
    </cacheField>
    <cacheField name="RTESYSCODE" numFmtId="0">
      <sharedItems/>
    </cacheField>
    <cacheField name="RTENUMBER" numFmtId="0">
      <sharedItems containsSemiMixedTypes="0" containsString="0" containsNumber="1" containsInteger="1" minValue="11" maxValue="82"/>
    </cacheField>
    <cacheField name="MEASURE" numFmtId="0">
      <sharedItems containsSemiMixedTypes="0" containsString="0" containsNumber="1" minValue="2.9430000000000001" maxValue="175.81"/>
    </cacheField>
    <cacheField name="COUNTY_SPATIAL" numFmtId="0">
      <sharedItems/>
    </cacheField>
    <cacheField name="CITY_NAME" numFmtId="0">
      <sharedItems containsNonDate="0" containsString="0" containsBlank="1"/>
    </cacheField>
    <cacheField name="TOWNSHIP_NAME" numFmtId="0">
      <sharedItems containsBlank="1"/>
    </cacheField>
    <cacheField name="MNDOT_DISTRICT_SPATIAL" numFmtId="0">
      <sharedItems containsBlank="1"/>
    </cacheField>
    <cacheField name="STATE_PATROL_DIST_SPATIAL" numFmtId="0">
      <sharedItems/>
    </cacheField>
    <cacheField name="TRIBAL_GOVERNMENT_SPATIAL" numFmtId="0">
      <sharedItems containsNonDate="0" containsString="0" containsBlank="1"/>
    </cacheField>
    <cacheField name="LOCALID" numFmtId="0">
      <sharedItems containsBlank="1" containsMixedTypes="1" containsNumber="1" containsInteger="1" minValue="13310015" maxValue="23310747"/>
    </cacheField>
    <cacheField name="ACCIDENT_NUMBER" numFmtId="0">
      <sharedItems containsSemiMixedTypes="0" containsString="0" containsNumber="1" containsInteger="1" minValue="130080278" maxValue="231810101"/>
    </cacheField>
    <cacheField name="CRASH_MONTH" numFmtId="16">
      <sharedItems containsSemiMixedTypes="0" containsNonDate="0" containsDate="1" containsString="0" minDate="2023-01-01T00:00:00" maxDate="2023-12-13T00:00:00"/>
    </cacheField>
    <cacheField name="CRASH_DAY" numFmtId="0">
      <sharedItems containsSemiMixedTypes="0" containsString="0" containsNumber="1" containsInteger="1" minValue="2" maxValue="30"/>
    </cacheField>
    <cacheField name="CRASH_YEAR" numFmtId="0">
      <sharedItems containsSemiMixedTypes="0" containsString="0" containsNumber="1" containsInteger="1" minValue="2013" maxValue="2023" count="9">
        <n v="2013"/>
        <n v="2014"/>
        <n v="2017"/>
        <n v="2019"/>
        <n v="2018"/>
        <n v="2023"/>
        <n v="2022"/>
        <n v="2015"/>
        <n v="2020"/>
      </sharedItems>
    </cacheField>
    <cacheField name="CRASH_DAYOFWEEK" numFmtId="0">
      <sharedItems/>
    </cacheField>
    <cacheField name="CRASH_HOUR" numFmtId="0">
      <sharedItems containsSemiMixedTypes="0" containsString="0" containsNumber="1" containsInteger="1" minValue="2" maxValue="22"/>
    </cacheField>
    <cacheField name="DIVIDEDRDWYDIR" numFmtId="0">
      <sharedItems containsBlank="1"/>
    </cacheField>
    <cacheField name="CRASHSEVERITY" numFmtId="0">
      <sharedItems count="4">
        <s v="Property Damage Only"/>
        <s v="Possible Injury"/>
        <s v="Serious Injury"/>
        <s v="Minor Injury"/>
      </sharedItems>
    </cacheField>
    <cacheField name="NUMBERKILLED" numFmtId="0">
      <sharedItems containsSemiMixedTypes="0" containsString="0" containsNumber="1" containsInteger="1" minValue="0" maxValue="0"/>
    </cacheField>
    <cacheField name="NUMBEROFVEHICLES" numFmtId="0">
      <sharedItems containsSemiMixedTypes="0" containsString="0" containsNumber="1" containsInteger="1" minValue="1" maxValue="4"/>
    </cacheField>
    <cacheField name="MANNEROFCOLLISION" numFmtId="0">
      <sharedItems containsBlank="1"/>
    </cacheField>
    <cacheField name="FIRSTHARMFULEVENT" numFmtId="0">
      <sharedItems/>
    </cacheField>
    <cacheField name="RELATIONTOINTERSECTION" numFmtId="0">
      <sharedItems containsBlank="1"/>
    </cacheField>
    <cacheField name="LIGHTCONDITION" numFmtId="0">
      <sharedItems/>
    </cacheField>
    <cacheField name="WEATHERPRIMARY" numFmtId="0">
      <sharedItems/>
    </cacheField>
    <cacheField name="WEATHERSECONDARY" numFmtId="0">
      <sharedItems containsBlank="1"/>
    </cacheField>
    <cacheField name="RDWYSURFACE" numFmtId="0">
      <sharedItems/>
    </cacheField>
    <cacheField name="WORKZONETYPE" numFmtId="0">
      <sharedItems/>
    </cacheField>
    <cacheField name="ROADWAY_NAME" numFmtId="0">
      <sharedItems containsBlank="1"/>
    </cacheField>
    <cacheField name="INTERSECTION_NAME" numFmtId="0">
      <sharedItems containsBlank="1" containsMixedTypes="1" containsNumber="1" containsInteger="1" minValue="85" maxValue="297"/>
    </cacheField>
    <cacheField name="ROUTE_ID" numFmtId="0">
      <sharedItems/>
    </cacheField>
    <cacheField name="BASIC_TYPE" numFmtId="0">
      <sharedItems/>
    </cacheField>
    <cacheField name="UNITTYPEU1" numFmtId="0">
      <sharedItems/>
    </cacheField>
    <cacheField name="VEHICLETYPEU1" numFmtId="0">
      <sharedItems/>
    </cacheField>
    <cacheField name="DIRECTIONU1" numFmtId="0">
      <sharedItems/>
    </cacheField>
    <cacheField name="PRECRASHMANEUVERU1" numFmtId="0">
      <sharedItems/>
    </cacheField>
    <cacheField name="AGEU1" numFmtId="0">
      <sharedItems containsString="0" containsBlank="1" containsNumber="1" containsInteger="1" minValue="20" maxValue="72"/>
    </cacheField>
    <cacheField name="SEXU1" numFmtId="0">
      <sharedItems containsBlank="1"/>
    </cacheField>
    <cacheField name="PHYSICALCONDITIONU1" numFmtId="0">
      <sharedItems containsBlank="1"/>
    </cacheField>
    <cacheField name="CONTRIBFACTOR1U1" numFmtId="0">
      <sharedItems containsBlank="1"/>
    </cacheField>
    <cacheField name="CONTRIBFACTOR2U1" numFmtId="0">
      <sharedItems containsBlank="1"/>
    </cacheField>
    <cacheField name="NONMOTORISTMANEUVERU1" numFmtId="0">
      <sharedItems containsBlank="1"/>
    </cacheField>
    <cacheField name="NONMOTORISTLOCATIONU1" numFmtId="0">
      <sharedItems containsNonDate="0" containsString="0" containsBlank="1"/>
    </cacheField>
    <cacheField name="RDWYDESIGNU1" numFmtId="0">
      <sharedItems containsBlank="1"/>
    </cacheField>
    <cacheField name="TRAFFICCONTROLDEVICEU1" numFmtId="0">
      <sharedItems containsBlank="1"/>
    </cacheField>
    <cacheField name="SPEEDLIMITU1" numFmtId="0">
      <sharedItems containsString="0" containsBlank="1" containsNumber="1" containsInteger="1" minValue="30" maxValue="60"/>
    </cacheField>
    <cacheField name="ALIGNMENTU1" numFmtId="0">
      <sharedItems containsBlank="1"/>
    </cacheField>
    <cacheField name="GRADEU1" numFmtId="0">
      <sharedItems containsBlank="1"/>
    </cacheField>
    <cacheField name="UNITTYPEU2" numFmtId="0">
      <sharedItems containsBlank="1"/>
    </cacheField>
    <cacheField name="VEHICLETYPEU2" numFmtId="0">
      <sharedItems containsBlank="1"/>
    </cacheField>
    <cacheField name="DIRECTIONU2" numFmtId="0">
      <sharedItems containsBlank="1"/>
    </cacheField>
    <cacheField name="PRECRASHMANEUVERU2" numFmtId="0">
      <sharedItems containsBlank="1"/>
    </cacheField>
    <cacheField name="AGEU2" numFmtId="0">
      <sharedItems containsString="0" containsBlank="1" containsNumber="1" containsInteger="1" minValue="48" maxValue="65"/>
    </cacheField>
    <cacheField name="SEXU2" numFmtId="0">
      <sharedItems containsBlank="1"/>
    </cacheField>
    <cacheField name="PHYSICALCONDITIONU2" numFmtId="0">
      <sharedItems containsBlank="1"/>
    </cacheField>
    <cacheField name="CONTRIBFACTOR1U2" numFmtId="0">
      <sharedItems containsBlank="1"/>
    </cacheField>
    <cacheField name="CONTRIBFACTOR2U2" numFmtId="0">
      <sharedItems containsNonDate="0" containsString="0" containsBlank="1"/>
    </cacheField>
    <cacheField name="NONMOTORISTMANEUVERU2" numFmtId="0">
      <sharedItems containsNonDate="0" containsString="0" containsBlank="1"/>
    </cacheField>
    <cacheField name="NONMOTORISTLOCATIONU2" numFmtId="0">
      <sharedItems containsNonDate="0" containsString="0" containsBlank="1"/>
    </cacheField>
    <cacheField name="RDWYDESIGNU2" numFmtId="0">
      <sharedItems containsBlank="1"/>
    </cacheField>
    <cacheField name="TRAFFICCONTROLDEVICEU2" numFmtId="0">
      <sharedItems containsBlank="1"/>
    </cacheField>
    <cacheField name="SPEEDLIMITU2" numFmtId="0">
      <sharedItems containsString="0" containsBlank="1" containsNumber="1" containsInteger="1" minValue="55" maxValue="60"/>
    </cacheField>
    <cacheField name="ALIGNMENTU2" numFmtId="0">
      <sharedItems containsBlank="1"/>
    </cacheField>
    <cacheField name="GRADEU2" numFmtId="0">
      <sharedItems containsBlank="1"/>
    </cacheField>
    <cacheField name="UNITTYPEU3" numFmtId="0">
      <sharedItems containsBlank="1"/>
    </cacheField>
    <cacheField name="VEHICLETYPEU3" numFmtId="0">
      <sharedItems containsBlank="1"/>
    </cacheField>
    <cacheField name="DIRECTIONU3" numFmtId="0">
      <sharedItems containsBlank="1"/>
    </cacheField>
    <cacheField name="PRECRASHMANEUVERU3" numFmtId="0">
      <sharedItems containsBlank="1"/>
    </cacheField>
    <cacheField name="AGEU3" numFmtId="0">
      <sharedItems containsString="0" containsBlank="1" containsNumber="1" containsInteger="1" minValue="64" maxValue="64"/>
    </cacheField>
    <cacheField name="SEXU3" numFmtId="0">
      <sharedItems containsBlank="1"/>
    </cacheField>
    <cacheField name="PHYSICALCONDITIONU3" numFmtId="0">
      <sharedItems containsBlank="1"/>
    </cacheField>
    <cacheField name="CONTRIBFACTOR1U3" numFmtId="0">
      <sharedItems containsBlank="1"/>
    </cacheField>
    <cacheField name="CONTRIBFACTOR2U3" numFmtId="0">
      <sharedItems containsNonDate="0" containsString="0" containsBlank="1"/>
    </cacheField>
    <cacheField name="NONMOTORISTMANEUVERU3" numFmtId="0">
      <sharedItems containsNonDate="0" containsString="0" containsBlank="1"/>
    </cacheField>
    <cacheField name="NONMOTORISTLOCATIONU3" numFmtId="0">
      <sharedItems containsNonDate="0" containsString="0" containsBlank="1"/>
    </cacheField>
    <cacheField name="RDWYDESIGNU3" numFmtId="0">
      <sharedItems containsBlank="1"/>
    </cacheField>
    <cacheField name="TRAFFICCONTROLDEVICEU3" numFmtId="0">
      <sharedItems containsBlank="1"/>
    </cacheField>
    <cacheField name="SPEEDLIMITU3" numFmtId="0">
      <sharedItems containsString="0" containsBlank="1" containsNumber="1" containsInteger="1" minValue="55" maxValue="55"/>
    </cacheField>
    <cacheField name="ALIGNMENTU3" numFmtId="0">
      <sharedItems containsBlank="1"/>
    </cacheField>
    <cacheField name="GRADEU3" numFmtId="0">
      <sharedItems containsBlank="1"/>
    </cacheField>
    <cacheField name="UNITTYPEU4" numFmtId="0">
      <sharedItems containsBlank="1"/>
    </cacheField>
    <cacheField name="VEHICLETYPEU4" numFmtId="0">
      <sharedItems containsBlank="1"/>
    </cacheField>
    <cacheField name="DIRECTIONU4" numFmtId="0">
      <sharedItems containsBlank="1"/>
    </cacheField>
    <cacheField name="PRECRASHMANEUVERU4" numFmtId="0">
      <sharedItems containsBlank="1"/>
    </cacheField>
    <cacheField name="AGEU4" numFmtId="0">
      <sharedItems containsString="0" containsBlank="1" containsNumber="1" containsInteger="1" minValue="30" maxValue="30"/>
    </cacheField>
    <cacheField name="SEXU4" numFmtId="0">
      <sharedItems containsBlank="1"/>
    </cacheField>
    <cacheField name="PHYSICALCONDITIONU4" numFmtId="0">
      <sharedItems containsBlank="1"/>
    </cacheField>
    <cacheField name="CONTRIBFACTOR1U4" numFmtId="0">
      <sharedItems containsBlank="1"/>
    </cacheField>
    <cacheField name="CONTRIBFACTOR2U4" numFmtId="0">
      <sharedItems containsNonDate="0" containsString="0" containsBlank="1"/>
    </cacheField>
    <cacheField name="NONMOTORISTMANEUVERU4" numFmtId="0">
      <sharedItems containsNonDate="0" containsString="0" containsBlank="1"/>
    </cacheField>
    <cacheField name="NONMOTORISTLOCATIONU4" numFmtId="0">
      <sharedItems containsNonDate="0" containsString="0" containsBlank="1"/>
    </cacheField>
    <cacheField name="RDWYDESIGNU4" numFmtId="0">
      <sharedItems containsBlank="1"/>
    </cacheField>
    <cacheField name="TRAFFICCONTROLDEVICEU4" numFmtId="0">
      <sharedItems containsBlank="1"/>
    </cacheField>
    <cacheField name="SPEEDLIMITU4" numFmtId="0">
      <sharedItems containsString="0" containsBlank="1" containsNumber="1" containsInteger="1" minValue="55" maxValue="55"/>
    </cacheField>
    <cacheField name="ALIGNMENTU4" numFmtId="0">
      <sharedItems containsBlank="1"/>
    </cacheField>
    <cacheField name="GRADEU4" numFmtId="0">
      <sharedItems containsBlank="1"/>
    </cacheField>
    <cacheField name="UTMX" numFmtId="0">
      <sharedItems containsSemiMixedTypes="0" containsString="0" containsNumber="1" minValue="423641.69949999999" maxValue="440113.27490000002"/>
    </cacheField>
    <cacheField name="UTMY" numFmtId="0">
      <sharedItems containsSemiMixedTypes="0" containsString="0" containsNumber="1" minValue="5373843.2923999997" maxValue="5386941.8825000003"/>
    </cacheField>
    <cacheField name="LATITUDE" numFmtId="0">
      <sharedItems containsSemiMixedTypes="0" containsString="0" containsNumber="1" minValue="48.514854530000001" maxValue="48.631969460000001"/>
    </cacheField>
    <cacheField name="LONGITUDE" numFmtId="0">
      <sharedItems containsSemiMixedTypes="0" containsString="0" containsNumber="1" minValue="-94.036282049999997" maxValue="-93.810932539999996"/>
    </cacheField>
    <cacheField name="CRASH_DATE_TIME" numFmtId="22">
      <sharedItems containsSemiMixedTypes="0" containsNonDate="0" containsDate="1" containsString="0" minDate="2013-01-02T12:09:00" maxDate="2023-06-30T07:10:00"/>
    </cacheField>
    <cacheField name="STATUS" numFmtId="0">
      <sharedItems/>
    </cacheField>
    <cacheField name="STATUS_NOTE" numFmtId="0">
      <sharedItems/>
    </cacheField>
    <cacheField name="AGENCY_ORI" numFmtId="0">
      <sharedItems/>
    </cacheField>
    <cacheField name="AGENCY_ORI_GROUP" numFmtId="0">
      <sharedItems/>
    </cacheField>
    <cacheField name="NARRATIVE"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 Flanagan" refreshedDate="45133.610117476848" createdVersion="8" refreshedVersion="8" minRefreshableVersion="3" recordCount="132" xr:uid="{B01F0B90-ADC6-499C-BE6F-7B66E51579F3}">
  <cacheSource type="worksheet">
    <worksheetSource ref="A1:DC52" sheet="Crash Data - No Build Trucks"/>
  </cacheSource>
  <cacheFields count="107">
    <cacheField name="INCIDENTID" numFmtId="0">
      <sharedItems containsSemiMixedTypes="0" containsString="0" containsNumber="1" containsInteger="1" minValue="324134" maxValue="11083649"/>
    </cacheField>
    <cacheField name="RTESYSCODE" numFmtId="0">
      <sharedItems/>
    </cacheField>
    <cacheField name="RTENUMBER" numFmtId="0">
      <sharedItems containsSemiMixedTypes="0" containsString="0" containsNumber="1" containsInteger="1" minValue="1" maxValue="505"/>
    </cacheField>
    <cacheField name="MEASURE" numFmtId="0">
      <sharedItems containsSemiMixedTypes="0" containsString="0" containsNumber="1" minValue="0" maxValue="412.84399999999999"/>
    </cacheField>
    <cacheField name="COUNTY_SPATIAL" numFmtId="0">
      <sharedItems/>
    </cacheField>
    <cacheField name="CITY_NAME" numFmtId="0">
      <sharedItems containsBlank="1"/>
    </cacheField>
    <cacheField name="TOWNSHIP_NAME" numFmtId="0">
      <sharedItems containsBlank="1"/>
    </cacheField>
    <cacheField name="MNDOT_DISTRICT_SPATIAL" numFmtId="0">
      <sharedItems/>
    </cacheField>
    <cacheField name="STATE_PATROL_DIST_SPATIAL" numFmtId="0">
      <sharedItems/>
    </cacheField>
    <cacheField name="TRIBAL_GOVERNMENT_SPATIAL" numFmtId="0">
      <sharedItems containsNonDate="0" containsString="0" containsBlank="1"/>
    </cacheField>
    <cacheField name="LOCALID" numFmtId="0">
      <sharedItems containsBlank="1" containsMixedTypes="1" containsNumber="1" containsInteger="1" minValue="1900" maxValue="23310170"/>
    </cacheField>
    <cacheField name="ACCIDENT_NUMBER" numFmtId="0">
      <sharedItems containsSemiMixedTypes="0" containsString="0" containsNumber="1" containsInteger="1" minValue="130220395" maxValue="230380183"/>
    </cacheField>
    <cacheField name="CRASH_MONTH" numFmtId="16">
      <sharedItems containsSemiMixedTypes="0" containsNonDate="0" containsDate="1" containsString="0" minDate="2023-01-01T00:00:00" maxDate="2023-12-13T00:00:00"/>
    </cacheField>
    <cacheField name="CRASH_DAY" numFmtId="0">
      <sharedItems containsSemiMixedTypes="0" containsString="0" containsNumber="1" containsInteger="1" minValue="1" maxValue="31"/>
    </cacheField>
    <cacheField name="CRASH_YEAR" numFmtId="0">
      <sharedItems containsSemiMixedTypes="0" containsString="0" containsNumber="1" containsInteger="1" minValue="2013" maxValue="2023" count="11">
        <n v="2020"/>
        <n v="2015"/>
        <n v="2022"/>
        <n v="2013"/>
        <n v="2017"/>
        <n v="2019"/>
        <n v="2014"/>
        <n v="2016"/>
        <n v="2021"/>
        <n v="2023"/>
        <n v="2018"/>
      </sharedItems>
    </cacheField>
    <cacheField name="CRASH_DAYOFWEEK" numFmtId="0">
      <sharedItems/>
    </cacheField>
    <cacheField name="CRASH_HOUR" numFmtId="0">
      <sharedItems containsSemiMixedTypes="0" containsString="0" containsNumber="1" containsInteger="1" minValue="0" maxValue="23"/>
    </cacheField>
    <cacheField name="DIVIDEDRDWYDIR" numFmtId="0">
      <sharedItems containsBlank="1"/>
    </cacheField>
    <cacheField name="CRASHSEVERITY" numFmtId="0">
      <sharedItems count="5">
        <s v="Property Damage Only"/>
        <s v="Possible Injury"/>
        <s v="Serious Injury"/>
        <s v="Minor Injury"/>
        <s v="Fatal"/>
      </sharedItems>
    </cacheField>
    <cacheField name="NUMBERKILLED" numFmtId="0">
      <sharedItems containsSemiMixedTypes="0" containsString="0" containsNumber="1" containsInteger="1" minValue="0" maxValue="2"/>
    </cacheField>
    <cacheField name="NUMBEROFVEHICLES" numFmtId="0">
      <sharedItems containsSemiMixedTypes="0" containsString="0" containsNumber="1" containsInteger="1" minValue="1" maxValue="3"/>
    </cacheField>
    <cacheField name="MANNEROFCOLLISION" numFmtId="0">
      <sharedItems containsBlank="1"/>
    </cacheField>
    <cacheField name="FIRSTHARMFULEVENT" numFmtId="0">
      <sharedItems/>
    </cacheField>
    <cacheField name="RELATIONTOINTERSECTION" numFmtId="0">
      <sharedItems containsBlank="1"/>
    </cacheField>
    <cacheField name="LIGHTCONDITION" numFmtId="0">
      <sharedItems/>
    </cacheField>
    <cacheField name="WEATHERPRIMARY" numFmtId="0">
      <sharedItems/>
    </cacheField>
    <cacheField name="WEATHERSECONDARY" numFmtId="0">
      <sharedItems containsBlank="1"/>
    </cacheField>
    <cacheField name="RDWYSURFACE" numFmtId="0">
      <sharedItems/>
    </cacheField>
    <cacheField name="WORKZONETYPE" numFmtId="0">
      <sharedItems/>
    </cacheField>
    <cacheField name="ROADWAY_NAME" numFmtId="0">
      <sharedItems containsBlank="1" containsMixedTypes="1" containsNumber="1" containsInteger="1" minValue="71" maxValue="72"/>
    </cacheField>
    <cacheField name="INTERSECTION_NAME" numFmtId="0">
      <sharedItems containsBlank="1" containsMixedTypes="1" containsNumber="1" minValue="1" maxValue="386.5"/>
    </cacheField>
    <cacheField name="ROUTE_ID" numFmtId="0">
      <sharedItems/>
    </cacheField>
    <cacheField name="BASIC_TYPE" numFmtId="0">
      <sharedItems/>
    </cacheField>
    <cacheField name="UNITTYPEU1" numFmtId="0">
      <sharedItems containsMixedTypes="1" containsNumber="1" containsInteger="1" minValue="0" maxValue="0"/>
    </cacheField>
    <cacheField name="VEHICLETYPEU1" numFmtId="0">
      <sharedItems containsBlank="1"/>
    </cacheField>
    <cacheField name="DIRECTIONU1" numFmtId="0">
      <sharedItems/>
    </cacheField>
    <cacheField name="PRECRASHMANEUVERU1" numFmtId="0">
      <sharedItems containsBlank="1"/>
    </cacheField>
    <cacheField name="AGEU1" numFmtId="0">
      <sharedItems containsString="0" containsBlank="1" containsNumber="1" containsInteger="1" minValue="15" maxValue="84"/>
    </cacheField>
    <cacheField name="SEXU1" numFmtId="0">
      <sharedItems containsBlank="1"/>
    </cacheField>
    <cacheField name="PHYSICALCONDITIONU1" numFmtId="0">
      <sharedItems containsBlank="1"/>
    </cacheField>
    <cacheField name="CONTRIBFACTOR1U1" numFmtId="0">
      <sharedItems containsBlank="1"/>
    </cacheField>
    <cacheField name="CONTRIBFACTOR2U1" numFmtId="0">
      <sharedItems containsBlank="1"/>
    </cacheField>
    <cacheField name="NONMOTORISTMANEUVERU1" numFmtId="0">
      <sharedItems containsBlank="1"/>
    </cacheField>
    <cacheField name="NONMOTORISTLOCATIONU1" numFmtId="0">
      <sharedItems containsNonDate="0" containsString="0" containsBlank="1"/>
    </cacheField>
    <cacheField name="RDWYDESIGNU1" numFmtId="0">
      <sharedItems containsBlank="1"/>
    </cacheField>
    <cacheField name="TRAFFICCONTROLDEVICEU1" numFmtId="0">
      <sharedItems containsBlank="1"/>
    </cacheField>
    <cacheField name="SPEEDLIMITU1" numFmtId="0">
      <sharedItems containsString="0" containsBlank="1" containsNumber="1" containsInteger="1" minValue="30" maxValue="62"/>
    </cacheField>
    <cacheField name="ALIGNMENTU1" numFmtId="0">
      <sharedItems containsBlank="1"/>
    </cacheField>
    <cacheField name="GRADEU1" numFmtId="0">
      <sharedItems containsBlank="1"/>
    </cacheField>
    <cacheField name="UNITTYPEU2" numFmtId="0">
      <sharedItems containsBlank="1"/>
    </cacheField>
    <cacheField name="VEHICLETYPEU2" numFmtId="0">
      <sharedItems containsBlank="1"/>
    </cacheField>
    <cacheField name="DIRECTIONU2" numFmtId="0">
      <sharedItems containsBlank="1"/>
    </cacheField>
    <cacheField name="PRECRASHMANEUVERU2" numFmtId="0">
      <sharedItems containsBlank="1"/>
    </cacheField>
    <cacheField name="AGEU2" numFmtId="0">
      <sharedItems containsString="0" containsBlank="1" containsNumber="1" containsInteger="1" minValue="18" maxValue="82"/>
    </cacheField>
    <cacheField name="SEXU2" numFmtId="0">
      <sharedItems containsBlank="1"/>
    </cacheField>
    <cacheField name="PHYSICALCONDITIONU2" numFmtId="0">
      <sharedItems containsBlank="1"/>
    </cacheField>
    <cacheField name="CONTRIBFACTOR1U2" numFmtId="0">
      <sharedItems containsBlank="1"/>
    </cacheField>
    <cacheField name="CONTRIBFACTOR2U2" numFmtId="0">
      <sharedItems containsBlank="1"/>
    </cacheField>
    <cacheField name="NONMOTORISTMANEUVERU2" numFmtId="0">
      <sharedItems containsBlank="1"/>
    </cacheField>
    <cacheField name="NONMOTORISTLOCATIONU2" numFmtId="0">
      <sharedItems containsBlank="1"/>
    </cacheField>
    <cacheField name="RDWYDESIGNU2" numFmtId="0">
      <sharedItems containsBlank="1"/>
    </cacheField>
    <cacheField name="TRAFFICCONTROLDEVICEU2" numFmtId="0">
      <sharedItems containsBlank="1"/>
    </cacheField>
    <cacheField name="SPEEDLIMITU2" numFmtId="0">
      <sharedItems containsString="0" containsBlank="1" containsNumber="1" containsInteger="1" minValue="30" maxValue="60"/>
    </cacheField>
    <cacheField name="ALIGNMENTU2" numFmtId="0">
      <sharedItems containsBlank="1"/>
    </cacheField>
    <cacheField name="GRADEU2" numFmtId="0">
      <sharedItems containsBlank="1"/>
    </cacheField>
    <cacheField name="UNITTYPEU3" numFmtId="0">
      <sharedItems containsBlank="1"/>
    </cacheField>
    <cacheField name="VEHICLETYPEU3" numFmtId="0">
      <sharedItems containsBlank="1"/>
    </cacheField>
    <cacheField name="DIRECTIONU3" numFmtId="0">
      <sharedItems containsBlank="1"/>
    </cacheField>
    <cacheField name="PRECRASHMANEUVERU3" numFmtId="0">
      <sharedItems containsBlank="1"/>
    </cacheField>
    <cacheField name="AGEU3" numFmtId="0">
      <sharedItems containsString="0" containsBlank="1" containsNumber="1" containsInteger="1" minValue="28" maxValue="31"/>
    </cacheField>
    <cacheField name="SEXU3" numFmtId="0">
      <sharedItems containsBlank="1"/>
    </cacheField>
    <cacheField name="PHYSICALCONDITIONU3" numFmtId="0">
      <sharedItems containsBlank="1"/>
    </cacheField>
    <cacheField name="CONTRIBFACTOR1U3" numFmtId="0">
      <sharedItems containsBlank="1"/>
    </cacheField>
    <cacheField name="CONTRIBFACTOR2U3" numFmtId="0">
      <sharedItems containsNonDate="0" containsString="0" containsBlank="1"/>
    </cacheField>
    <cacheField name="NONMOTORISTMANEUVERU3" numFmtId="0">
      <sharedItems containsBlank="1"/>
    </cacheField>
    <cacheField name="NONMOTORISTLOCATIONU3" numFmtId="0">
      <sharedItems containsNonDate="0" containsString="0" containsBlank="1"/>
    </cacheField>
    <cacheField name="RDWYDESIGNU3" numFmtId="0">
      <sharedItems containsBlank="1"/>
    </cacheField>
    <cacheField name="TRAFFICCONTROLDEVICEU3" numFmtId="0">
      <sharedItems containsBlank="1"/>
    </cacheField>
    <cacheField name="SPEEDLIMITU3" numFmtId="0">
      <sharedItems containsString="0" containsBlank="1" containsNumber="1" containsInteger="1" minValue="55" maxValue="60"/>
    </cacheField>
    <cacheField name="ALIGNMENTU3" numFmtId="0">
      <sharedItems containsBlank="1"/>
    </cacheField>
    <cacheField name="GRADEU3" numFmtId="0">
      <sharedItems containsBlank="1"/>
    </cacheField>
    <cacheField name="UNITTYPEU4" numFmtId="0">
      <sharedItems containsNonDate="0" containsString="0" containsBlank="1"/>
    </cacheField>
    <cacheField name="VEHICLETYPEU4" numFmtId="0">
      <sharedItems containsNonDate="0" containsString="0" containsBlank="1"/>
    </cacheField>
    <cacheField name="DIRECTIONU4" numFmtId="0">
      <sharedItems containsNonDate="0" containsString="0" containsBlank="1"/>
    </cacheField>
    <cacheField name="PRECRASHMANEUVERU4" numFmtId="0">
      <sharedItems containsNonDate="0" containsString="0" containsBlank="1"/>
    </cacheField>
    <cacheField name="AGEU4" numFmtId="0">
      <sharedItems containsNonDate="0" containsString="0" containsBlank="1"/>
    </cacheField>
    <cacheField name="SEXU4" numFmtId="0">
      <sharedItems containsNonDate="0" containsString="0" containsBlank="1"/>
    </cacheField>
    <cacheField name="PHYSICALCONDITIONU4" numFmtId="0">
      <sharedItems containsNonDate="0" containsString="0" containsBlank="1"/>
    </cacheField>
    <cacheField name="CONTRIBFACTOR1U4" numFmtId="0">
      <sharedItems containsNonDate="0" containsString="0" containsBlank="1"/>
    </cacheField>
    <cacheField name="CONTRIBFACTOR2U4" numFmtId="0">
      <sharedItems containsNonDate="0" containsString="0" containsBlank="1"/>
    </cacheField>
    <cacheField name="NONMOTORISTMANEUVERU4" numFmtId="0">
      <sharedItems containsNonDate="0" containsString="0" containsBlank="1"/>
    </cacheField>
    <cacheField name="NONMOTORISTLOCATIONU4" numFmtId="0">
      <sharedItems containsNonDate="0" containsString="0" containsBlank="1"/>
    </cacheField>
    <cacheField name="RDWYDESIGNU4" numFmtId="0">
      <sharedItems containsNonDate="0" containsString="0" containsBlank="1"/>
    </cacheField>
    <cacheField name="TRAFFICCONTROLDEVICEU4" numFmtId="0">
      <sharedItems containsNonDate="0" containsString="0" containsBlank="1"/>
    </cacheField>
    <cacheField name="SPEEDLIMITU4" numFmtId="0">
      <sharedItems containsNonDate="0" containsString="0" containsBlank="1"/>
    </cacheField>
    <cacheField name="ALIGNMENTU4" numFmtId="0">
      <sharedItems containsNonDate="0" containsString="0" containsBlank="1"/>
    </cacheField>
    <cacheField name="GRADEU4" numFmtId="0">
      <sharedItems containsNonDate="0" containsString="0" containsBlank="1"/>
    </cacheField>
    <cacheField name="UTMX" numFmtId="0">
      <sharedItems containsSemiMixedTypes="0" containsString="0" containsNumber="1" minValue="384601.38569999998" maxValue="457838.73639999999"/>
    </cacheField>
    <cacheField name="UTMY" numFmtId="0">
      <sharedItems containsSemiMixedTypes="0" containsString="0" containsNumber="1" minValue="5301143.7231999999" maxValue="5395678.9742000001"/>
    </cacheField>
    <cacheField name="LATITUDE" numFmtId="0">
      <sharedItems containsSemiMixedTypes="0" containsString="0" containsNumber="1" minValue="47.85580255" maxValue="48.703567489999998"/>
    </cacheField>
    <cacheField name="LONGITUDE" numFmtId="0">
      <sharedItems containsSemiMixedTypes="0" containsString="0" containsNumber="1" minValue="-94.561476490000004" maxValue="-93.569882739999997"/>
    </cacheField>
    <cacheField name="CRASH_DATE_TIME" numFmtId="22">
      <sharedItems containsSemiMixedTypes="0" containsNonDate="0" containsDate="1" containsString="0" minDate="2013-01-19T14:17:00" maxDate="2023-02-07T13:33:00"/>
    </cacheField>
    <cacheField name="STATUS" numFmtId="0">
      <sharedItems/>
    </cacheField>
    <cacheField name="STATUS_NOTE" numFmtId="0">
      <sharedItems/>
    </cacheField>
    <cacheField name="AGENCY_ORI" numFmtId="0">
      <sharedItems/>
    </cacheField>
    <cacheField name="AGENCY_ORI_GROUP" numFmtId="0">
      <sharedItems/>
    </cacheField>
    <cacheField name="NARRATIVE"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 Flanagan" refreshedDate="45142.65725462963" createdVersion="8" refreshedVersion="8" minRefreshableVersion="3" recordCount="53" xr:uid="{5235E6CA-030A-4BF3-8D4B-EBC7B4719A98}">
  <cacheSource type="worksheet">
    <worksheetSource ref="A1:DD22" sheet="Crash Data - Build Trucks"/>
  </cacheSource>
  <cacheFields count="108">
    <cacheField name="INCIDENTID" numFmtId="0">
      <sharedItems containsSemiMixedTypes="0" containsString="0" containsNumber="1" containsInteger="1" minValue="331790" maxValue="11070131"/>
    </cacheField>
    <cacheField name="RTESYSCODE" numFmtId="0">
      <sharedItems/>
    </cacheField>
    <cacheField name="RTENUMBER" numFmtId="0">
      <sharedItems containsSemiMixedTypes="0" containsString="0" containsNumber="1" containsInteger="1" minValue="1" maxValue="397"/>
    </cacheField>
    <cacheField name="MEASURE" numFmtId="0">
      <sharedItems containsSemiMixedTypes="0" containsString="0" containsNumber="1" minValue="0" maxValue="186.22200000000001"/>
    </cacheField>
    <cacheField name="COUNTY_SPATIAL" numFmtId="0">
      <sharedItems/>
    </cacheField>
    <cacheField name="CITY_NAME" numFmtId="0">
      <sharedItems containsNonDate="0" containsString="0" containsBlank="1"/>
    </cacheField>
    <cacheField name="TOWNSHIP_NAME" numFmtId="0">
      <sharedItems containsBlank="1"/>
    </cacheField>
    <cacheField name="MNDOT_DISTRICT_SPATIAL" numFmtId="0">
      <sharedItems containsBlank="1"/>
    </cacheField>
    <cacheField name="STATE_PATROL_DIST_SPATIAL" numFmtId="0">
      <sharedItems/>
    </cacheField>
    <cacheField name="TRIBAL_GOVERNMENT_SPATIAL" numFmtId="0">
      <sharedItems containsNonDate="0" containsString="0" containsBlank="1"/>
    </cacheField>
    <cacheField name="LOCALID" numFmtId="0">
      <sharedItems containsBlank="1" containsMixedTypes="1" containsNumber="1" containsInteger="1" minValue="13310015" maxValue="23310747"/>
    </cacheField>
    <cacheField name="ACCIDENT_NUMBER" numFmtId="0">
      <sharedItems containsSemiMixedTypes="0" containsString="0" containsNumber="1" containsInteger="1" minValue="130080278" maxValue="231810101"/>
    </cacheField>
    <cacheField name="CRASH_MONTH" numFmtId="16">
      <sharedItems containsSemiMixedTypes="0" containsNonDate="0" containsDate="1" containsString="0" minDate="2023-01-01T00:00:00" maxDate="2023-12-13T00:00:00"/>
    </cacheField>
    <cacheField name="CRASH_DAY" numFmtId="0">
      <sharedItems containsSemiMixedTypes="0" containsString="0" containsNumber="1" containsInteger="1" minValue="2" maxValue="30"/>
    </cacheField>
    <cacheField name="CRASH_YEAR" numFmtId="0">
      <sharedItems containsSemiMixedTypes="0" containsString="0" containsNumber="1" containsInteger="1" minValue="2013" maxValue="2023" count="11">
        <n v="2017"/>
        <n v="2015"/>
        <n v="2013"/>
        <n v="2019"/>
        <n v="2021"/>
        <n v="2020"/>
        <n v="2023"/>
        <n v="2014"/>
        <n v="2018"/>
        <n v="2022"/>
        <n v="2016"/>
      </sharedItems>
    </cacheField>
    <cacheField name="CRASH_DAYOFWEEK" numFmtId="0">
      <sharedItems/>
    </cacheField>
    <cacheField name="CRASH_HOUR" numFmtId="0">
      <sharedItems containsSemiMixedTypes="0" containsString="0" containsNumber="1" containsInteger="1" minValue="1" maxValue="22"/>
    </cacheField>
    <cacheField name="DIVIDEDRDWYDIR" numFmtId="0">
      <sharedItems containsBlank="1"/>
    </cacheField>
    <cacheField name="CRASHSEVERITY" numFmtId="0">
      <sharedItems count="5">
        <s v="Property Damage Only"/>
        <s v="Possible Injury"/>
        <s v="Fatal"/>
        <s v="Minor Injury"/>
        <s v="Serious Injury"/>
      </sharedItems>
    </cacheField>
    <cacheField name="NUMBERKILLED" numFmtId="0">
      <sharedItems containsSemiMixedTypes="0" containsString="0" containsNumber="1" containsInteger="1" minValue="0" maxValue="1"/>
    </cacheField>
    <cacheField name="NUMBEROFVEHICLES" numFmtId="0">
      <sharedItems containsSemiMixedTypes="0" containsString="0" containsNumber="1" containsInteger="1" minValue="1" maxValue="4"/>
    </cacheField>
    <cacheField name="MANNEROFCOLLISION" numFmtId="0">
      <sharedItems containsBlank="1"/>
    </cacheField>
    <cacheField name="FIRSTHARMFULEVENT" numFmtId="0">
      <sharedItems/>
    </cacheField>
    <cacheField name="RELATIVE_LOC_TRAFFICWAY_CODE" numFmtId="0">
      <sharedItems containsBlank="1"/>
    </cacheField>
    <cacheField name="RELATIONTOINTERSECTION" numFmtId="0">
      <sharedItems containsBlank="1"/>
    </cacheField>
    <cacheField name="LIGHTCONDITION" numFmtId="0">
      <sharedItems/>
    </cacheField>
    <cacheField name="WEATHERPRIMARY" numFmtId="0">
      <sharedItems/>
    </cacheField>
    <cacheField name="WEATHERSECONDARY" numFmtId="0">
      <sharedItems containsBlank="1"/>
    </cacheField>
    <cacheField name="RDWYSURFACE" numFmtId="0">
      <sharedItems/>
    </cacheField>
    <cacheField name="WORKZONETYPE" numFmtId="0">
      <sharedItems containsMixedTypes="1" containsNumber="1" containsInteger="1" minValue="4" maxValue="4"/>
    </cacheField>
    <cacheField name="ROADWAY_NAME" numFmtId="0">
      <sharedItems containsBlank="1" containsMixedTypes="1" containsNumber="1" containsInteger="1" minValue="11" maxValue="397"/>
    </cacheField>
    <cacheField name="INTERSECTION_NAME" numFmtId="0">
      <sharedItems containsBlank="1" containsMixedTypes="1" containsNumber="1" containsInteger="1" minValue="9" maxValue="297"/>
    </cacheField>
    <cacheField name="ROUTE_ID" numFmtId="0">
      <sharedItems/>
    </cacheField>
    <cacheField name="BASIC_TYPE" numFmtId="0">
      <sharedItems/>
    </cacheField>
    <cacheField name="UNITTYPEU1" numFmtId="0">
      <sharedItems containsMixedTypes="1" containsNumber="1" containsInteger="1" minValue="0" maxValue="0"/>
    </cacheField>
    <cacheField name="VEHICLETYPEU1" numFmtId="0">
      <sharedItems/>
    </cacheField>
    <cacheField name="DIRECTIONU1" numFmtId="0">
      <sharedItems/>
    </cacheField>
    <cacheField name="PRECRASHMANEUVERU1" numFmtId="0">
      <sharedItems containsBlank="1"/>
    </cacheField>
    <cacheField name="AGEU1" numFmtId="0">
      <sharedItems containsString="0" containsBlank="1" containsNumber="1" containsInteger="1" minValue="16" maxValue="75"/>
    </cacheField>
    <cacheField name="SEXU1" numFmtId="0">
      <sharedItems containsBlank="1"/>
    </cacheField>
    <cacheField name="PHYSICALCONDITIONU1" numFmtId="0">
      <sharedItems containsBlank="1"/>
    </cacheField>
    <cacheField name="CONTRIBFACTOR1U1" numFmtId="0">
      <sharedItems containsBlank="1"/>
    </cacheField>
    <cacheField name="CONTRIBFACTOR2U1" numFmtId="0">
      <sharedItems containsBlank="1"/>
    </cacheField>
    <cacheField name="NONMOTORISTMANEUVERU1" numFmtId="0">
      <sharedItems containsBlank="1"/>
    </cacheField>
    <cacheField name="NONMOTORISTLOCATIONU1" numFmtId="0">
      <sharedItems containsNonDate="0" containsString="0" containsBlank="1"/>
    </cacheField>
    <cacheField name="RDWYDESIGNU1" numFmtId="0">
      <sharedItems containsBlank="1"/>
    </cacheField>
    <cacheField name="TRAFFICCONTROLDEVICEU1" numFmtId="0">
      <sharedItems containsBlank="1"/>
    </cacheField>
    <cacheField name="SPEEDLIMITU1" numFmtId="0">
      <sharedItems containsString="0" containsBlank="1" containsNumber="1" containsInteger="1" minValue="30" maxValue="60"/>
    </cacheField>
    <cacheField name="ALIGNMENTU1" numFmtId="0">
      <sharedItems containsBlank="1"/>
    </cacheField>
    <cacheField name="GRADEU1" numFmtId="0">
      <sharedItems containsBlank="1"/>
    </cacheField>
    <cacheField name="UNITTYPEU2" numFmtId="0">
      <sharedItems containsBlank="1"/>
    </cacheField>
    <cacheField name="VEHICLETYPEU2" numFmtId="0">
      <sharedItems containsBlank="1"/>
    </cacheField>
    <cacheField name="DIRECTIONU2" numFmtId="0">
      <sharedItems containsBlank="1"/>
    </cacheField>
    <cacheField name="PRECRASHMANEUVERU2" numFmtId="0">
      <sharedItems containsBlank="1"/>
    </cacheField>
    <cacheField name="AGEU2" numFmtId="0">
      <sharedItems containsString="0" containsBlank="1" containsNumber="1" containsInteger="1" minValue="21" maxValue="65"/>
    </cacheField>
    <cacheField name="SEXU2" numFmtId="0">
      <sharedItems containsBlank="1"/>
    </cacheField>
    <cacheField name="PHYSICALCONDITIONU2" numFmtId="0">
      <sharedItems containsBlank="1"/>
    </cacheField>
    <cacheField name="CONTRIBFACTOR1U2" numFmtId="0">
      <sharedItems containsBlank="1"/>
    </cacheField>
    <cacheField name="CONTRIBFACTOR2U2" numFmtId="0">
      <sharedItems containsNonDate="0" containsString="0" containsBlank="1"/>
    </cacheField>
    <cacheField name="NONMOTORISTMANEUVERU2" numFmtId="0">
      <sharedItems containsNonDate="0" containsString="0" containsBlank="1"/>
    </cacheField>
    <cacheField name="NONMOTORISTLOCATIONU2" numFmtId="0">
      <sharedItems containsNonDate="0" containsString="0" containsBlank="1"/>
    </cacheField>
    <cacheField name="RDWYDESIGNU2" numFmtId="0">
      <sharedItems containsBlank="1"/>
    </cacheField>
    <cacheField name="TRAFFICCONTROLDEVICEU2" numFmtId="0">
      <sharedItems containsBlank="1"/>
    </cacheField>
    <cacheField name="SPEEDLIMITU2" numFmtId="0">
      <sharedItems containsString="0" containsBlank="1" containsNumber="1" containsInteger="1" minValue="30" maxValue="60"/>
    </cacheField>
    <cacheField name="ALIGNMENTU2" numFmtId="0">
      <sharedItems containsBlank="1"/>
    </cacheField>
    <cacheField name="GRADEU2" numFmtId="0">
      <sharedItems containsBlank="1"/>
    </cacheField>
    <cacheField name="UNITTYPEU3" numFmtId="0">
      <sharedItems containsBlank="1"/>
    </cacheField>
    <cacheField name="VEHICLETYPEU3" numFmtId="0">
      <sharedItems containsBlank="1"/>
    </cacheField>
    <cacheField name="DIRECTIONU3" numFmtId="0">
      <sharedItems containsBlank="1"/>
    </cacheField>
    <cacheField name="PRECRASHMANEUVERU3" numFmtId="0">
      <sharedItems containsBlank="1"/>
    </cacheField>
    <cacheField name="AGEU3" numFmtId="0">
      <sharedItems containsString="0" containsBlank="1" containsNumber="1" containsInteger="1" minValue="64" maxValue="64"/>
    </cacheField>
    <cacheField name="SEXU3" numFmtId="0">
      <sharedItems containsBlank="1"/>
    </cacheField>
    <cacheField name="PHYSICALCONDITIONU3" numFmtId="0">
      <sharedItems containsBlank="1"/>
    </cacheField>
    <cacheField name="CONTRIBFACTOR1U3" numFmtId="0">
      <sharedItems containsBlank="1"/>
    </cacheField>
    <cacheField name="CONTRIBFACTOR2U3" numFmtId="0">
      <sharedItems containsNonDate="0" containsString="0" containsBlank="1"/>
    </cacheField>
    <cacheField name="NONMOTORISTMANEUVERU3" numFmtId="0">
      <sharedItems containsNonDate="0" containsString="0" containsBlank="1"/>
    </cacheField>
    <cacheField name="NONMOTORISTLOCATIONU3" numFmtId="0">
      <sharedItems containsNonDate="0" containsString="0" containsBlank="1"/>
    </cacheField>
    <cacheField name="RDWYDESIGNU3" numFmtId="0">
      <sharedItems containsBlank="1"/>
    </cacheField>
    <cacheField name="TRAFFICCONTROLDEVICEU3" numFmtId="0">
      <sharedItems containsBlank="1"/>
    </cacheField>
    <cacheField name="SPEEDLIMITU3" numFmtId="0">
      <sharedItems containsString="0" containsBlank="1" containsNumber="1" containsInteger="1" minValue="55" maxValue="55"/>
    </cacheField>
    <cacheField name="ALIGNMENTU3" numFmtId="0">
      <sharedItems containsBlank="1"/>
    </cacheField>
    <cacheField name="GRADEU3" numFmtId="0">
      <sharedItems containsBlank="1"/>
    </cacheField>
    <cacheField name="UNITTYPEU4" numFmtId="0">
      <sharedItems containsBlank="1"/>
    </cacheField>
    <cacheField name="VEHICLETYPEU4" numFmtId="0">
      <sharedItems containsBlank="1"/>
    </cacheField>
    <cacheField name="DIRECTIONU4" numFmtId="0">
      <sharedItems containsBlank="1"/>
    </cacheField>
    <cacheField name="PRECRASHMANEUVERU4" numFmtId="0">
      <sharedItems containsBlank="1"/>
    </cacheField>
    <cacheField name="AGEU4" numFmtId="0">
      <sharedItems containsString="0" containsBlank="1" containsNumber="1" containsInteger="1" minValue="30" maxValue="30"/>
    </cacheField>
    <cacheField name="SEXU4" numFmtId="0">
      <sharedItems containsBlank="1"/>
    </cacheField>
    <cacheField name="PHYSICALCONDITIONU4" numFmtId="0">
      <sharedItems containsBlank="1"/>
    </cacheField>
    <cacheField name="CONTRIBFACTOR1U4" numFmtId="0">
      <sharedItems containsBlank="1"/>
    </cacheField>
    <cacheField name="CONTRIBFACTOR2U4" numFmtId="0">
      <sharedItems containsNonDate="0" containsString="0" containsBlank="1"/>
    </cacheField>
    <cacheField name="NONMOTORISTMANEUVERU4" numFmtId="0">
      <sharedItems containsNonDate="0" containsString="0" containsBlank="1"/>
    </cacheField>
    <cacheField name="NONMOTORISTLOCATIONU4" numFmtId="0">
      <sharedItems containsNonDate="0" containsString="0" containsBlank="1"/>
    </cacheField>
    <cacheField name="RDWYDESIGNU4" numFmtId="0">
      <sharedItems containsBlank="1"/>
    </cacheField>
    <cacheField name="TRAFFICCONTROLDEVICEU4" numFmtId="0">
      <sharedItems containsBlank="1"/>
    </cacheField>
    <cacheField name="SPEEDLIMITU4" numFmtId="0">
      <sharedItems containsString="0" containsBlank="1" containsNumber="1" containsInteger="1" minValue="55" maxValue="55"/>
    </cacheField>
    <cacheField name="ALIGNMENTU4" numFmtId="0">
      <sharedItems containsBlank="1"/>
    </cacheField>
    <cacheField name="GRADEU4" numFmtId="0">
      <sharedItems containsBlank="1"/>
    </cacheField>
    <cacheField name="UTMX" numFmtId="0">
      <sharedItems containsSemiMixedTypes="0" containsString="0" containsNumber="1" minValue="386569.28269999998" maxValue="456913.21019999997"/>
    </cacheField>
    <cacheField name="UTMY" numFmtId="0">
      <sharedItems containsSemiMixedTypes="0" containsString="0" containsNumber="1" minValue="5373505.4195999997" maxValue="5395451.3141000001"/>
    </cacheField>
    <cacheField name="LATITUDE" numFmtId="0">
      <sharedItems containsSemiMixedTypes="0" containsString="0" containsNumber="1" minValue="48.51251577" maxValue="48.701786179999999"/>
    </cacheField>
    <cacheField name="LONGITUDE" numFmtId="0">
      <sharedItems containsSemiMixedTypes="0" containsString="0" containsNumber="1" minValue="-94.541667180000005" maxValue="-93.583535650000002"/>
    </cacheField>
    <cacheField name="CRASH_DATE_TIME" numFmtId="22">
      <sharedItems containsSemiMixedTypes="0" containsNonDate="0" containsDate="1" containsString="0" minDate="2013-01-02T12:09:00" maxDate="2023-06-30T07:10:00"/>
    </cacheField>
    <cacheField name="STATUS" numFmtId="0">
      <sharedItems/>
    </cacheField>
    <cacheField name="STATUS_NOTE" numFmtId="0">
      <sharedItems/>
    </cacheField>
    <cacheField name="AGENCY_ORI" numFmtId="0">
      <sharedItems/>
    </cacheField>
    <cacheField name="AGENCY_ORI_GROUP" numFmtId="0">
      <sharedItems/>
    </cacheField>
    <cacheField name="NARRATIVE"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
  <r>
    <n v="10880541"/>
    <s v="03-MNTH"/>
    <n v="11"/>
    <n v="158.58699999999999"/>
    <s v="Koochiching"/>
    <m/>
    <m/>
    <s v="D2-BEMIDJI"/>
    <s v="Virginia"/>
    <m/>
    <n v="13310235"/>
    <n v="130460382"/>
    <d v="2023-02-02T00:00:00"/>
    <n v="9"/>
    <x v="0"/>
    <s v="07-Sat"/>
    <n v="22"/>
    <s v="East"/>
    <x v="0"/>
    <n v="0"/>
    <n v="1"/>
    <s v="RAN OFF RD-LEFT"/>
    <s v="Overturn/Rollover"/>
    <s v="Not at Intersection or Interch"/>
    <s v="Dark (No Str Lights)"/>
    <s v="Cloudy"/>
    <m/>
    <s v="Ice/Frost"/>
    <s v="NOT APPLICABLE"/>
    <s v="11 HWY"/>
    <n v="85"/>
    <s v="0300000000000011-I"/>
    <s v="Single Vehicle Run Off Road"/>
    <s v="Motor Vehicle in Transport"/>
    <s v="Pickup"/>
    <s v="Eastbound"/>
    <s v="Unknown"/>
    <m/>
    <m/>
    <s v="Unknown"/>
    <m/>
    <m/>
    <s v="Unknown"/>
    <m/>
    <s v="2-LANES 1-ECH-WY"/>
    <s v="Not Applicable"/>
    <n v="55"/>
    <s v="Straight"/>
    <s v="Level"/>
    <m/>
    <m/>
    <m/>
    <m/>
    <m/>
    <m/>
    <m/>
    <m/>
    <m/>
    <m/>
    <m/>
    <m/>
    <m/>
    <m/>
    <m/>
    <m/>
    <m/>
    <m/>
    <m/>
    <m/>
    <m/>
    <m/>
    <m/>
    <m/>
    <m/>
    <m/>
    <m/>
    <m/>
    <m/>
    <m/>
    <m/>
    <m/>
    <m/>
    <m/>
    <m/>
    <m/>
    <m/>
    <m/>
    <m/>
    <m/>
    <m/>
    <m/>
    <m/>
    <m/>
    <m/>
    <m/>
    <m/>
    <m/>
    <n v="423641.69949999999"/>
    <n v="5386599.5538999997"/>
    <n v="48.627807730000001"/>
    <n v="-94.036282049999997"/>
    <d v="2013-02-09T22:59:00"/>
    <s v="Accepted"/>
    <s v="Reportable"/>
    <s v="Unknown"/>
    <s v="Unknown"/>
    <s v="V1 FOUND ON ITS SIDE ABANDONED IN THE NORTH DITCH OF HWY 11. DRIVER DID NOT SHOW OR CALL. NO OTHER INFO AVAILABLE"/>
  </r>
  <r>
    <n v="10977943"/>
    <s v="03-MNTH"/>
    <n v="11"/>
    <n v="159.04499999999999"/>
    <s v="Koochiching"/>
    <m/>
    <m/>
    <s v="D2-BEMIDJI"/>
    <s v="Virginia"/>
    <m/>
    <m/>
    <n v="142090045"/>
    <d v="2023-06-06T00:00:00"/>
    <n v="27"/>
    <x v="1"/>
    <s v="06-Fri"/>
    <n v="15"/>
    <m/>
    <x v="0"/>
    <n v="0"/>
    <n v="1"/>
    <s v="NOT APPLICABLE"/>
    <s v="Deer"/>
    <m/>
    <s v="Daylight"/>
    <s v="Cloudy"/>
    <m/>
    <s v="Dry"/>
    <s v="NOT APPLICABLE"/>
    <m/>
    <m/>
    <s v="0300000000000011-I"/>
    <s v="Single Vehicle Other"/>
    <s v="Motor Vehicle in Transport"/>
    <s v="Pickup"/>
    <s v="Eastbound"/>
    <s v="Moving Forward"/>
    <n v="30"/>
    <s v="Male"/>
    <m/>
    <m/>
    <m/>
    <m/>
    <m/>
    <m/>
    <s v="Not Applicable"/>
    <n v="55"/>
    <m/>
    <m/>
    <m/>
    <m/>
    <m/>
    <m/>
    <m/>
    <m/>
    <m/>
    <m/>
    <m/>
    <m/>
    <m/>
    <m/>
    <m/>
    <m/>
    <m/>
    <m/>
    <m/>
    <m/>
    <m/>
    <m/>
    <m/>
    <m/>
    <m/>
    <m/>
    <m/>
    <m/>
    <m/>
    <m/>
    <m/>
    <m/>
    <m/>
    <m/>
    <m/>
    <m/>
    <m/>
    <m/>
    <m/>
    <m/>
    <m/>
    <m/>
    <m/>
    <m/>
    <m/>
    <m/>
    <m/>
    <m/>
    <m/>
    <m/>
    <n v="424377.60989999998"/>
    <n v="5386640.6962000001"/>
    <n v="48.628267209999997"/>
    <n v="-94.026304039999999"/>
    <d v="2014-06-27T15:00:00"/>
    <s v="Accepted"/>
    <s v="Reportable"/>
    <s v="Unknown"/>
    <s v="Unknown"/>
    <m/>
  </r>
  <r>
    <n v="10994081"/>
    <s v="03-MNTH"/>
    <n v="11"/>
    <n v="163.61199999999999"/>
    <s v="Koochiching"/>
    <m/>
    <m/>
    <s v="D2-BEMIDJI"/>
    <s v="Virginia"/>
    <m/>
    <m/>
    <n v="143090061"/>
    <d v="2023-10-10T00:00:00"/>
    <n v="4"/>
    <x v="1"/>
    <s v="07-Sat"/>
    <n v="2"/>
    <m/>
    <x v="1"/>
    <n v="0"/>
    <n v="1"/>
    <s v="Other"/>
    <s v="Deer"/>
    <m/>
    <s v="Sunrise"/>
    <s v="Rain"/>
    <m/>
    <s v="Wet"/>
    <s v="NOT APPLICABLE"/>
    <m/>
    <m/>
    <s v="0300000000000011-I"/>
    <s v="Single Vehicle Other"/>
    <s v="Motor Vehicle in Transport"/>
    <s v="Pickup"/>
    <s v="Westbound"/>
    <s v="Moving Forward"/>
    <n v="50"/>
    <s v="Female"/>
    <m/>
    <m/>
    <m/>
    <m/>
    <m/>
    <m/>
    <m/>
    <n v="50"/>
    <m/>
    <m/>
    <m/>
    <m/>
    <m/>
    <m/>
    <m/>
    <m/>
    <m/>
    <m/>
    <m/>
    <m/>
    <m/>
    <m/>
    <m/>
    <m/>
    <m/>
    <m/>
    <m/>
    <m/>
    <m/>
    <m/>
    <m/>
    <m/>
    <m/>
    <m/>
    <m/>
    <m/>
    <m/>
    <m/>
    <m/>
    <m/>
    <m/>
    <m/>
    <m/>
    <m/>
    <m/>
    <m/>
    <m/>
    <m/>
    <m/>
    <m/>
    <m/>
    <m/>
    <m/>
    <m/>
    <m/>
    <m/>
    <m/>
    <m/>
    <n v="431654.24839999998"/>
    <n v="5386693.5586999999"/>
    <n v="48.629580300000001"/>
    <n v="-93.927573370000005"/>
    <d v="2014-10-04T02:05:00"/>
    <s v="Accepted"/>
    <s v="Reportable"/>
    <s v="Unknown"/>
    <s v="Unknown"/>
    <m/>
  </r>
  <r>
    <n v="418594"/>
    <s v="03-MNTH"/>
    <n v="11"/>
    <n v="164.524"/>
    <s v="Koochiching"/>
    <m/>
    <m/>
    <s v="D2-BEMIDJI"/>
    <s v="Virginia"/>
    <m/>
    <n v="17310212"/>
    <n v="170260089"/>
    <d v="2023-01-01T00:00:00"/>
    <n v="26"/>
    <x v="2"/>
    <s v="05-Thu"/>
    <n v="9"/>
    <s v="West"/>
    <x v="0"/>
    <n v="0"/>
    <n v="1"/>
    <m/>
    <s v="Standing Tree/Shrubbery"/>
    <s v="Not at Intersection or Interch"/>
    <s v="Daylight"/>
    <s v="Clear"/>
    <m/>
    <s v="Dry"/>
    <s v="NOT APPLICABLE"/>
    <s v="HWY 11"/>
    <m/>
    <s v="0300000000000011-I"/>
    <s v="Single Vehicle Run Off Road"/>
    <s v="Motor Vehicle in Transport"/>
    <s v="Pickup"/>
    <s v="Westbound"/>
    <s v="Other"/>
    <n v="71"/>
    <s v="Male"/>
    <s v="Medical Issue (Ill, Sick or Fainted)"/>
    <s v="Ran Off Road"/>
    <m/>
    <m/>
    <m/>
    <s v="Two-Way, Not Divided"/>
    <s v="No Controls"/>
    <n v="60"/>
    <s v="Curve Left"/>
    <s v="Uphill"/>
    <m/>
    <m/>
    <m/>
    <m/>
    <m/>
    <m/>
    <m/>
    <m/>
    <m/>
    <m/>
    <m/>
    <m/>
    <m/>
    <m/>
    <m/>
    <m/>
    <m/>
    <m/>
    <m/>
    <m/>
    <m/>
    <m/>
    <m/>
    <m/>
    <m/>
    <m/>
    <m/>
    <m/>
    <m/>
    <m/>
    <m/>
    <m/>
    <m/>
    <m/>
    <m/>
    <m/>
    <m/>
    <m/>
    <m/>
    <m/>
    <m/>
    <m/>
    <m/>
    <m/>
    <m/>
    <m/>
    <m/>
    <m/>
    <n v="433091.91110000003"/>
    <n v="5386941.8825000003"/>
    <n v="48.631969460000001"/>
    <n v="-93.908104570000006"/>
    <d v="2017-01-26T09:13:00"/>
    <s v="Accepted"/>
    <s v="Reportable"/>
    <s v="MN State Patrol District 3100 - Virginia"/>
    <s v="State Patrol"/>
    <s v="DRIVER WAS SICK WITH A STOMACH BUG OPENED HIS DOOR TO THROW UP. VEHICLE WAS WEST BOUND ON HWY 11 NEAR MP 165. DRIVER WAS  GOING AROUND THE CORNER AND WENT ON TO THE SHOULDER WHERE HE GOT SUCKED INTO THE DEEP SNOW, RESULTING IN THE VEHICLE TO GO DOWN INTO THE DITCH, HITTING SOME SMALL  TREES WITH THE FRONT OF THE VEHICLE AND BECAME STUCK IN THE SNOW. DRIVER WAS GIVEN CASE NUMBER AND CRASH SHEET AT THE SCENE. NO CITATION WAS ISSUED. ROCHES TOWING RECOVERED THE VEH FROM THE DITCH AND IT WAS DRIVABLE."/>
  </r>
  <r>
    <n v="762832"/>
    <s v="03-MNTH"/>
    <n v="11"/>
    <n v="164.90899999999999"/>
    <s v="Koochiching"/>
    <m/>
    <m/>
    <s v="D2-BEMIDJI"/>
    <s v="Virginia"/>
    <m/>
    <n v="19311344"/>
    <n v="192990259"/>
    <d v="2023-10-10T00:00:00"/>
    <n v="26"/>
    <x v="3"/>
    <s v="07-Sat"/>
    <n v="15"/>
    <s v="East"/>
    <x v="0"/>
    <n v="0"/>
    <n v="1"/>
    <m/>
    <s v="Deer"/>
    <s v="Not at Intersection or Interch"/>
    <s v="Daylight"/>
    <s v="Clear"/>
    <m/>
    <s v="Dry"/>
    <s v="NOT APPLICABLE"/>
    <s v="HWY 11"/>
    <m/>
    <s v="0300000000000011-I"/>
    <s v="Single Vehicle Other"/>
    <s v="Motor Vehicle in Transport"/>
    <s v="Passenger Car"/>
    <s v="Eastbound"/>
    <s v="Moving Forward"/>
    <n v="59"/>
    <s v="Female"/>
    <s v="Apparently Normal"/>
    <s v="No Clear Contributing Action"/>
    <m/>
    <m/>
    <m/>
    <s v="Two-Way, Not Divided"/>
    <s v="No Controls"/>
    <n v="60"/>
    <s v="Curve Right"/>
    <s v="Downhill"/>
    <m/>
    <m/>
    <m/>
    <m/>
    <m/>
    <m/>
    <m/>
    <m/>
    <m/>
    <m/>
    <m/>
    <m/>
    <m/>
    <m/>
    <m/>
    <m/>
    <m/>
    <m/>
    <m/>
    <m/>
    <m/>
    <m/>
    <m/>
    <m/>
    <m/>
    <m/>
    <m/>
    <m/>
    <m/>
    <m/>
    <m/>
    <m/>
    <m/>
    <m/>
    <m/>
    <m/>
    <m/>
    <m/>
    <m/>
    <m/>
    <m/>
    <m/>
    <m/>
    <m/>
    <m/>
    <m/>
    <m/>
    <m/>
    <n v="433689.25280000002"/>
    <n v="5386804.2216999996"/>
    <n v="48.630794819999998"/>
    <n v="-93.899976300000006"/>
    <d v="2019-10-26T15:27:00"/>
    <s v="Accepted"/>
    <s v="Reportable"/>
    <s v="MN State Patrol District 3100 - Virginia"/>
    <s v="State Patrol"/>
    <s v="Veh#1 was travling eastbound on State Highway 11 near Indus School.  Veh#1 collided with a deer that ran into the roadway.  Driver#1 stated she was an able to avoid the deer.  Veh#1 sustained heavy front end damage. Driver#1 was able to drive the vehicle to the body shop. _x000a__x000a_Driver#1 was reported to be wearing her seatbelt and alcohol was not a factor."/>
  </r>
  <r>
    <n v="10877425"/>
    <s v="03-MNTH"/>
    <n v="11"/>
    <n v="167.58199999999999"/>
    <s v="Koochiching"/>
    <m/>
    <m/>
    <s v="D2-BEMIDJI"/>
    <s v="Virginia"/>
    <m/>
    <n v="13310015"/>
    <n v="130080278"/>
    <d v="2023-01-01T00:00:00"/>
    <n v="2"/>
    <x v="0"/>
    <s v="04-Wed"/>
    <n v="12"/>
    <s v="West"/>
    <x v="2"/>
    <n v="0"/>
    <n v="4"/>
    <s v="REAR-END"/>
    <s v="Motor Vehicle In Transport"/>
    <s v="Not at Intersection or Interch"/>
    <s v="Daylight"/>
    <s v="Snow"/>
    <s v="Blowing Sand/Soil/Dirt/Snow"/>
    <s v="Ice/Frost"/>
    <s v="NOT APPLICABLE"/>
    <s v="11 HWY"/>
    <n v="297"/>
    <s v="0300000000000011-I"/>
    <s v="Rear End"/>
    <s v="Motor Vehicle in Transport"/>
    <s v="Passenger Car"/>
    <s v="Eastbound"/>
    <s v="VEH STOPPED IN TRAFFIC"/>
    <n v="28"/>
    <s v="Female"/>
    <s v="Apparently Normal"/>
    <s v="IMP PKG/STR/STPG"/>
    <m/>
    <m/>
    <m/>
    <s v="2-LANES 1-ECH-WY"/>
    <s v="Not Applicable"/>
    <n v="55"/>
    <s v="Straight"/>
    <s v="Level"/>
    <s v="Motor Vehicle in Transport"/>
    <s v="SG UNT TR W TRLR"/>
    <s v="Eastbound"/>
    <s v="Slowing"/>
    <n v="65"/>
    <s v="Male"/>
    <s v="Apparently Normal"/>
    <s v="No Clear Contributing Action"/>
    <m/>
    <m/>
    <m/>
    <s v="2-LANES 1-ECH-WY"/>
    <s v="Not Applicable"/>
    <n v="55"/>
    <s v="Straight"/>
    <s v="Level"/>
    <s v="Motor Vehicle in Transport"/>
    <s v="SG UNT TR W TRLR"/>
    <s v="Eastbound"/>
    <s v="Moving Forward"/>
    <n v="64"/>
    <s v="Male"/>
    <s v="Apparently Normal"/>
    <s v="Failure to Obey Traffic Signs, Signals, Officer"/>
    <m/>
    <m/>
    <m/>
    <s v="2-LANES 1-ECH-WY"/>
    <s v="Not Applicable"/>
    <n v="55"/>
    <s v="Straight"/>
    <s v="Level"/>
    <s v="Motor Vehicle in Transport"/>
    <s v="Pickup"/>
    <s v="Westbound"/>
    <s v="Moving Forward"/>
    <n v="30"/>
    <s v="Male"/>
    <s v="Apparently Normal"/>
    <s v="No Clear Contributing Action"/>
    <m/>
    <m/>
    <m/>
    <s v="2-LANES 1-ECH-WY"/>
    <s v="Not Applicable"/>
    <n v="55"/>
    <s v="Straight"/>
    <s v="Level"/>
    <n v="437947.86660000001"/>
    <n v="5386342.0411"/>
    <n v="48.627074499999999"/>
    <n v="-93.84211603"/>
    <d v="2013-01-02T12:09:00"/>
    <s v="Accepted"/>
    <s v="Reportable"/>
    <s v="Unknown"/>
    <s v="Unknown"/>
    <s v="DRIVER OF VEH 1 HAD STOPPED ON THE EB SHOULDER TO TRY TO CATCH A  DOG. VEH 2 WAS TRAVELING EB AND WAS SLOWING BECAUSE VEH 1 WAS NOT ALL THE WAY OFF THE SHOULDER AND THERE WAS WB TRAFFIC COMING AT  HIM.  JUST BEFORE HE HAD STOPPED VEH 3 WHICH WAS ALSO TRAVELING  EB WAS UNABLE TO STOP FOR VEH 2 AND REAR ENDED IT.  AT THE POINT  OF IMPACT VEH 3 JACK KNIFED LEFT INTO THE WB LANE AND WAS STRUCK  BY VEH 4 WHICH WAS TRAVELING WB.  VEH 4 CAME TO REST IN THE NORTH DITCH.  VEH 2 WAS ABLE TO  MANEUVER AROUND VEH 1 AND CAME TO REST ON EB SHOULDER.  VEH 3 SLID FOR SEVERAL FEET AND CAME TO REST  BEHIND VEHICLE 1.  4 OCCUPANTS OF VEH 4 WERE TRANSPORTED TO FALLS HOSPITAL WITH INJURIES.  BOTH DRIVERS OF VEH 2 AND 3 WERE  TRANSPORTED TO FALLS HOSPITAL.  DRIVER OF VEH 1 NOT INJURED.   DRIVER OF VEHICLE 1 WILL BE CITED FOR NON-EMERGENCY STOP ON A  ROADWAY AND DRIVER OF VEH 3 WILL BE CITED FOR FOLLOWING TO CLOSE.  WEATHER CONDITIONS WERE BLOWING SNOW  WITH LOTS OF SNOW DUST  FROM VEHICLES.  THE ROAD SURFACE WAS ICY.  ROAD WAS STRAIGHT AND  LEVEL.  CRASH RECONSTRUCTION WAS COMPLETED BY SP340.  LR  PASSENGER OF VEH 4 WAS IN CRITICAL CONDITION."/>
  </r>
  <r>
    <n v="761169"/>
    <s v="03-MNTH"/>
    <n v="11"/>
    <n v="168.96899999999999"/>
    <s v="Koochiching"/>
    <m/>
    <m/>
    <s v="D2-BEMIDJI"/>
    <s v="Virginia"/>
    <m/>
    <n v="19311345"/>
    <n v="193120220"/>
    <d v="2023-11-11T00:00:00"/>
    <n v="8"/>
    <x v="3"/>
    <s v="06-Fri"/>
    <n v="18"/>
    <s v="West"/>
    <x v="0"/>
    <n v="0"/>
    <n v="1"/>
    <m/>
    <s v="Deer"/>
    <s v="Not at Intersection or Interch"/>
    <s v="Dark (No Str Lights)"/>
    <s v="Snow"/>
    <s v="Cloudy"/>
    <s v="Snow"/>
    <s v="NOT APPLICABLE"/>
    <s v="HWY 11  S"/>
    <m/>
    <s v="0300000000000011-I"/>
    <s v="Single Vehicle Other"/>
    <s v="Motor Vehicle in Transport"/>
    <s v="Passenger Car"/>
    <s v="Westbound"/>
    <s v="Moving Forward"/>
    <n v="68"/>
    <s v="Male"/>
    <s v="Apparently Normal"/>
    <s v="No Clear Contributing Action"/>
    <m/>
    <m/>
    <m/>
    <s v="Two-Way, Not Divided"/>
    <s v="No Controls"/>
    <n v="60"/>
    <s v="Straight"/>
    <s v="Level"/>
    <m/>
    <m/>
    <m/>
    <m/>
    <m/>
    <m/>
    <m/>
    <m/>
    <m/>
    <m/>
    <m/>
    <m/>
    <m/>
    <m/>
    <m/>
    <m/>
    <m/>
    <m/>
    <m/>
    <m/>
    <m/>
    <m/>
    <m/>
    <m/>
    <m/>
    <m/>
    <m/>
    <m/>
    <m/>
    <m/>
    <m/>
    <m/>
    <m/>
    <m/>
    <m/>
    <m/>
    <m/>
    <m/>
    <m/>
    <m/>
    <m/>
    <m/>
    <m/>
    <m/>
    <m/>
    <m/>
    <m/>
    <m/>
    <n v="438978.91879999998"/>
    <n v="5384478.5664999997"/>
    <n v="48.610413479999998"/>
    <n v="-93.827851030000005"/>
    <d v="2019-11-08T18:10:00"/>
    <s v="Accepted"/>
    <s v="Reportable"/>
    <s v="MN State Patrol District 3100 - Virginia"/>
    <s v="State Patrol"/>
    <s v="Veh#1 traveling westbound on State Highway 11.  Veh#1 collided with a deer that ran out of the ditch.  Driver #1 stated that they didn't see the deer and struck it on the roadway.  _x000a__x000a_Driver was reported to be wearing a seatbelt and alcohol was not a factor. No citations will be issued out of this event."/>
  </r>
  <r>
    <n v="668557"/>
    <s v="03-MNTH"/>
    <n v="11"/>
    <n v="169.14"/>
    <s v="Koochiching"/>
    <m/>
    <m/>
    <s v="D2-BEMIDJI"/>
    <s v="Virginia"/>
    <m/>
    <n v="18311442"/>
    <n v="183430146"/>
    <d v="2023-12-12T00:00:00"/>
    <n v="9"/>
    <x v="4"/>
    <s v="01-Sun"/>
    <n v="12"/>
    <s v="West"/>
    <x v="2"/>
    <n v="0"/>
    <n v="1"/>
    <m/>
    <s v="Overturn/Rollover"/>
    <s v="Not at Intersection or Interch"/>
    <s v="Daylight"/>
    <s v="Cloudy"/>
    <m/>
    <s v="Dry"/>
    <s v="NOT APPLICABLE"/>
    <s v="HWY 11  S"/>
    <m/>
    <s v="0300000000000011-I"/>
    <s v="Single Vehicle Run Off Road"/>
    <s v="Motor Vehicle in Transport"/>
    <s v="Pickup"/>
    <s v="Westbound"/>
    <s v="Moving Forward"/>
    <n v="29"/>
    <s v="Male"/>
    <s v="Apparently Normal"/>
    <s v="Failed to Keep in Proper Lane"/>
    <s v="Driver Speeding"/>
    <m/>
    <m/>
    <s v="Two-Way, Not Divided"/>
    <s v="No Controls"/>
    <n v="60"/>
    <s v="Straight"/>
    <s v="Level"/>
    <m/>
    <m/>
    <m/>
    <m/>
    <m/>
    <m/>
    <m/>
    <m/>
    <m/>
    <m/>
    <m/>
    <m/>
    <m/>
    <m/>
    <m/>
    <m/>
    <m/>
    <m/>
    <m/>
    <m/>
    <m/>
    <m/>
    <m/>
    <m/>
    <m/>
    <m/>
    <m/>
    <m/>
    <m/>
    <m/>
    <m/>
    <m/>
    <m/>
    <m/>
    <m/>
    <m/>
    <m/>
    <m/>
    <m/>
    <m/>
    <m/>
    <m/>
    <m/>
    <m/>
    <m/>
    <m/>
    <m/>
    <m/>
    <n v="439115.88"/>
    <n v="5384241.0626999997"/>
    <n v="48.608290410000002"/>
    <n v="-93.825958299999996"/>
    <d v="2018-12-09T12:12:00"/>
    <s v="Accepted"/>
    <s v="Reportable"/>
    <s v="MN State Patrol District 3100 - Virginia"/>
    <s v="State Patrol"/>
    <s v="VEH1 WAS TRAVELING WB HWY 11 AT APPROX MP 169. DRIVER STATED, HE WAS TALKING WITH HIS PASSENGER AND VEERED OFF THE ROAD. VEHICLE TRAVELED SEVERAL HUNDRED FEET AND COLLIDED WITH A CULVERT DITCH. THE VEHICLE BECAME AIR BORN AND FLIPPED OVER LANDING ON TOP PORTION (UPSIDE DOWN) OF VEHICLE. THE VEH1 SLID AND FLIPPED AGAIN LANDED ON ALL FOUR TIRES, WHERE IT SLID INTO THE TREES._x000a__x000a_DRIVER WAS NOT WEARING A SEATBELT AND HAD NO APPARENT INJURIES. PASSENGER WAS ALSO NOT WEARING A SEATBELT WAS THROWN AROUND VEHICLE WHERE SHE WAS LAYING IN-BETWEEN SEATS. DRIVER STATED, HE PULLED HER OUT OF VEHICLE ON DRIVERS SIDE. _x000a__x000a_PASSENGER WAS TRANSPORT BY AMBULANCE TO RAINY LAKE MEDICAL CENTER IN INTERNATIONAL FALLS, MN. THE PASSENGER WAS FLOWN TO ST MARYS IN DULUTH, MN. HER APPARENT INJURIES WHERE POSSIBLE SPINAL TRAUMA AND PARALYSIS IN LOWER EXTREMITIES. _x000a__x000a_STATEMENTS WERE TAKEN FROM DRIVER AND PASSENGER ON SCENE. THE DRIVER STATED HE WAS DISTRACTED FROM TALKING TO HIS PASSENGER AND VEERED OFF ROAD. THE SNOW AND ICE ON SHOULDER PULLED THEM INTO THE DITCH.  HE STATED THEY SLID AND COLLIDED WITH TREES. HE STATED HE WAS NOT WEARING HIS SEATBELT AND NEITHER WAS THE PASSENGER. DRIVER ALSO STATED HE WAS TRAVELING AT AROUND 70MPH IN A 60MPH ZONE.  _x000a__x000a_PASSENGER GAVE BRIEF STATEMENT STATED SHE WAS NOT WEARING HER SEATBELT AND THAT THEY JUST WENT OFF THE ROAD DUE TO THE SNOW AND ICE ON SHOULDER THAT PULLED THEM INTO THE DITCH. _x000a__x000a_PHOTOS AND VIDEO WERE TAKEN ON SCENE. THE SCENE WAS PAINTED IN PINK PAINT._x000a__x000a_ROCHES TOWING TOWED VEHICLE AND WAS PUT ON HOLD FOR FURTHER INVESTIGATION IF CRASH RECON IS NEEDED. _x000a__x000a_DOCUMENTS WILL BE SENT IN  THE MAIL TO DRIVER AND PASSENGER ONCE I CONCLUDE FOLLOW UP WITH THE DRIVER."/>
  </r>
  <r>
    <n v="10892274"/>
    <s v="03-MNTH"/>
    <n v="11"/>
    <n v="170.048"/>
    <s v="Koochiching"/>
    <m/>
    <m/>
    <s v="D2-BEMIDJI"/>
    <s v="Virginia"/>
    <m/>
    <n v="13310765"/>
    <n v="131650239"/>
    <d v="2023-06-06T00:00:00"/>
    <n v="6"/>
    <x v="0"/>
    <s v="05-Thu"/>
    <n v="7"/>
    <m/>
    <x v="3"/>
    <n v="0"/>
    <n v="1"/>
    <s v="RAN OFF RD-LEFT"/>
    <s v="Overturn/Rollover"/>
    <s v="Not at Intersection or Interch"/>
    <s v="Dark (No Str Lights)"/>
    <s v="Clear"/>
    <m/>
    <s v="Dry"/>
    <s v="NOT APPLICABLE"/>
    <s v="11 HWY"/>
    <s v="MM 170"/>
    <s v="0300000000000011-I"/>
    <s v="Single Vehicle Run Off Road"/>
    <s v="Motor Vehicle in Transport"/>
    <s v="Sport Utility Vehicle"/>
    <s v="Eastbound"/>
    <s v="Moving Forward"/>
    <n v="20"/>
    <s v="Female"/>
    <s v="Apparently Normal"/>
    <s v="Over Correcting / Over Steering"/>
    <m/>
    <m/>
    <m/>
    <s v="2-LANES 1-ECH-WY"/>
    <s v="Not Applicable"/>
    <n v="55"/>
    <s v="CURVE (pre 2016)"/>
    <s v="Level"/>
    <m/>
    <m/>
    <m/>
    <m/>
    <m/>
    <m/>
    <m/>
    <m/>
    <m/>
    <m/>
    <m/>
    <m/>
    <m/>
    <m/>
    <m/>
    <m/>
    <m/>
    <m/>
    <m/>
    <m/>
    <m/>
    <m/>
    <m/>
    <m/>
    <m/>
    <m/>
    <m/>
    <m/>
    <m/>
    <m/>
    <m/>
    <m/>
    <m/>
    <m/>
    <m/>
    <m/>
    <m/>
    <m/>
    <m/>
    <m/>
    <m/>
    <m/>
    <m/>
    <m/>
    <m/>
    <m/>
    <m/>
    <m/>
    <n v="439444.70409999997"/>
    <n v="5382841.2324000001"/>
    <n v="48.59573039"/>
    <n v="-93.821293789999999"/>
    <d v="2013-06-06T07:33:00"/>
    <s v="Accepted"/>
    <s v="Reportable"/>
    <s v="Unknown"/>
    <s v="Unknown"/>
    <s v="VEH WAS EB IN HWY 11 NEAR MM 170.  DRIVER SWERVED TO AVOID DEER, OVERCORRECTED AND RAN OFF RIGHT SIDE OF ROAD.  VEH OVERTURNED AND CAME TO REST 10 FEET FROM THE RIVER.  PASSENGER WAS TAKEN TO HOSPITAL LATER.  BOTH WERE WEARING SEATBELTS. ROAD CONDITIONS WERE GOOD."/>
  </r>
  <r>
    <n v="774320"/>
    <s v="03-MNTH"/>
    <n v="11"/>
    <n v="170.697"/>
    <s v="Koochiching"/>
    <m/>
    <m/>
    <s v="D2-BEMIDJI"/>
    <s v="Virginia"/>
    <m/>
    <n v="19311578"/>
    <n v="193590072"/>
    <d v="2023-12-12T00:00:00"/>
    <n v="25"/>
    <x v="3"/>
    <s v="04-Wed"/>
    <n v="11"/>
    <s v="West"/>
    <x v="0"/>
    <n v="0"/>
    <n v="1"/>
    <m/>
    <s v="Mailboxes/Posts"/>
    <s v="Driveway Access Related"/>
    <s v="Daylight"/>
    <s v="Cloudy"/>
    <s v="Sleet, Hail (Freezing Rain/Drizzle)"/>
    <s v="Ice/Frost"/>
    <s v="NOT APPLICABLE"/>
    <s v="HWY 11  S"/>
    <m/>
    <s v="0300000000000011-I"/>
    <s v="Single Vehicle Run Off Road"/>
    <s v="Motor Vehicle in Transport"/>
    <s v="Passenger Car"/>
    <s v="Westbound"/>
    <s v="Moving Forward"/>
    <n v="29"/>
    <s v="Female"/>
    <s v="Apparently Normal"/>
    <s v="Other Contributing Action"/>
    <m/>
    <m/>
    <m/>
    <s v="Two-Way, Not Divided"/>
    <s v="No Controls"/>
    <n v="60"/>
    <s v="Curve Left"/>
    <s v="Level"/>
    <m/>
    <m/>
    <m/>
    <m/>
    <m/>
    <m/>
    <m/>
    <m/>
    <m/>
    <m/>
    <m/>
    <m/>
    <m/>
    <m/>
    <m/>
    <m/>
    <m/>
    <m/>
    <m/>
    <m/>
    <m/>
    <m/>
    <m/>
    <m/>
    <m/>
    <m/>
    <m/>
    <m/>
    <m/>
    <m/>
    <m/>
    <m/>
    <m/>
    <m/>
    <m/>
    <m/>
    <m/>
    <m/>
    <m/>
    <m/>
    <m/>
    <m/>
    <m/>
    <m/>
    <m/>
    <m/>
    <m/>
    <m/>
    <n v="439722.57260000001"/>
    <n v="5381852.1410999997"/>
    <n v="48.586859990000001"/>
    <n v="-93.817382050000006"/>
    <d v="2019-12-25T11:24:00"/>
    <s v="Accepted"/>
    <s v="Reportable"/>
    <s v="MN State Patrol District 3100 - Virginia"/>
    <s v="State Patrol"/>
    <s v="Veh#1 was traveling westbound on State Highway 11 near address 2337 State Highway 11.  Driver #1 was driving too fast for conditions and lost control of her vehicle. Veh#1 crossed into the eastbound lane of travel before hitting an approach then into a mailbox.  Veh#1 collided with the ditch bottom before coming to a stop.  _x000a__x000a_Driver#1 was reported to be wearing her seatbelt and alcohol was not a factor. Passenger#1 was reported to be wearing a seatbelt and no injuries were reported. _x000a__x000a_Roaches Towing responded to the scene to tow the vehicle. _x000a__x000a_Roadway conditions were icy with misting rain._x000a__x000a_Driver was cited for Duty to Drive with Due Care."/>
  </r>
  <r>
    <n v="1117505"/>
    <s v="03-MNTH"/>
    <n v="11"/>
    <n v="170.96"/>
    <s v="Koochiching"/>
    <m/>
    <s v="Unorganized Territory of East Koochiching"/>
    <m/>
    <s v="Virginia"/>
    <m/>
    <n v="23310747"/>
    <n v="231810101"/>
    <d v="2023-06-06T00:00:00"/>
    <n v="30"/>
    <x v="5"/>
    <s v="06-Fri"/>
    <n v="7"/>
    <s v="Not Applicable"/>
    <x v="0"/>
    <n v="0"/>
    <n v="1"/>
    <m/>
    <s v="Fire/Explosion"/>
    <s v="Not at Intersection or Interch"/>
    <s v="Daylight"/>
    <s v="Clear"/>
    <m/>
    <s v="Dry"/>
    <s v="NOT APPLICABLE"/>
    <s v="HWY 11  S"/>
    <m/>
    <s v="0300000000000011-I"/>
    <s v="Single Vehicle Other"/>
    <s v="Motor Vehicle in Transport"/>
    <s v="Medium / Heavy Trucks (More than 10,000lbs)"/>
    <s v="Westbound"/>
    <s v="Moving Forward"/>
    <n v="72"/>
    <s v="Male"/>
    <s v="Apparently Normal"/>
    <s v="No Clear Contributing Action"/>
    <m/>
    <m/>
    <m/>
    <s v="Two-Way, Not Divided"/>
    <s v="No Controls"/>
    <m/>
    <s v="Straight"/>
    <s v="Level"/>
    <m/>
    <m/>
    <m/>
    <m/>
    <m/>
    <m/>
    <m/>
    <m/>
    <m/>
    <m/>
    <m/>
    <m/>
    <m/>
    <m/>
    <m/>
    <m/>
    <m/>
    <m/>
    <m/>
    <m/>
    <m/>
    <m/>
    <m/>
    <m/>
    <m/>
    <m/>
    <m/>
    <m/>
    <m/>
    <m/>
    <m/>
    <m/>
    <m/>
    <m/>
    <m/>
    <m/>
    <m/>
    <m/>
    <m/>
    <m/>
    <m/>
    <m/>
    <m/>
    <m/>
    <m/>
    <m/>
    <m/>
    <m/>
    <n v="439704.52120904002"/>
    <n v="5381429.0999915302"/>
    <n v="48.583044409999999"/>
    <n v="-93.817556949999997"/>
    <d v="2023-06-30T07:10:00"/>
    <s v="Accepted"/>
    <s v="Reportable"/>
    <s v="MN State Patrol District 3100 - Virginia"/>
    <s v="State Patrol"/>
    <s v="On 06/30/2023 at approximately 07:10, unit #1 was traveling West on HWY 11 near mile post 171. Unit #1 was hauling a load of garbage. The garbage inside of the trailer began to smoke and caught fire. The driver of unit #1 noticed the smoke on the trailer. The driver pulled over on the west bound side of HWY 11 and disconnected the truck from the trailer. _x000a__x000a_No injures._x000a_No citations issued._x000a_Loman Fire Dept. and Koochiching County on scene._x000a_No air bags deployed._x000a_No tows._x000a_Damage to paint on the trailer. Mechanically, in good condition."/>
  </r>
  <r>
    <n v="1069676"/>
    <s v="03-MNTH"/>
    <n v="11"/>
    <n v="171.023"/>
    <s v="Koochiching"/>
    <m/>
    <m/>
    <s v="D2-BEMIDJI"/>
    <s v="Virginia"/>
    <m/>
    <n v="22311507"/>
    <n v="223550462"/>
    <d v="2023-12-12T00:00:00"/>
    <n v="21"/>
    <x v="6"/>
    <s v="04-Wed"/>
    <n v="15"/>
    <m/>
    <x v="0"/>
    <n v="0"/>
    <n v="2"/>
    <s v="Front to Rear"/>
    <s v="Motor Vehicle In Transport"/>
    <s v="Not at Intersection or Interch"/>
    <s v="Daylight"/>
    <s v="Blowing Sand/Soil/Dirt/Snow"/>
    <s v="Snow"/>
    <s v="Snow"/>
    <s v="NOT APPLICABLE"/>
    <s v="HWY 11  S"/>
    <m/>
    <s v="0300000000000011-I"/>
    <s v="Rear End"/>
    <s v="Motor Vehicle in Transport"/>
    <s v="Medium / Heavy Trucks (More than 10,000lbs)"/>
    <s v="Eastbound"/>
    <s v="Moving Forward"/>
    <n v="20"/>
    <s v="Male"/>
    <s v="Apparently Normal"/>
    <s v="Following Too Closely"/>
    <s v="Swerved or Avoided Due to Wind"/>
    <m/>
    <m/>
    <s v="Two-Way, Not Divided"/>
    <s v="No Controls"/>
    <n v="60"/>
    <s v="Straight"/>
    <s v="Level"/>
    <s v="Motor Vehicle in Transport"/>
    <s v="Pickup"/>
    <s v="Eastbound"/>
    <s v="Slowing"/>
    <n v="48"/>
    <s v="Male"/>
    <s v="Apparently Normal"/>
    <s v="No Clear Contributing Action"/>
    <m/>
    <m/>
    <m/>
    <s v="Two-Way, Not Divided"/>
    <s v="No Controls"/>
    <n v="60"/>
    <s v="Straight"/>
    <s v="Level"/>
    <m/>
    <m/>
    <m/>
    <m/>
    <m/>
    <m/>
    <m/>
    <m/>
    <m/>
    <m/>
    <m/>
    <m/>
    <m/>
    <m/>
    <m/>
    <m/>
    <m/>
    <m/>
    <m/>
    <m/>
    <m/>
    <m/>
    <m/>
    <m/>
    <m/>
    <m/>
    <m/>
    <m/>
    <m/>
    <m/>
    <m/>
    <m/>
    <n v="439706.52679999999"/>
    <n v="5381327.4385000002"/>
    <n v="48.582138559999997"/>
    <n v="-93.817523489999999"/>
    <d v="2022-12-21T15:35:00"/>
    <s v="Accepted"/>
    <s v="Reportable"/>
    <s v="MN State Patrol District 3100 - Virginia"/>
    <s v="State Patrol"/>
    <s v="VEH1 WAS FOLLOWING VEH2. VEH2 SLOWED FOR SEMI IN FRONT OF THEM. VISIBILITY WAS BAD DUE TO POWDERY SNOW AND WIND. VEH1 WAS NOT ABLE TO SLOW OR STOP AND COLLIDED WITH VEH2 IN THE REAR. VEH2 WAS PULLING A TRAILER (ADVP054) WITH A 2023 POLARIS ASSAULT 850 (SN1TLC8R4PC247942). THE COLLISION BROKE THE TRAILER AND SENT THE SNOWMOBILE ROLLING DOWN THE ROAD. _x000a__x000a_COLLISION CAUSED DAMAGE TO FRONT END OF VEH1 (DISABLING). CAUSED REAR END DAMAGE TO VEH2. TRAILER AND SNOWMOBILE WERE TOTALED AND TOWED BY HOOK AND BOOK. VEH1 WAS TOWED BY ROCHES. _x000a__x000a_DRIVER1 WAS WEARING SEATBELT, NO DISTRACTION, NO INJURIES, AND NO AIRBAGS DEPLOYED. _x000a__x000a_DRIVER2 WAS WEARING SEATBELT, NO DISTRACTION, NO INJURIES AND NO AIRBAGS DEPLOYED. _x000a__x000a_PASSENGER OF VEH2 WAS WEARING SEATBELT, NO INJURIES AND NO AIRBAGS DEPLOYED. _x000a__x000a_STATEMENTS WERE TAKEN FROM ALL INVOLVED. ALL STATED THAT THE SEMI SLAMMED ON THE BRAKES, CAUSING VEH2 TO HIT BRAKES, WHICH CAUSED VEH1 TO HIT BRAKES, BUT COULDN'T STOP IN TIME AND COLLIDED. ALL STATED VISIBILITY WAS BAD DUE TO POWDERY SNOW AND WIND BLOWING._x000a__x000a_NO CITATIONS."/>
  </r>
  <r>
    <n v="10977640"/>
    <s v="03-MNTH"/>
    <n v="11"/>
    <n v="171.63800000000001"/>
    <s v="Koochiching"/>
    <m/>
    <m/>
    <s v="D2-BEMIDJI"/>
    <s v="Virginia"/>
    <m/>
    <n v="14311218"/>
    <n v="142020218"/>
    <d v="2023-07-07T00:00:00"/>
    <n v="18"/>
    <x v="1"/>
    <s v="06-Fri"/>
    <n v="16"/>
    <s v="North"/>
    <x v="0"/>
    <n v="0"/>
    <n v="1"/>
    <s v="Other"/>
    <s v="Deer"/>
    <s v="Not at Intersection or Interch"/>
    <s v="Daylight"/>
    <s v="Clear"/>
    <s v="Cloudy"/>
    <s v="Dry"/>
    <s v="NOT APPLICABLE"/>
    <s v="11 HWY"/>
    <n v="171"/>
    <s v="0300000000000011-I"/>
    <s v="Single Vehicle Other"/>
    <s v="Motor Vehicle in Transport"/>
    <s v="Pickup"/>
    <s v="Northbound"/>
    <s v="Moving Forward"/>
    <n v="59"/>
    <s v="Male"/>
    <s v="Apparently Normal"/>
    <s v="No Clear Contributing Action"/>
    <m/>
    <m/>
    <m/>
    <s v="2-LANES 1-ECH-WY"/>
    <s v="Not Applicable"/>
    <n v="55"/>
    <s v="Straight"/>
    <s v="Level"/>
    <m/>
    <m/>
    <m/>
    <m/>
    <m/>
    <m/>
    <m/>
    <m/>
    <m/>
    <m/>
    <m/>
    <m/>
    <m/>
    <m/>
    <m/>
    <m/>
    <m/>
    <m/>
    <m/>
    <m/>
    <m/>
    <m/>
    <m/>
    <m/>
    <m/>
    <m/>
    <m/>
    <m/>
    <m/>
    <m/>
    <m/>
    <m/>
    <m/>
    <m/>
    <m/>
    <m/>
    <m/>
    <m/>
    <m/>
    <m/>
    <m/>
    <m/>
    <m/>
    <m/>
    <m/>
    <m/>
    <m/>
    <m/>
    <n v="439676.30119999999"/>
    <n v="5380339.0554"/>
    <n v="48.573244789999997"/>
    <n v="-93.817789840000003"/>
    <d v="2014-07-18T16:57:00"/>
    <s v="Accepted"/>
    <s v="Reportable"/>
    <s v="Unknown"/>
    <s v="Unknown"/>
    <s v="Vehicle #1 was WB Hwy 11 pulling a boat for a fishing trip in northern Minnesota._x000a__x000a_Deer came into the lane of traffic and vehicle #1 struck the deer on the front passenger side._x000a_Deer was dead on arrival._x000a__x000a_Vehicle was towed from the scene via Johnson`s Auto in Baudette._x000a__x000a_No airbags deployed AND Seatbelts worn._x000a__x000a_Boat pulled with WI registration WS 3901EZ_x000a__x000a_Driver given victim rights card; MN Crash Report, and a copy of the Crash Report Info Sheet."/>
  </r>
  <r>
    <n v="11047224"/>
    <s v="03-MNTH"/>
    <n v="11"/>
    <n v="171.738"/>
    <s v="Koochiching"/>
    <m/>
    <m/>
    <s v="D2-BEMIDJI"/>
    <s v="Virginia"/>
    <m/>
    <n v="15310379"/>
    <n v="150540221"/>
    <d v="2023-02-02T00:00:00"/>
    <n v="21"/>
    <x v="7"/>
    <s v="07-Sat"/>
    <n v="7"/>
    <m/>
    <x v="0"/>
    <n v="0"/>
    <n v="1"/>
    <s v="RAN OFF RD-RIGHT"/>
    <s v="Standing Tree/Shrubbery"/>
    <s v="Not at Intersection or Interch"/>
    <s v="Daylight"/>
    <s v="Cloudy"/>
    <m/>
    <s v="Ice/Frost"/>
    <s v="NOT APPLICABLE"/>
    <s v="11 HWY"/>
    <s v="UT 107"/>
    <s v="0300000000000011-I"/>
    <s v="Single Vehicle Run Off Road"/>
    <s v="Motor Vehicle in Transport"/>
    <s v="Passenger Car"/>
    <s v="Westbound"/>
    <s v="Moving Forward"/>
    <n v="59"/>
    <s v="Male"/>
    <s v="Medical Issue (Ill, Sick or Fainted)"/>
    <s v="OTH HMN CNTR FCT"/>
    <m/>
    <m/>
    <m/>
    <s v="2-LANES 1-ECH-WY"/>
    <s v="Not Applicable"/>
    <n v="55"/>
    <s v="Straight"/>
    <s v="Level"/>
    <m/>
    <m/>
    <m/>
    <m/>
    <m/>
    <m/>
    <m/>
    <m/>
    <m/>
    <m/>
    <m/>
    <m/>
    <m/>
    <m/>
    <m/>
    <m/>
    <m/>
    <m/>
    <m/>
    <m/>
    <m/>
    <m/>
    <m/>
    <m/>
    <m/>
    <m/>
    <m/>
    <m/>
    <m/>
    <m/>
    <m/>
    <m/>
    <m/>
    <m/>
    <m/>
    <m/>
    <m/>
    <m/>
    <m/>
    <m/>
    <m/>
    <m/>
    <m/>
    <m/>
    <m/>
    <m/>
    <m/>
    <m/>
    <n v="439671.38199999998"/>
    <n v="5380178.1957999999"/>
    <n v="48.571797320000002"/>
    <n v="-93.817833179999994"/>
    <d v="2015-02-21T07:09:00"/>
    <s v="Accepted"/>
    <s v="Reportable"/>
    <s v="Unknown"/>
    <s v="Unknown"/>
    <s v="Veh #1 wb on hwy 11. Driver drove in to ditch and side swiped tree. Driver had diabetic reaction had no memory of last 2 hours or how he got in the crash. Driver woke up in snow bank. Driver has serious medical issues. Driver eval sent. citation for careless and no proof of insurance."/>
  </r>
  <r>
    <n v="860770"/>
    <s v="03-MNTH"/>
    <n v="11"/>
    <n v="173.756"/>
    <s v="Koochiching"/>
    <m/>
    <m/>
    <s v="D2-BEMIDJI"/>
    <s v="Virginia"/>
    <m/>
    <n v="20000355"/>
    <n v="203070035"/>
    <d v="2023-11-11T00:00:00"/>
    <n v="2"/>
    <x v="8"/>
    <s v="02-Mon"/>
    <n v="6"/>
    <s v="Not Applicable"/>
    <x v="0"/>
    <n v="0"/>
    <n v="1"/>
    <m/>
    <s v="Other Animal - Alive at Time of Crash"/>
    <s v="Not at Intersection or Interch"/>
    <s v="Dark (No Str Lights)"/>
    <s v="Clear"/>
    <m/>
    <s v="Ice/Frost"/>
    <s v="NOT APPLICABLE"/>
    <s v="HWY 11  S"/>
    <m/>
    <s v="0300000000000011-I"/>
    <s v="Single Vehicle Other"/>
    <s v="Motor Vehicle in Transport"/>
    <s v="Pickup"/>
    <s v="Westbound"/>
    <s v="Moving Forward"/>
    <n v="55"/>
    <s v="Male"/>
    <s v="Apparently Normal"/>
    <s v="No Clear Contributing Action"/>
    <m/>
    <m/>
    <m/>
    <s v="Two-Way, Not Divided"/>
    <s v="Not Applicable"/>
    <n v="60"/>
    <s v="Straight"/>
    <s v="Level"/>
    <m/>
    <m/>
    <m/>
    <m/>
    <m/>
    <m/>
    <m/>
    <m/>
    <m/>
    <m/>
    <m/>
    <m/>
    <m/>
    <m/>
    <m/>
    <m/>
    <m/>
    <m/>
    <m/>
    <m/>
    <m/>
    <m/>
    <m/>
    <m/>
    <m/>
    <m/>
    <m/>
    <m/>
    <m/>
    <m/>
    <m/>
    <m/>
    <m/>
    <m/>
    <m/>
    <m/>
    <m/>
    <m/>
    <m/>
    <m/>
    <m/>
    <m/>
    <m/>
    <m/>
    <m/>
    <m/>
    <m/>
    <m/>
    <n v="439595.04879999999"/>
    <n v="5376930.9846999999"/>
    <n v="48.542580030000003"/>
    <n v="-93.818396539999995"/>
    <d v="2020-11-02T06:18:00"/>
    <s v="Accepted"/>
    <s v="Reportable"/>
    <s v="Koochiching County Sheriff"/>
    <s v="Sheriff"/>
    <s v="The vehicle hit a horse while traveling west on Hwy 11W. No injuries reported by the driver (lone occupant). See ICR for more information."/>
  </r>
  <r>
    <n v="814604"/>
    <s v="03-MNTH"/>
    <n v="11"/>
    <n v="173.95099999999999"/>
    <s v="Koochiching"/>
    <m/>
    <m/>
    <s v="D2-BEMIDJI"/>
    <s v="Virginia"/>
    <m/>
    <s v="KO20000162"/>
    <n v="201660104"/>
    <d v="2023-06-06T00:00:00"/>
    <n v="14"/>
    <x v="8"/>
    <s v="01-Sun"/>
    <n v="17"/>
    <s v="East"/>
    <x v="2"/>
    <n v="0"/>
    <n v="1"/>
    <m/>
    <s v="Ditch"/>
    <s v="Not at Intersection or Interch"/>
    <s v="Daylight"/>
    <s v="Clear"/>
    <m/>
    <s v="Dry"/>
    <s v="NOT APPLICABLE"/>
    <s v="HWY 11"/>
    <m/>
    <s v="0300000000000011-I"/>
    <s v="Single Vehicle Run Off Road"/>
    <s v="Motor Vehicle in Transport"/>
    <s v="Passenger Car"/>
    <s v="Eastbound"/>
    <s v="Moving Forward"/>
    <n v="32"/>
    <s v="Male"/>
    <s v="Has Been Drinking Alcohol"/>
    <s v="Operated Motor Vehicle: Careless/Negligent/Erratic"/>
    <s v="Over Correcting / Over Steering"/>
    <m/>
    <m/>
    <s v="Two-Way, Not Divided"/>
    <s v="No Controls"/>
    <n v="60"/>
    <s v="Curve Right"/>
    <s v="Level"/>
    <m/>
    <m/>
    <m/>
    <m/>
    <m/>
    <m/>
    <m/>
    <m/>
    <m/>
    <m/>
    <m/>
    <m/>
    <m/>
    <m/>
    <m/>
    <m/>
    <m/>
    <m/>
    <m/>
    <m/>
    <m/>
    <m/>
    <m/>
    <m/>
    <m/>
    <m/>
    <m/>
    <m/>
    <m/>
    <m/>
    <m/>
    <m/>
    <m/>
    <m/>
    <m/>
    <m/>
    <m/>
    <m/>
    <m/>
    <m/>
    <m/>
    <m/>
    <m/>
    <m/>
    <m/>
    <m/>
    <m/>
    <m/>
    <n v="439597.90360000002"/>
    <n v="5376616.8792000003"/>
    <n v="48.539754799999997"/>
    <n v="-93.818312320000004"/>
    <d v="2020-06-14T17:16:00"/>
    <s v="Accepted"/>
    <s v="Reportable"/>
    <s v="Koochiching County Sheriff"/>
    <s v="Sheriff"/>
    <s v="Called to a vehicle in the ditch on highway 11, west of Loman.  Marty was driving east bound on Hwy 11 and appeared to over correct and went into the ditch.  Marty then struck a few trees on the rear drivers side of the car.  A PBT was given to Marty which came back .25 BAC.  Marty was transported to Rainy Lake Medical Center and a blood draw was taken.  Marty was shipped out to Duluth with a preliminary report of a broken back."/>
  </r>
  <r>
    <n v="11054749"/>
    <s v="03-MNTH"/>
    <n v="11"/>
    <n v="175.81"/>
    <s v="Koochiching"/>
    <m/>
    <m/>
    <s v="D2-BEMIDJI"/>
    <s v="Virginia"/>
    <m/>
    <n v="15310707"/>
    <n v="151020124"/>
    <d v="2023-04-04T00:00:00"/>
    <n v="3"/>
    <x v="7"/>
    <s v="06-Fri"/>
    <n v="7"/>
    <m/>
    <x v="0"/>
    <n v="0"/>
    <n v="1"/>
    <s v="RAN OFF RD-RIGHT"/>
    <s v="Standing Tree/Shrubbery"/>
    <s v="Not at Intersection or Interch"/>
    <s v="Daylight"/>
    <s v="Snow"/>
    <m/>
    <s v="Snow"/>
    <s v="NOT APPLICABLE"/>
    <s v="11 HWY"/>
    <s v="UT 495"/>
    <s v="0300000000000011-I"/>
    <s v="Single Vehicle Run Off Road"/>
    <s v="Motor Vehicle in Transport"/>
    <s v="Passenger Car"/>
    <s v="Eastbound"/>
    <s v="Swerved or Attempt to Avoid Object in Roadway"/>
    <n v="44"/>
    <m/>
    <s v="Asleep or Fatigued"/>
    <s v="ILLEGAL/UNSAF SP"/>
    <s v="No Clear Contributing Action"/>
    <m/>
    <m/>
    <s v="2-LANES 1-ECH-WY"/>
    <s v="NO PASSING ZONE"/>
    <n v="30"/>
    <s v="CURVE (pre 2016)"/>
    <s v="GRADE (pre 2016)"/>
    <m/>
    <m/>
    <m/>
    <m/>
    <m/>
    <m/>
    <m/>
    <m/>
    <m/>
    <m/>
    <m/>
    <m/>
    <m/>
    <m/>
    <m/>
    <m/>
    <m/>
    <m/>
    <m/>
    <m/>
    <m/>
    <m/>
    <m/>
    <m/>
    <m/>
    <m/>
    <m/>
    <m/>
    <m/>
    <m/>
    <m/>
    <m/>
    <m/>
    <m/>
    <m/>
    <m/>
    <m/>
    <m/>
    <m/>
    <m/>
    <m/>
    <m/>
    <m/>
    <m/>
    <m/>
    <m/>
    <m/>
    <m/>
    <n v="440113.27490000002"/>
    <n v="5373843.2923999997"/>
    <n v="48.514854530000001"/>
    <n v="-93.810932539999996"/>
    <d v="2015-04-03T07:27:00"/>
    <s v="Accepted"/>
    <s v="Reportable"/>
    <s v="Unknown"/>
    <s v="Unknown"/>
    <s v="Veh #1 EB on hwy 11. #1 says she swerved to miss deer.  There  was light snow on the ground. #1 never reported the crash. It  looked like veh #1 was traveling too fast for the conditions and  lost control leaving the rd to the right. After #1 left the road  it spun 180 and hit a tree. #1 hit the tree with enough force to  spin it 180 again. The drivers seat collapsed upon impact.  # 1  refused medical, #1 said the crash happened around 2 or 3 am. Veh #1 was towed by Roaches out of I falls. #1 was cited for due  care , expired proof and no MN D/L after 60 days of resd. #1 also ran over a corner marker sign. Yellow tag."/>
  </r>
  <r>
    <n v="783816"/>
    <s v="07-CR"/>
    <n v="82"/>
    <n v="2.9430000000000001"/>
    <s v="Koochiching"/>
    <m/>
    <m/>
    <s v="D2-BEMIDJI"/>
    <s v="Virginia"/>
    <m/>
    <n v="20310095"/>
    <n v="200160364"/>
    <d v="2023-01-01T00:00:00"/>
    <n v="16"/>
    <x v="8"/>
    <s v="05-Thu"/>
    <n v="10"/>
    <s v="Not Applicable"/>
    <x v="0"/>
    <n v="0"/>
    <n v="2"/>
    <s v="Angle"/>
    <s v="Motor Vehicle In Transport"/>
    <s v="Four-Way Intersection"/>
    <s v="Daylight"/>
    <s v="Clear"/>
    <m/>
    <s v="Snow"/>
    <s v="NOT APPLICABLE"/>
    <s v="COUNTY RD 82"/>
    <m/>
    <s v="0700006594810082-I"/>
    <s v="Angle"/>
    <s v="Motor Vehicle in Transport"/>
    <s v="Pickup"/>
    <s v="Eastbound"/>
    <s v="Turning Right"/>
    <n v="65"/>
    <s v="Male"/>
    <s v="Apparently Normal"/>
    <s v="Other Contributing Action"/>
    <m/>
    <m/>
    <m/>
    <s v="Two-Way, Not Divided"/>
    <s v="Stop Sign"/>
    <n v="55"/>
    <s v="Straight"/>
    <s v="Level"/>
    <s v="Motor Vehicle in Transport"/>
    <s v="Pickup"/>
    <s v="Eastbound"/>
    <s v="Moving Forward"/>
    <n v="50"/>
    <s v="Male"/>
    <s v="Apparently Normal"/>
    <s v="No Clear Contributing Action"/>
    <m/>
    <m/>
    <m/>
    <s v="Two-Way, Not Divided"/>
    <s v="No Controls"/>
    <n v="60"/>
    <s v="Straight"/>
    <s v="Level"/>
    <m/>
    <m/>
    <m/>
    <m/>
    <m/>
    <m/>
    <m/>
    <m/>
    <m/>
    <m/>
    <m/>
    <m/>
    <m/>
    <m/>
    <m/>
    <m/>
    <m/>
    <m/>
    <m/>
    <m/>
    <m/>
    <m/>
    <m/>
    <m/>
    <m/>
    <m/>
    <m/>
    <m/>
    <m/>
    <m/>
    <m/>
    <m/>
    <n v="439435.74440000003"/>
    <n v="5375218.7369999997"/>
    <n v="48.527162279999999"/>
    <n v="-93.820305750000003"/>
    <d v="2020-01-16T10:19:00"/>
    <s v="Accepted"/>
    <s v="Reportable"/>
    <s v="MN State Patrol District 3100 - Virginia"/>
    <s v="State Patrol"/>
    <s v="Veh#2 was traveling eastbound on State Highway 11 near the intersection with Koochiching County Rd 82 near Loman.  Veh#1 was traveling northbound on Koochiching County 82 to the intersection with State Highway 11.  Veh#1 failed to yield to Veh#2 colliding with the passenger rear door of Veh#2, causing damage to the passenger rear door and box area.  _x000a__x000a_Driver#1 of Veh#1 stated that he didn't see Veh#2 and started turning right onto State Highway 11.  Driver #2 of Veh#2 said that he was traveling eastbound on State Highway 11 near the intersection of Koochiching County 82 when he observed Veh#1 fail to stop at the intersection.  Driver#2 said that he vered into the westbound lane to try and avoid the collision.  Driver#2 said that Veh#1 collided with the passenger rear door.  _x000a__x000a_Driver#1 was reported to be wearing her seatbelt and alcohol was not a factor.  Driver #2 was reported to be wearing his seatbelt and alcohol was not a factor.  No party was injured in the collision.  _x000a__x000a_Driver #1 is being issued a citation for Failure to yield to oncoming traffic. _x000a__x000a_Minor damage was caused in the collision to both vehicle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
  <r>
    <n v="870189"/>
    <s v="02-USTH"/>
    <n v="71"/>
    <n v="352.20499999999998"/>
    <s v="Koochiching"/>
    <m/>
    <m/>
    <s v="D2-BEMIDJI"/>
    <s v="Virginia"/>
    <m/>
    <n v="20311313"/>
    <n v="203560185"/>
    <d v="2023-12-12T00:00:00"/>
    <n v="21"/>
    <x v="0"/>
    <s v="02-Mon"/>
    <n v="8"/>
    <m/>
    <x v="0"/>
    <n v="0"/>
    <n v="2"/>
    <m/>
    <s v="Other - Non Fixed Object"/>
    <s v="Four-Way Intersection"/>
    <s v="Daylight"/>
    <s v="Cloudy"/>
    <s v="Snow"/>
    <s v="Snow"/>
    <s v="NOT APPLICABLE"/>
    <s v="HWY 71"/>
    <m/>
    <s v="0200000000000071-I"/>
    <s v="Other"/>
    <s v="Motor Vehicle in Transport"/>
    <s v="Pickup"/>
    <s v="Westbound"/>
    <s v="Turning Right"/>
    <n v="77"/>
    <s v="Male"/>
    <s v="Apparently Normal"/>
    <s v="Other Contributing Action"/>
    <m/>
    <m/>
    <m/>
    <s v="Two-Way, Not Divided"/>
    <s v="No Controls"/>
    <n v="55"/>
    <s v="Straight"/>
    <s v="Level"/>
    <s v="Motor Vehicle in Transport"/>
    <s v="Other"/>
    <s v="Southbound"/>
    <s v="Vehicle Stopped or Stalled in Roadway"/>
    <n v="54"/>
    <s v="Male"/>
    <s v="Apparently Normal"/>
    <s v="No Clear Contributing Action"/>
    <m/>
    <m/>
    <m/>
    <s v="Two-Way, Not Divided"/>
    <s v="Stop Sign"/>
    <n v="55"/>
    <s v="Straight"/>
    <s v="Level"/>
    <m/>
    <m/>
    <m/>
    <m/>
    <m/>
    <m/>
    <m/>
    <m/>
    <m/>
    <m/>
    <m/>
    <m/>
    <m/>
    <m/>
    <m/>
    <m/>
    <m/>
    <m/>
    <m/>
    <m/>
    <m/>
    <m/>
    <m/>
    <m/>
    <m/>
    <m/>
    <m/>
    <m/>
    <m/>
    <m/>
    <m/>
    <m/>
    <n v="399648.6862"/>
    <n v="5301143.7231999999"/>
    <n v="47.85580255"/>
    <n v="-94.341559119999999"/>
    <d v="2020-12-21T08:43:00"/>
    <s v="Accepted"/>
    <s v="Reportable"/>
    <s v="MN State Patrol District 3100 - Virginia"/>
    <s v="State Patrol"/>
    <s v="Veh #1 was west bound on Hwy 1 turning north onto Hwy 72. Veh #2 was parked stopped at the stop sign. Driver #1 was going to fast for conditions and could not make the turn without sliding into Veh #2. Veh #1 hit #2 in the front left side with his left front bumper. Driver #1 claimed to be driving very slow under 10 MPH. The roads were icy and snow covered DOT tucks had been out all night and there was material on the road for both Hwys. No injuries no tows. no citations."/>
  </r>
  <r>
    <n v="778555"/>
    <s v="02-USTH"/>
    <n v="71"/>
    <n v="353.20499999999998"/>
    <s v="Koochiching"/>
    <m/>
    <m/>
    <s v="D2-BEMIDJI"/>
    <s v="Virginia"/>
    <m/>
    <n v="20310037"/>
    <n v="200090218"/>
    <d v="2023-01-01T00:00:00"/>
    <n v="9"/>
    <x v="0"/>
    <s v="05-Thu"/>
    <n v="9"/>
    <m/>
    <x v="0"/>
    <n v="0"/>
    <n v="1"/>
    <m/>
    <s v="Fire/Explosion"/>
    <s v="Not at Intersection or Interch"/>
    <s v="Daylight"/>
    <s v="Snow"/>
    <m/>
    <s v="Snow"/>
    <s v="NOT APPLICABLE"/>
    <s v="HWY 71"/>
    <m/>
    <s v="0200000000000071-I"/>
    <s v="Single Vehicle Other"/>
    <s v="Motor Vehicle in Transport"/>
    <s v="Passenger Car"/>
    <s v="Southbound"/>
    <s v="Moving Forward"/>
    <n v="23"/>
    <s v="Male"/>
    <s v="Apparently Normal"/>
    <s v="No Clear Contributing Action"/>
    <m/>
    <m/>
    <m/>
    <s v="Two-Way, Not Divided"/>
    <s v="No Controls"/>
    <n v="60"/>
    <s v="Straight"/>
    <s v="Level"/>
    <m/>
    <m/>
    <m/>
    <m/>
    <m/>
    <m/>
    <m/>
    <m/>
    <m/>
    <m/>
    <m/>
    <m/>
    <m/>
    <m/>
    <m/>
    <m/>
    <m/>
    <m/>
    <m/>
    <m/>
    <m/>
    <m/>
    <m/>
    <m/>
    <m/>
    <m/>
    <m/>
    <m/>
    <m/>
    <m/>
    <m/>
    <m/>
    <m/>
    <m/>
    <m/>
    <m/>
    <m/>
    <m/>
    <m/>
    <m/>
    <m/>
    <m/>
    <m/>
    <m/>
    <m/>
    <m/>
    <m/>
    <m/>
    <n v="401054.1237"/>
    <n v="5301922.1171000004"/>
    <n v="47.863022180000002"/>
    <n v="-94.322953830000003"/>
    <d v="2020-01-09T09:42:00"/>
    <s v="Accepted"/>
    <s v="Reportable"/>
    <s v="MN State Patrol District 3100 - Virginia"/>
    <s v="State Patrol"/>
    <s v="Veh SB on hwy 71, weather snowing. Driver #1 said heard a noise then veh#1 stated smoking under hood. Driver thought it was a blown belt that started the fire. No injuries fire department put out fire. no visible damage, all under the hood. Bogarts of black duck towed. No citations."/>
  </r>
  <r>
    <n v="11082171"/>
    <s v="02-USTH"/>
    <n v="71"/>
    <n v="353.27499999999998"/>
    <s v="Koochiching"/>
    <m/>
    <m/>
    <s v="D2-BEMIDJI"/>
    <s v="Virginia"/>
    <m/>
    <n v="15312342"/>
    <n v="153340518"/>
    <d v="2023-11-11T00:00:00"/>
    <n v="19"/>
    <x v="1"/>
    <s v="05-Thu"/>
    <n v="12"/>
    <m/>
    <x v="1"/>
    <n v="0"/>
    <n v="1"/>
    <s v="RAN OFF RD-LEFT"/>
    <s v="Overturn/Rollover"/>
    <s v="Not at Intersection or Interch"/>
    <s v="Daylight"/>
    <s v="Snow"/>
    <m/>
    <s v="Snow"/>
    <s v="NOT APPLICABLE"/>
    <s v="71 HWY"/>
    <s v="HWY 1"/>
    <s v="0200000000000071-I"/>
    <s v="Single Vehicle Run Off Road"/>
    <s v="Motor Vehicle in Transport"/>
    <s v="Sport Utility Vehicle"/>
    <s v="Northbound"/>
    <s v="Moving Forward"/>
    <n v="26"/>
    <s v="Female"/>
    <s v="Apparently Normal"/>
    <s v="ILLEGAL/UNSAF SP"/>
    <s v="Over Correcting / Over Steering"/>
    <m/>
    <m/>
    <s v="2-LANES 1-ECH-WY"/>
    <s v="Not Applicable"/>
    <n v="60"/>
    <s v="Straight"/>
    <s v="Level"/>
    <m/>
    <m/>
    <m/>
    <m/>
    <m/>
    <m/>
    <m/>
    <m/>
    <m/>
    <m/>
    <m/>
    <m/>
    <m/>
    <m/>
    <m/>
    <m/>
    <m/>
    <m/>
    <m/>
    <m/>
    <m/>
    <m/>
    <m/>
    <m/>
    <m/>
    <m/>
    <m/>
    <m/>
    <m/>
    <m/>
    <m/>
    <m/>
    <m/>
    <m/>
    <m/>
    <m/>
    <m/>
    <m/>
    <m/>
    <m/>
    <m/>
    <m/>
    <m/>
    <m/>
    <m/>
    <m/>
    <m/>
    <m/>
    <n v="401138.06530000002"/>
    <n v="5301976.8081"/>
    <n v="47.863527060000003"/>
    <n v="-94.321844319999997"/>
    <d v="2015-11-19T12:34:00"/>
    <s v="Accepted"/>
    <s v="Reportable"/>
    <s v="Unknown"/>
    <s v="Unknown"/>
    <s v="Veh#1 NB on hwy 71, it was snowing and windy. Driver # 1 said she ran off the road to the right at 60 mph, then over corrected and ran off rd to the left, and rolled the veh. #1 had a bump on the head and so did her child. # 1 left before i arrived and went to the hospital in private veh. the tow was Bogarts of black duck.  both occupants belted, driver cited for fail to use due care."/>
  </r>
  <r>
    <n v="1014955"/>
    <s v="02-USTH"/>
    <n v="71"/>
    <n v="353.33800000000002"/>
    <s v="Koochiching"/>
    <m/>
    <m/>
    <s v="D2-BEMIDJI"/>
    <s v="Virginia"/>
    <m/>
    <n v="22310485"/>
    <n v="220890101"/>
    <d v="2023-03-03T00:00:00"/>
    <n v="30"/>
    <x v="2"/>
    <s v="04-Wed"/>
    <n v="5"/>
    <s v="Not Applicable"/>
    <x v="0"/>
    <n v="0"/>
    <n v="2"/>
    <s v="Sideswipe - Opposing"/>
    <s v="Motor Vehicle In Transport"/>
    <s v="Not at Intersection or Interch"/>
    <s v="Dark (No Str Lights)"/>
    <s v="Snow"/>
    <s v="Blowing Sand/Soil/Dirt/Snow"/>
    <s v="Snow"/>
    <s v="NOT APPLICABLE"/>
    <s v="HWY 71"/>
    <m/>
    <s v="0200000000000071-I"/>
    <s v="Sideswipe Opposing"/>
    <s v="Hit-And-Run Vehicle"/>
    <m/>
    <s v="Eastbound"/>
    <s v="Moving Forward"/>
    <m/>
    <m/>
    <m/>
    <m/>
    <m/>
    <m/>
    <m/>
    <s v="Two-Way, Not Divided"/>
    <s v="No Controls"/>
    <n v="60"/>
    <s v="Straight"/>
    <s v="Level"/>
    <s v="Motor Vehicle in Transport"/>
    <s v="Medium / Heavy Trucks (More than 10,000lbs)"/>
    <s v="Eastbound"/>
    <s v="Other"/>
    <n v="58"/>
    <s v="Male"/>
    <s v="Apparently Normal"/>
    <s v="No Clear Contributing Action"/>
    <m/>
    <m/>
    <m/>
    <s v="Two-Way, Not Divided"/>
    <s v="No Controls"/>
    <n v="60"/>
    <s v="Straight"/>
    <s v="Level"/>
    <m/>
    <m/>
    <m/>
    <m/>
    <m/>
    <m/>
    <m/>
    <m/>
    <m/>
    <m/>
    <m/>
    <m/>
    <m/>
    <m/>
    <m/>
    <m/>
    <m/>
    <m/>
    <m/>
    <m/>
    <m/>
    <m/>
    <m/>
    <m/>
    <m/>
    <m/>
    <m/>
    <m/>
    <m/>
    <m/>
    <m/>
    <m/>
    <n v="401221.76620000001"/>
    <n v="5302032.2414999995"/>
    <n v="47.864038559999997"/>
    <n v="-94.320738169999998"/>
    <d v="2022-03-30T05:15:00"/>
    <s v="Accepted"/>
    <s v="Reportable"/>
    <s v="MN State Patrol District 3100 - Virginia"/>
    <s v="State Patrol"/>
    <s v="On 03/30/2022, I was notified of a two vehicle hit and run crash that occurred on MNTH 71 west of MNTH 46 in Northome at approximately 0515 hrs. Driver One was driving a semi. Driver Two was driving a MNDOT plow truck. Driver One was traveling eastbound on MNTH 71 west of MNTH 46. Driver Two was plowing the roadway with front and side plow down going westbound. Driver Two said Driver One was driving partially in their lane. Driver Two stated roads were completely snow covered. Driver One passed Driver Two. While driving past Driver Two, Driver One's driver side semi trailer hit the rear driver side of Driver Two's dump box. Driver One continued eastbound. _x000a__x000a_Minor damage was done to Driver Two's vehicle. Driver Two reported no injuries. Driver Two was wearing their seat belt. Driver Two was not able to identify Driver One due to weather conditions. _x000a__x000a_Driver Two was provided a case number."/>
  </r>
  <r>
    <n v="816919"/>
    <s v="02-USTH"/>
    <n v="71"/>
    <n v="353.75599999999997"/>
    <s v="Koochiching"/>
    <m/>
    <m/>
    <s v="D2-BEMIDJI"/>
    <s v="Virginia"/>
    <m/>
    <n v="20310637"/>
    <n v="201790150"/>
    <d v="2023-06-06T00:00:00"/>
    <n v="27"/>
    <x v="0"/>
    <s v="07-Sat"/>
    <n v="0"/>
    <m/>
    <x v="1"/>
    <n v="0"/>
    <n v="1"/>
    <m/>
    <s v="Ditch"/>
    <s v="Not at Intersection or Interch"/>
    <s v="Dark (No Str Lights)"/>
    <s v="Clear"/>
    <m/>
    <s v="Dry"/>
    <s v="NOT APPLICABLE"/>
    <s v="HWY 71"/>
    <m/>
    <s v="0200000000000071-I"/>
    <s v="Single Vehicle Run Off Road"/>
    <s v="Motor Vehicle in Transport"/>
    <s v="Passenger Car"/>
    <s v="Northbound"/>
    <s v="Moving Forward"/>
    <n v="25"/>
    <s v="Female"/>
    <s v="Has Been Drinking Alcohol"/>
    <s v="Over Correcting / Over Steering"/>
    <s v="Unknown"/>
    <m/>
    <m/>
    <s v="Two-Way, Not Divided"/>
    <s v="No Controls"/>
    <n v="60"/>
    <s v="Curve Left"/>
    <s v="Level"/>
    <m/>
    <m/>
    <m/>
    <m/>
    <m/>
    <m/>
    <m/>
    <m/>
    <m/>
    <m/>
    <m/>
    <m/>
    <m/>
    <m/>
    <m/>
    <m/>
    <m/>
    <m/>
    <m/>
    <m/>
    <m/>
    <m/>
    <m/>
    <m/>
    <m/>
    <m/>
    <m/>
    <m/>
    <m/>
    <m/>
    <m/>
    <m/>
    <m/>
    <m/>
    <m/>
    <m/>
    <m/>
    <m/>
    <m/>
    <m/>
    <m/>
    <m/>
    <m/>
    <m/>
    <m/>
    <m/>
    <m/>
    <m/>
    <n v="401784.12449999998"/>
    <n v="5302425.1310999999"/>
    <n v="47.867658849999998"/>
    <n v="-94.313310400000006"/>
    <d v="2020-06-27T00:24:00"/>
    <s v="Accepted"/>
    <s v="Reportable"/>
    <s v="MN State Patrol District 3100 - Virginia"/>
    <s v="State Patrol"/>
    <s v="Veh#1 was traveling northbound on State Highway 71.  Driver#1 said that she swerved to avoid a deer and collided with the ditch. Driver#1 said that the vehicle overturned in the ditch coming to a rest on it's wheels.  Driver#1 said she left the scene without contacting law enforcement because there was no insurance on the car.  Driver#1 stated that she contacted the vehicle owner whom came and got the vehicle. Driver#1 said that he was traveling back to their residence when the vehicle caught fire.  Driver#1 said that she was being transported to Bemidji Sanford ER for injuries sustained to her back in the collision. _x000a__x000a_Veh#1 was located afire near Northome on an ATV trail.  _x000a__x000a_Unknown if driver was wearing her seatbelt and alcohol was a factor. Driver#1 is being cited for no motor vehicle insurance and leaving the scene of an injury accident."/>
  </r>
  <r>
    <n v="10900374"/>
    <s v="02-USTH"/>
    <n v="71"/>
    <n v="355.14800000000002"/>
    <s v="Koochiching"/>
    <s v="Northome"/>
    <m/>
    <s v="D2-BEMIDJI"/>
    <s v="Virginia"/>
    <m/>
    <n v="13311370"/>
    <n v="132680252"/>
    <d v="2023-09-09T00:00:00"/>
    <n v="20"/>
    <x v="3"/>
    <s v="06-Fri"/>
    <n v="13"/>
    <m/>
    <x v="0"/>
    <n v="0"/>
    <n v="2"/>
    <s v="REAR-END"/>
    <s v="Motor Vehicle In Transport"/>
    <s v="Four-Way Intersection"/>
    <s v="Daylight"/>
    <s v="Cloudy"/>
    <m/>
    <s v="Dry"/>
    <s v="NOT APPLICABLE"/>
    <s v="1 HWY"/>
    <s v="71 HWY"/>
    <s v="0200000000000071-I"/>
    <s v="Rear End"/>
    <s v="Motor Vehicle in Transport"/>
    <s v="Passenger Car"/>
    <s v="Southbound"/>
    <s v="Moving Forward"/>
    <n v="18"/>
    <s v="Female"/>
    <s v="Apparently Normal"/>
    <s v="Failure to Obey Traffic Signs, Signals, Officer"/>
    <m/>
    <m/>
    <m/>
    <s v="2-LANES 1-ECH-WY"/>
    <s v="Not Applicable"/>
    <n v="60"/>
    <s v="Straight"/>
    <s v="Level"/>
    <s v="Motor Vehicle in Transport"/>
    <s v="Sport Utility Vehicle"/>
    <s v="Southbound"/>
    <s v="Moving Forward"/>
    <n v="74"/>
    <s v="Male"/>
    <s v="Apparently Normal"/>
    <s v="No Clear Contributing Action"/>
    <m/>
    <m/>
    <m/>
    <s v="2-LANES 1-ECH-WY"/>
    <s v="Not Applicable"/>
    <n v="60"/>
    <s v="Straight"/>
    <s v="Level"/>
    <m/>
    <m/>
    <m/>
    <m/>
    <m/>
    <m/>
    <m/>
    <m/>
    <m/>
    <m/>
    <m/>
    <m/>
    <m/>
    <m/>
    <m/>
    <m/>
    <m/>
    <m/>
    <m/>
    <m/>
    <m/>
    <m/>
    <m/>
    <m/>
    <m/>
    <m/>
    <m/>
    <m/>
    <m/>
    <m/>
    <m/>
    <m/>
    <n v="403864.37670000002"/>
    <n v="5303171.9102999996"/>
    <n v="47.874690989999998"/>
    <n v="-94.285667610000004"/>
    <d v="2013-09-20T13:24:00"/>
    <s v="Accepted"/>
    <s v="Reportable"/>
    <s v="Unknown"/>
    <s v="Unknown"/>
    <s v="VEH #1 WAS SB ON HWY 71 FOLLOWING VEH #2 WHICH WAS ALSO SB.   VEH #2 SLOWED TO MAKE LEFT TURN ONTO HWY 1 AT NORTHOME.  VEH #1 COULD NOT GET SLOWED AND REAR ENDED VEH #2.  DRIVER OF VEH #1 STATED SHE SAW HIM BREAKING TO LATE AND COULDN`T GET STOPPED. CRIME VICTIM INFORMATION WAS GIVEN TO DRIVER OF VEH #2.  DRIVER OF VEH #1 WAS CITED FOR FOLLOWING TO CLOSE."/>
  </r>
  <r>
    <n v="10911140"/>
    <s v="02-USTH"/>
    <n v="71"/>
    <n v="355.245"/>
    <s v="Koochiching"/>
    <s v="Northome"/>
    <m/>
    <s v="D2-BEMIDJI"/>
    <s v="Virginia"/>
    <m/>
    <n v="13807975"/>
    <n v="133280112"/>
    <d v="2023-11-11T00:00:00"/>
    <n v="8"/>
    <x v="3"/>
    <s v="06-Fri"/>
    <n v="18"/>
    <m/>
    <x v="0"/>
    <n v="0"/>
    <n v="2"/>
    <s v="Sideswipe - Opposing"/>
    <s v="Parked Motor Vehicle"/>
    <s v="Y Intersection"/>
    <s v="Dark (Str Lights On)"/>
    <s v="Sleet, Hail (Freezing Rain/Drizzle)"/>
    <s v="Snow"/>
    <s v="Ice/Frost"/>
    <s v="NOT APPLICABLE"/>
    <s v="HWY 71"/>
    <s v="Hwy 46"/>
    <s v="0200000000000071-I"/>
    <s v="Sideswipe Opposing"/>
    <s v="Motor Vehicle in Transport"/>
    <s v="Sport Utility Vehicle"/>
    <s v="Northbound"/>
    <s v="VEH STARTING FROM PARKED"/>
    <n v="34"/>
    <s v="Male"/>
    <s v="Apparently Normal"/>
    <s v="No Clear Contributing Action"/>
    <s v="No Clear Contributing Action"/>
    <m/>
    <m/>
    <s v="2-LANES 1-ECH-WY"/>
    <s v="THRU/STOP"/>
    <n v="30"/>
    <s v="CURVE (pre 2016)"/>
    <s v="Level"/>
    <s v="Motor Vehicle in Transport"/>
    <s v="Sport Utility Vehicle"/>
    <s v="Eastbound"/>
    <s v="Moving Forward"/>
    <n v="32"/>
    <s v="Male"/>
    <s v="Apparently Normal"/>
    <m/>
    <m/>
    <m/>
    <m/>
    <s v="2-LANES 1-ECH-WY"/>
    <s v="THRU/STOP"/>
    <n v="30"/>
    <s v="CURVE (pre 2016)"/>
    <s v="Level"/>
    <m/>
    <m/>
    <m/>
    <m/>
    <m/>
    <m/>
    <m/>
    <m/>
    <m/>
    <m/>
    <m/>
    <m/>
    <m/>
    <m/>
    <m/>
    <m/>
    <m/>
    <m/>
    <m/>
    <m/>
    <m/>
    <m/>
    <m/>
    <m/>
    <m/>
    <m/>
    <m/>
    <m/>
    <m/>
    <m/>
    <m/>
    <m/>
    <n v="403968.65029999998"/>
    <n v="5303287.6242000004"/>
    <n v="47.875747449999999"/>
    <n v="-94.284299200000007"/>
    <d v="2013-11-08T18:00:00"/>
    <s v="Accepted"/>
    <s v="Reportable"/>
    <s v="Unknown"/>
    <s v="Unknown"/>
    <s v="Veh 1 stopped at stop sign at intersection of Hwy 46 and 71.  Veh 2 heading east on Hwy 71 attempting to make a right hand turn onto Hwy 46.  Veh 2 slid on icy road and struck veh 1 in the left center."/>
  </r>
  <r>
    <n v="11047740"/>
    <s v="02-USTH"/>
    <n v="71"/>
    <n v="355.75200000000001"/>
    <s v="Koochiching"/>
    <m/>
    <m/>
    <s v="D2-BEMIDJI"/>
    <s v="Virginia"/>
    <m/>
    <n v="15310372"/>
    <n v="150610235"/>
    <d v="2023-02-02T00:00:00"/>
    <n v="20"/>
    <x v="1"/>
    <s v="06-Fri"/>
    <n v="19"/>
    <m/>
    <x v="1"/>
    <n v="0"/>
    <n v="1"/>
    <s v="RAN OFF RD-LEFT"/>
    <s v="Overturn/Rollover"/>
    <s v="Not at Intersection or Interch"/>
    <s v="Dark (No Str Lights)"/>
    <s v="Snow"/>
    <s v="Blowing Sand/Soil/Dirt/Snow"/>
    <s v="Snow"/>
    <s v="NOT APPLICABLE"/>
    <s v="HIGHWAY 71"/>
    <s v="MILEPOST 354"/>
    <s v="0200000000000071-I"/>
    <s v="Single Vehicle Run Off Road"/>
    <s v="Motor Vehicle in Transport"/>
    <s v="Passenger Car"/>
    <s v="Southbound"/>
    <s v="Swerved or Attempt to Avoid Object in Roadway"/>
    <n v="17"/>
    <s v="Male"/>
    <s v="Apparently Normal"/>
    <m/>
    <m/>
    <m/>
    <m/>
    <s v="2-LANES 1-ECH-WY"/>
    <s v="Not Applicable"/>
    <n v="60"/>
    <s v="CURVE (pre 2016)"/>
    <s v="Level"/>
    <m/>
    <m/>
    <m/>
    <m/>
    <m/>
    <m/>
    <m/>
    <m/>
    <m/>
    <m/>
    <m/>
    <m/>
    <m/>
    <m/>
    <m/>
    <m/>
    <m/>
    <m/>
    <m/>
    <m/>
    <m/>
    <m/>
    <m/>
    <m/>
    <m/>
    <m/>
    <m/>
    <m/>
    <m/>
    <m/>
    <m/>
    <m/>
    <m/>
    <m/>
    <m/>
    <m/>
    <m/>
    <m/>
    <m/>
    <m/>
    <m/>
    <m/>
    <m/>
    <m/>
    <m/>
    <m/>
    <m/>
    <m/>
    <n v="404279.67359999998"/>
    <n v="5304036.4382999996"/>
    <n v="47.882529570000003"/>
    <n v="-94.280306719999999"/>
    <d v="2015-02-20T19:49:00"/>
    <s v="Accepted"/>
    <s v="Reportable"/>
    <s v="Unknown"/>
    <s v="Unknown"/>
    <s v="VEHICLE # 1 WAS SOUTH BOUND ON HIGHWAY 71 NORTH OF MILEPOST 354 WHEN A NORTH BOUND SEMI TRUCK CAME OVER INTO VEHICLE #1`S LANE CAUSING THE DRIVER OF VEHICLE #1 TO SWERVE TO AVOID BEING HIT HEAD ON CAUSING VEHICLE #1  TO SPIN OUT AND GO INTO THE NORTH BOUND DITCH AND ROLL OVER .IT WAS A HEAVY SNOWSTORM AT THE TIME OF THE INCIDENT .NO CHARGES . DRIVER OF SEMI DID NOT STOP."/>
  </r>
  <r>
    <n v="11057466"/>
    <s v="02-USTH"/>
    <n v="71"/>
    <n v="357.01400000000001"/>
    <s v="Koochiching"/>
    <m/>
    <m/>
    <s v="D2-BEMIDJI"/>
    <s v="Virginia"/>
    <m/>
    <n v="15310957"/>
    <n v="151460301"/>
    <d v="2023-05-05T00:00:00"/>
    <n v="10"/>
    <x v="1"/>
    <s v="01-Sun"/>
    <n v="21"/>
    <m/>
    <x v="2"/>
    <n v="0"/>
    <n v="1"/>
    <s v="Sideswipe - Opposing"/>
    <s v="Pedalcyclist (Bicyclist)"/>
    <s v="Not at Intersection or Interch"/>
    <s v="Dark (No Str Lights)"/>
    <s v="Rain"/>
    <m/>
    <s v="Wet"/>
    <s v="NOT APPLICABLE"/>
    <s v="71 HWY"/>
    <n v="16"/>
    <s v="0200000000000071-I"/>
    <s v="Bike"/>
    <s v="Motor Vehicle in Transport"/>
    <s v="VAN OR MINIVAN"/>
    <s v="Northbound"/>
    <s v="Overtaking/Passing"/>
    <n v="25"/>
    <s v="Male"/>
    <s v="Apparently Normal"/>
    <s v="OTH HMN CNTR FCT"/>
    <m/>
    <m/>
    <m/>
    <s v="2-LANES 1-ECH-WY"/>
    <s v="Not Applicable"/>
    <n v="60"/>
    <s v="Straight"/>
    <s v="Level"/>
    <s v="Bicycle"/>
    <s v="BICYCLIST"/>
    <s v="Southbound"/>
    <s v="Other"/>
    <n v="39"/>
    <s v="Male"/>
    <s v="Other"/>
    <s v="NON-MOTRST ERROR"/>
    <s v="No Clear Contributing Action"/>
    <s v="Other"/>
    <m/>
    <s v="2-LANES 1-ECH-WY"/>
    <s v="Not Applicable"/>
    <n v="60"/>
    <s v="Straight"/>
    <s v="Level"/>
    <m/>
    <m/>
    <m/>
    <m/>
    <m/>
    <m/>
    <m/>
    <m/>
    <m/>
    <m/>
    <m/>
    <m/>
    <m/>
    <m/>
    <m/>
    <m/>
    <m/>
    <m/>
    <m/>
    <m/>
    <m/>
    <m/>
    <m/>
    <m/>
    <m/>
    <m/>
    <m/>
    <m/>
    <m/>
    <m/>
    <m/>
    <m/>
    <n v="405784.86290000001"/>
    <n v="5305388.2220999999"/>
    <n v="47.894911810000004"/>
    <n v="-94.260474329999994"/>
    <d v="2015-05-10T21:35:00"/>
    <s v="Accepted"/>
    <s v="Reportable"/>
    <s v="Unknown"/>
    <s v="Unknown"/>
    <s v="DRIVER #1 NB on Hwy 71. It was dark and raining.  #1 was passing    another veh when he struck #2 in the SB lane. #1 said he did  not  see #2. #1 said he didn`t know what he hit, he thought it  was a deer.  When #1 turned around to check on what he hit he saw #2  was a bicyclist, and called EMS. #2 was wearing dark clothes and  had no visible lighting on the bicycle. I was able to  locate what looks like part of a head-lamp at the scene. # 2  suffered several broken   bones, leg hip shoulder and arm. #2 was unable to be  interviewed at this time. BOGARTS  of Blackduck  towed both vehs.   Charges my be pending for #2 , lane usage,  169.222 sub4 (a)."/>
  </r>
  <r>
    <n v="11061630"/>
    <s v="02-USTH"/>
    <n v="71"/>
    <n v="357.14499999999998"/>
    <s v="Koochiching"/>
    <m/>
    <m/>
    <s v="D2-BEMIDJI"/>
    <s v="Virginia"/>
    <m/>
    <n v="15311480"/>
    <n v="152080241"/>
    <d v="2023-07-07T00:00:00"/>
    <n v="22"/>
    <x v="1"/>
    <s v="04-Wed"/>
    <n v="19"/>
    <s v="North"/>
    <x v="3"/>
    <n v="0"/>
    <n v="1"/>
    <s v="RAN OFF RD-LEFT"/>
    <s v="Overturn/Rollover"/>
    <s v="T Intersection"/>
    <s v="Daylight"/>
    <s v="Clear"/>
    <m/>
    <s v="Dry"/>
    <s v="NOT APPLICABLE"/>
    <s v="71 HWY"/>
    <n v="14"/>
    <s v="0200000000000071-I"/>
    <s v="Single Vehicle Run Off Road"/>
    <s v="Motor Vehicle in Transport"/>
    <s v="Passenger Car"/>
    <s v="Northbound"/>
    <s v="Moving Forward"/>
    <n v="70"/>
    <s v="Male"/>
    <s v="Apparently Normal"/>
    <s v="Inattentive/Distraction (Talking, Eating)"/>
    <m/>
    <m/>
    <m/>
    <s v="2-LANES 1-ECH-WY"/>
    <s v="Not Applicable"/>
    <n v="60"/>
    <s v="Straight"/>
    <s v="Level"/>
    <m/>
    <m/>
    <m/>
    <m/>
    <m/>
    <m/>
    <m/>
    <m/>
    <m/>
    <m/>
    <m/>
    <m/>
    <m/>
    <m/>
    <m/>
    <m/>
    <m/>
    <m/>
    <m/>
    <m/>
    <m/>
    <m/>
    <m/>
    <m/>
    <m/>
    <m/>
    <m/>
    <m/>
    <m/>
    <m/>
    <m/>
    <m/>
    <m/>
    <m/>
    <m/>
    <m/>
    <m/>
    <m/>
    <m/>
    <m/>
    <m/>
    <m/>
    <m/>
    <m/>
    <m/>
    <m/>
    <m/>
    <m/>
    <n v="405945.71980000002"/>
    <n v="5305524.5012999997"/>
    <n v="47.89616127"/>
    <n v="-94.258352540000004"/>
    <d v="2015-07-22T19:37:00"/>
    <s v="Accepted"/>
    <s v="Reportable"/>
    <s v="Unknown"/>
    <s v="Unknown"/>
    <s v="VEH 1 TRAVELING NB HWY 71 WHEN DRIVER OF VEH WENT ACROSS SOUTHBOUND LANE AND SHOULDER INTO DITCH, OVER-CORRECTED, AND LOST CONTROL OF THE VEHICLE. THE VEHICLE ROLLED AND TOOK OUT FIRE #11593 AND THEIR MAILBOX. VEH 1 SUSTAINED MAJOR DAMAGE AND WAS DEEMED TO BE TOTALED. DRIVER OF VEH 1 WAS TRANSPORTED WITH LACERATIONS ON HER ARMS BUT NO LIFE THREATENING INJURIES. VEH 1 TOWED BY BOGARTS OUT OF BLACKDUCK MN. AFTER SPEAKING WITH WITNESS AND DRIVER, IT WAS DETERMINED (AND ADMITTED TO ME BY THE DRIVER) THAT SHE FELL ASLEEP AND WOKE UP WHEN SHE WAS ACROSS THE SOUTH BOUND LANE OF TRAFFIC. EVIDENCE AT THE SCENE WAS CONDUCIVE TO THE STORY GIVEN. DRIVER OF VEH 1 WAS CITED FOR DUTY TO DRIVE WITH DUE CARE."/>
  </r>
  <r>
    <n v="492986"/>
    <s v="02-USTH"/>
    <n v="71"/>
    <n v="357.577"/>
    <s v="Koochiching"/>
    <m/>
    <m/>
    <s v="D2-BEMIDJI"/>
    <s v="Virginia"/>
    <m/>
    <n v="17311047"/>
    <n v="172210223"/>
    <d v="2023-08-08T00:00:00"/>
    <n v="9"/>
    <x v="4"/>
    <s v="04-Wed"/>
    <n v="12"/>
    <m/>
    <x v="0"/>
    <n v="0"/>
    <n v="2"/>
    <s v="Front to Rear"/>
    <s v="Motor Vehicle In Transport"/>
    <s v="Not at Intersection or Interch"/>
    <s v="Daylight"/>
    <s v="Cloudy"/>
    <m/>
    <s v="Dry"/>
    <s v="NOT APPLICABLE"/>
    <s v="HWY 71"/>
    <m/>
    <s v="0200000000000071-I"/>
    <s v="Rear End"/>
    <s v="Motor Vehicle in Transport"/>
    <s v="Sport Utility Vehicle"/>
    <s v="Southbound"/>
    <s v="Moving Forward"/>
    <n v="15"/>
    <s v="Male"/>
    <s v="Apparently Normal"/>
    <s v="No Clear Contributing Action"/>
    <m/>
    <m/>
    <m/>
    <s v="Two-Way, Not Divided"/>
    <s v="No Controls"/>
    <n v="60"/>
    <s v="Straight"/>
    <s v="Downhill"/>
    <s v="Motor Vehicle in Transport"/>
    <s v="Passenger Car"/>
    <s v="Southbound"/>
    <s v="Moving Forward"/>
    <n v="22"/>
    <s v="Female"/>
    <s v="Apparently Normal"/>
    <s v="Operated Motor Vehicle: Careless/Negligent/Erratic"/>
    <m/>
    <m/>
    <m/>
    <s v="Two-Way, Not Divided"/>
    <s v="No Controls"/>
    <n v="60"/>
    <s v="Straight"/>
    <s v="Downhill"/>
    <m/>
    <m/>
    <m/>
    <m/>
    <m/>
    <m/>
    <m/>
    <m/>
    <m/>
    <m/>
    <m/>
    <m/>
    <m/>
    <m/>
    <m/>
    <m/>
    <m/>
    <m/>
    <m/>
    <m/>
    <m/>
    <m/>
    <m/>
    <m/>
    <m/>
    <m/>
    <m/>
    <m/>
    <m/>
    <m/>
    <m/>
    <m/>
    <n v="406487.70179999998"/>
    <n v="5305979.9875999996"/>
    <n v="47.90033768"/>
    <n v="-94.251201929999993"/>
    <d v="2017-08-09T12:11:00"/>
    <s v="Accepted"/>
    <s v="Reportable"/>
    <s v="MN State Patrol District 3100 - Virginia"/>
    <s v="State Patrol"/>
    <s v="Both vehicle were traveling south bound on highway 71. Vehicle 1 was traveling at approximately 25 MPH following his father who was in an older farm truck (dump truck style) which only travels at approximately 25 MPH. Vehicle 2 rear ended vehicle 1 in the south bound traffic lane of highway 71. The driver of vehicle 2 said she never saw brake lights. Vehicle 1 was not braking. She said vehicles don't usually travel that slow. The driver of vehicle 2 miss judged the speed of vehicle 1. Driver of vehicle 2 said she was going 60 MPH. Driver of vehicle 2 was cited for failing to drive with due care."/>
  </r>
  <r>
    <n v="869741"/>
    <s v="02-USTH"/>
    <n v="71"/>
    <n v="358.536"/>
    <s v="Koochiching"/>
    <m/>
    <m/>
    <s v="D2-BEMIDJI"/>
    <s v="Virginia"/>
    <m/>
    <n v="20311328"/>
    <n v="203580163"/>
    <d v="2023-12-12T00:00:00"/>
    <n v="23"/>
    <x v="0"/>
    <s v="04-Wed"/>
    <n v="10"/>
    <s v="North"/>
    <x v="0"/>
    <n v="0"/>
    <n v="1"/>
    <m/>
    <s v="Embankment"/>
    <s v="Not at Intersection or Interch"/>
    <s v="Daylight"/>
    <s v="Blowing Sand/Soil/Dirt/Snow"/>
    <s v="Severe Crosswinds"/>
    <s v="Snow"/>
    <s v="NOT APPLICABLE"/>
    <s v="HWY 71"/>
    <m/>
    <s v="0200000000000071-I"/>
    <s v="Single Vehicle Run Off Road"/>
    <s v="Motor Vehicle in Transport"/>
    <s v="Medium / Heavy Trucks (More than 10,000lbs)"/>
    <s v="Northbound"/>
    <s v="Moving Forward"/>
    <n v="28"/>
    <s v="Male"/>
    <s v="Apparently Normal"/>
    <s v="Failed to Keep in Proper Lane"/>
    <m/>
    <m/>
    <m/>
    <s v="Two-Way, Not Divided"/>
    <s v="No Controls"/>
    <n v="60"/>
    <s v="Straight"/>
    <s v="Level"/>
    <m/>
    <m/>
    <m/>
    <m/>
    <m/>
    <m/>
    <m/>
    <m/>
    <m/>
    <m/>
    <m/>
    <m/>
    <m/>
    <m/>
    <m/>
    <m/>
    <m/>
    <m/>
    <m/>
    <m/>
    <m/>
    <m/>
    <m/>
    <m/>
    <m/>
    <m/>
    <m/>
    <m/>
    <m/>
    <m/>
    <m/>
    <m/>
    <m/>
    <m/>
    <m/>
    <m/>
    <m/>
    <m/>
    <m/>
    <m/>
    <m/>
    <m/>
    <m/>
    <m/>
    <m/>
    <m/>
    <m/>
    <m/>
    <n v="407669.10450000002"/>
    <n v="5306971.7899000002"/>
    <n v="47.909430309999998"/>
    <n v="-94.235610930000007"/>
    <d v="2020-12-23T10:56:00"/>
    <s v="Accepted"/>
    <s v="Reportable"/>
    <s v="MN State Patrol District 3100 - Virginia"/>
    <s v="State Patrol"/>
    <s v="V1 N/B Hwy 71 at Milepost 356 towing empty 2021 Great Dane brand cargo van style semi-trailer (Tennessee Lic. Plate110043T) when D1 entered onto N/B hwy 71 shoulder then slidding into the N/B Hwy 71 ditch due to weather and road conditions (heavy show fall with strong wind gusts/blizzard type conditions. V1 then struck ditch road enbankment resulting in severe disabling damage to truck. No injuries. No criminal charges filed or pending. Both V1 and Great Dane trailer towed from the scene by Bogarts Towing of Blackduck MN. End of report."/>
  </r>
  <r>
    <n v="470654"/>
    <s v="02-USTH"/>
    <n v="71"/>
    <n v="360.34199999999998"/>
    <s v="Koochiching"/>
    <s v="Mizpah"/>
    <m/>
    <s v="D2-BEMIDJI"/>
    <s v="Virginia"/>
    <m/>
    <n v="17310774"/>
    <n v="171490194"/>
    <d v="2023-05-05T00:00:00"/>
    <n v="29"/>
    <x v="4"/>
    <s v="02-Mon"/>
    <n v="9"/>
    <s v="West"/>
    <x v="1"/>
    <n v="0"/>
    <n v="2"/>
    <s v="Front to Front"/>
    <s v="Motor Vehicle In Transport"/>
    <s v="Intersection Related"/>
    <s v="Daylight"/>
    <s v="Cloudy"/>
    <s v="Rain"/>
    <s v="Wet"/>
    <s v="NOT APPLICABLE"/>
    <s v="HWY 71"/>
    <s v="WOODLAND AVE"/>
    <s v="0200000000000071-I"/>
    <s v="Angle"/>
    <s v="Motor Vehicle in Transport"/>
    <s v="Pickup"/>
    <s v="Southbound"/>
    <s v="Moving Forward"/>
    <n v="62"/>
    <s v="Male"/>
    <s v="Apparently Normal"/>
    <s v="No Clear Contributing Action"/>
    <m/>
    <m/>
    <m/>
    <s v="Two-Way, Not Divided"/>
    <s v="No Controls"/>
    <n v="60"/>
    <s v="Straight"/>
    <s v="Level"/>
    <s v="Motor Vehicle in Transport"/>
    <s v="Passenger Car"/>
    <s v="Westbound"/>
    <s v="Moving Forward"/>
    <n v="55"/>
    <s v="Female"/>
    <s v="Apparently Normal"/>
    <s v="Failure to Yield Right-of-Way"/>
    <m/>
    <m/>
    <m/>
    <s v="Two-Way, Not Divided"/>
    <s v="Stop Sign"/>
    <n v="30"/>
    <s v="Straight"/>
    <s v="Level"/>
    <m/>
    <m/>
    <m/>
    <m/>
    <m/>
    <m/>
    <m/>
    <m/>
    <m/>
    <m/>
    <m/>
    <m/>
    <m/>
    <m/>
    <m/>
    <m/>
    <m/>
    <m/>
    <m/>
    <m/>
    <m/>
    <m/>
    <m/>
    <m/>
    <m/>
    <m/>
    <m/>
    <m/>
    <m/>
    <m/>
    <m/>
    <m/>
    <n v="409792.59159999999"/>
    <n v="5308897.6045000004"/>
    <n v="47.927055850000002"/>
    <n v="-94.20760344"/>
    <d v="2017-05-29T09:16:00"/>
    <s v="Accepted"/>
    <s v="Reportable"/>
    <s v="MN State Patrol District 3100 - Virginia"/>
    <s v="State Patrol"/>
    <s v="VEH 2 WAS WB ON COUNTY RD 36 SAID SHE STOPPED AT STOP SIGN BUT DID NOT SEE THE PICKUP (VEH 1) SB ON 71 WHEN SHE DECIDED TO CROSS HWY 71 VEHICLES STRUCK FRONT ENDS.  VEH 2 SPUN AROUND AND BOTH VEHICLES HIT AND HAD DAMAGE TO THE REAR AS WELL. VEH 1 ENDED UP IN THE SB WEST SIDE DITCH . BOTH OCCUPANTS OF THE PICKUP (VEH 1 ) WERE BELTED WELLS IN THE CHEVY CAR (VEH 2) WAS NOT. WHEN HER VEH WAS INSPECTED THE BELT WAS TIGHT AGAINST THE B PILLAR. BOTH VEH HAD AIR BAG DEPLOYMENTS. EXCHANGE INFO WAS GIVEN TO BOTH DRIVERS ALONG WITH VICTIM CARD AND CRASH SHEETS. CITATIONS WERE GIVEN TO DRIVER OF VEH 2 FOR NO SEAT BELT AND FAIL TO YIELD."/>
  </r>
  <r>
    <n v="753004"/>
    <s v="02-USTH"/>
    <n v="71"/>
    <n v="362.52600000000001"/>
    <s v="Koochiching"/>
    <m/>
    <m/>
    <s v="D2-BEMIDJI"/>
    <s v="Virginia"/>
    <m/>
    <n v="19311181"/>
    <n v="192810072"/>
    <d v="2023-10-10T00:00:00"/>
    <n v="8"/>
    <x v="5"/>
    <s v="03-Tues"/>
    <n v="9"/>
    <s v="Not Applicable"/>
    <x v="3"/>
    <n v="0"/>
    <n v="2"/>
    <s v="Sideswipe - Opposing"/>
    <s v="Motor Vehicle In Transport"/>
    <s v="Not at Intersection or Interch"/>
    <s v="Daylight"/>
    <s v="Clear"/>
    <m/>
    <s v="Dry"/>
    <s v="NOT APPLICABLE"/>
    <s v="HWY 71"/>
    <m/>
    <s v="0200000000000071-I"/>
    <s v="Sideswipe Opposing"/>
    <s v="Motor Vehicle in Transport"/>
    <s v="Medium / Heavy Trucks (More than 10,000lbs)"/>
    <s v="Northbound"/>
    <s v="Moving Forward"/>
    <n v="35"/>
    <s v="Male"/>
    <s v="Apparently Normal"/>
    <s v="No Clear Contributing Action"/>
    <m/>
    <m/>
    <m/>
    <s v="Two-Way, Not Divided"/>
    <s v="No Controls"/>
    <n v="60"/>
    <s v="Straight"/>
    <s v="Level"/>
    <s v="Motor Vehicle in Transport"/>
    <s v="Pickup"/>
    <s v="Southbound"/>
    <s v="Moving Forward"/>
    <n v="31"/>
    <s v="Male"/>
    <s v="Unknown"/>
    <s v="Failed to Keep in Proper Lane"/>
    <m/>
    <m/>
    <m/>
    <s v="Two-Way, Not Divided"/>
    <s v="No Controls"/>
    <n v="60"/>
    <s v="Straight"/>
    <s v="Level"/>
    <m/>
    <m/>
    <m/>
    <m/>
    <m/>
    <m/>
    <m/>
    <m/>
    <m/>
    <m/>
    <m/>
    <m/>
    <m/>
    <m/>
    <m/>
    <m/>
    <m/>
    <m/>
    <m/>
    <m/>
    <m/>
    <m/>
    <m/>
    <m/>
    <m/>
    <m/>
    <m/>
    <m/>
    <m/>
    <m/>
    <m/>
    <m/>
    <n v="412535.83769999997"/>
    <n v="5311081.8066999996"/>
    <n v="47.947083880000001"/>
    <n v="-94.171331760000001"/>
    <d v="2019-10-08T09:27:00"/>
    <s v="Accepted"/>
    <s v="Reportable"/>
    <s v="MN State Patrol District 3100 - Virginia"/>
    <s v="State Patrol"/>
    <s v="I, Sgt. Alan Ryan responded to a personal injury crasy on USTH 71 and mile marker 360 at at 0927 hrs on 10/8/2019.  A northbound semi truck (unit 1) was sideswiped by a southbound Ford Ranger (Unit 2).  Driver 1 stated he saw the vehicle drifting across the centerline towards him and the driver of the Ranger was looking down.  The vehicles made contact and the Ranger continued into the northbound ditch and came to rest.  Unit 1 continued down the roadway and stopped on the northbound shoulder.  _x000a__x000a_Driver 2 told Driver 1 that he was reaching for a pop when the vehicle crossed the centerline.  Driver 2 was transported by Littlefork Ambulance to International Falls for arm pain and precautionary checks.  I was unable to speak to him directly after the crash or investigate any cell phone use prior to him being transported.  _x000a__x000a_Driver 1 was not injured.  Vehicle 2 was towed by Roaches towing.  Photos were taken on scene and Driver 2 was cited for crossing the centerline.  _x000a__x000a_END OF REPORT"/>
  </r>
  <r>
    <n v="10895486"/>
    <s v="02-USTH"/>
    <n v="71"/>
    <n v="368.67700000000002"/>
    <s v="Koochiching"/>
    <m/>
    <m/>
    <s v="D2-BEMIDJI"/>
    <s v="Virginia"/>
    <m/>
    <n v="13311039"/>
    <n v="132170242"/>
    <d v="2023-07-07T00:00:00"/>
    <n v="24"/>
    <x v="3"/>
    <s v="04-Wed"/>
    <n v="16"/>
    <m/>
    <x v="0"/>
    <n v="0"/>
    <n v="1"/>
    <s v="RAN OFF RD-RIGHT"/>
    <s v="Overturn/Rollover"/>
    <s v="Not at Intersection or Interch"/>
    <s v="Daylight"/>
    <s v="Clear"/>
    <m/>
    <s v="Dry"/>
    <s v="NOT APPLICABLE"/>
    <s v="71 HWY"/>
    <s v="MM 367"/>
    <s v="0200000000000071-I"/>
    <s v="Single Vehicle Run Off Road"/>
    <s v="Motor Vehicle in Transport"/>
    <s v="Passenger Car"/>
    <s v="Southbound"/>
    <s v="Moving Forward"/>
    <n v="22"/>
    <s v="Male"/>
    <s v="Apparently Normal"/>
    <s v="Inattentive/Distraction (Talking, Eating)"/>
    <m/>
    <m/>
    <m/>
    <s v="2-LANES 1-ECH-WY"/>
    <s v="Not Applicable"/>
    <n v="60"/>
    <s v="Straight"/>
    <s v="Level"/>
    <m/>
    <m/>
    <m/>
    <m/>
    <m/>
    <m/>
    <m/>
    <m/>
    <m/>
    <m/>
    <m/>
    <m/>
    <m/>
    <m/>
    <m/>
    <m/>
    <m/>
    <m/>
    <m/>
    <m/>
    <m/>
    <m/>
    <m/>
    <m/>
    <m/>
    <m/>
    <m/>
    <m/>
    <m/>
    <m/>
    <m/>
    <m/>
    <m/>
    <m/>
    <m/>
    <m/>
    <m/>
    <m/>
    <m/>
    <m/>
    <m/>
    <m/>
    <m/>
    <m/>
    <m/>
    <m/>
    <m/>
    <m/>
    <n v="420068.4792"/>
    <n v="5317442.9104000004"/>
    <n v="48.005290600000002"/>
    <n v="-94.071657009999996"/>
    <d v="2013-07-24T16:01:00"/>
    <s v="Accepted"/>
    <s v="Reportable"/>
    <s v="Unknown"/>
    <s v="Unknown"/>
    <s v="DRIVER WAS SB ON HWY 71.  SAID HE REACHED INTO THE BACK SEAT FOR SOMETHING, WENT ON TO THE RIGHT SHOULDER, OVERCORRECTED, LOST CONTROL, SLID SIDEWAYS INTO DITCH AND ROLLED ONCE.  HAD SEATBELT ON. NO INJURIES. VEHICLE TOWED BY WIMMER`S."/>
  </r>
  <r>
    <n v="10986866"/>
    <s v="02-USTH"/>
    <n v="71"/>
    <n v="379.79500000000002"/>
    <s v="Koochiching"/>
    <m/>
    <m/>
    <s v="D2-BEMIDJI"/>
    <s v="Virginia"/>
    <m/>
    <m/>
    <n v="142800121"/>
    <d v="2023-07-07T00:00:00"/>
    <n v="2"/>
    <x v="6"/>
    <s v="04-Wed"/>
    <n v="3"/>
    <m/>
    <x v="0"/>
    <n v="0"/>
    <n v="1"/>
    <s v="HEAD-ON"/>
    <s v="COL ANML NOT DER"/>
    <m/>
    <s v="Sunrise"/>
    <s v="Clear"/>
    <m/>
    <s v="Dry"/>
    <s v="NOT APPLICABLE"/>
    <m/>
    <m/>
    <s v="0200000000000071-I"/>
    <s v="Single Vehicle Other"/>
    <s v="Motor Vehicle in Transport"/>
    <s v="Pickup"/>
    <s v="Westbound"/>
    <s v="Moving Forward"/>
    <n v="38"/>
    <s v="Male"/>
    <m/>
    <m/>
    <m/>
    <m/>
    <m/>
    <m/>
    <s v="Not Applicable"/>
    <n v="62"/>
    <m/>
    <m/>
    <m/>
    <m/>
    <m/>
    <m/>
    <m/>
    <m/>
    <m/>
    <m/>
    <m/>
    <m/>
    <m/>
    <m/>
    <m/>
    <m/>
    <m/>
    <m/>
    <m/>
    <m/>
    <m/>
    <m/>
    <m/>
    <m/>
    <m/>
    <m/>
    <m/>
    <m/>
    <m/>
    <m/>
    <m/>
    <m/>
    <m/>
    <m/>
    <m/>
    <m/>
    <m/>
    <m/>
    <m/>
    <m/>
    <m/>
    <m/>
    <m/>
    <m/>
    <m/>
    <m/>
    <m/>
    <m/>
    <m/>
    <m/>
    <n v="432902.40549999999"/>
    <n v="5329908.5175000001"/>
    <n v="48.118907139999997"/>
    <n v="-93.901571730000001"/>
    <d v="2014-07-02T03:00:00"/>
    <s v="Accepted"/>
    <s v="Reportable"/>
    <s v="Unknown"/>
    <s v="Unknown"/>
    <m/>
  </r>
  <r>
    <n v="10997482"/>
    <s v="02-USTH"/>
    <n v="71"/>
    <n v="382.63299999999998"/>
    <s v="Koochiching"/>
    <m/>
    <m/>
    <s v="D2-BEMIDJI"/>
    <s v="Virginia"/>
    <m/>
    <n v="14311842"/>
    <n v="143290318"/>
    <d v="2023-10-10T00:00:00"/>
    <n v="1"/>
    <x v="6"/>
    <s v="04-Wed"/>
    <n v="18"/>
    <m/>
    <x v="0"/>
    <n v="0"/>
    <n v="1"/>
    <s v="RAN OFF RD-RIGHT"/>
    <s v="Overturn/Rollover"/>
    <s v="Not at Intersection or Interch"/>
    <s v="Sunset"/>
    <s v="Cloudy"/>
    <s v="Rain"/>
    <s v="Dry"/>
    <s v="NOT APPLICABLE"/>
    <s v="GEMMEL FOREST ROAD"/>
    <s v="GEMMEL RIDGE FOREST RD"/>
    <s v="0200000000000071-I"/>
    <s v="Single Vehicle Run Off Road"/>
    <s v="Hit-And-Run Vehicle"/>
    <s v="Passenger Car"/>
    <s v="Southbound"/>
    <s v="Overtaking/Passing"/>
    <n v="21"/>
    <s v="Male"/>
    <s v="UNDER THE INFLU"/>
    <s v="Over Correcting / Over Steering"/>
    <s v="IMPRP/UNSF LN US"/>
    <m/>
    <m/>
    <s v="2-LANES 1-ECH-WY"/>
    <s v="Not Applicable"/>
    <n v="60"/>
    <s v="Straight"/>
    <s v="Level"/>
    <m/>
    <m/>
    <m/>
    <m/>
    <m/>
    <m/>
    <m/>
    <m/>
    <m/>
    <m/>
    <m/>
    <m/>
    <m/>
    <m/>
    <m/>
    <m/>
    <m/>
    <m/>
    <m/>
    <m/>
    <m/>
    <m/>
    <m/>
    <m/>
    <m/>
    <m/>
    <m/>
    <m/>
    <m/>
    <m/>
    <m/>
    <m/>
    <m/>
    <m/>
    <m/>
    <m/>
    <m/>
    <m/>
    <m/>
    <m/>
    <m/>
    <m/>
    <m/>
    <m/>
    <m/>
    <m/>
    <m/>
    <m/>
    <n v="436168.73210000002"/>
    <n v="5333100.9347000001"/>
    <n v="48.14796192"/>
    <n v="-93.858167080000001"/>
    <d v="2014-10-01T18:54:00"/>
    <s v="Accepted"/>
    <s v="Reportable"/>
    <s v="Unknown"/>
    <s v="Unknown"/>
    <s v="DRIVER WAS TRAVELING SOUTH ON HIGHWAY 71 WHEN HE WENT ACROSS NORTH BOUND LANES ONTO THE NORTHBOUND SHOULDER, CAME BACK OVER TO THE SOUTHBOUND SIDE AND WENT INTO THE DITCH WHERE HE ROLLED THE VEHICLE. THE VEHICLE ENDED UP ON IT`S ROOF. THE DRIVER OF THE VEHICLE LEFT THE SCENE AFTER BEING CONFRONTED BY WITNESSES. WE WERE ABLE TO FIGURE OUT WHO HE WAS BASED ON TEH REGISTERED OWNER AND TEH DESCRIPTION GIVEN TO US BY THE WITNESSES. THE DRIVER WAS FOUND A FEW MILES AWAY WHERE HE HAD BROKEN INTO AND ABANDONED CABIN. DRIVER WAS ADMINISTERED SFST`S AND WAS TAKEN INTO CUSTODY FOR FOURTH DEGREE DWI."/>
  </r>
  <r>
    <n v="362971"/>
    <s v="02-USTH"/>
    <n v="71"/>
    <n v="384.34500000000003"/>
    <s v="Koochiching"/>
    <s v="Big Falls"/>
    <m/>
    <s v="D2-BEMIDJI"/>
    <s v="Virginia"/>
    <m/>
    <n v="16310761"/>
    <n v="161840207"/>
    <d v="2023-07-07T00:00:00"/>
    <n v="2"/>
    <x v="7"/>
    <s v="07-Sat"/>
    <n v="6"/>
    <m/>
    <x v="3"/>
    <n v="0"/>
    <n v="1"/>
    <m/>
    <s v="Overturn/Rollover"/>
    <s v="Not at Intersection or Interch"/>
    <s v="Sunrise"/>
    <s v="Clear"/>
    <m/>
    <s v="Dry"/>
    <s v="NOT APPLICABLE"/>
    <s v="HWY 71"/>
    <m/>
    <s v="0200000000000071-I"/>
    <s v="Single Vehicle Run Off Road"/>
    <s v="Motor Vehicle in Transport"/>
    <s v="Passenger Car"/>
    <s v="Northbound"/>
    <s v="Moving Forward"/>
    <n v="18"/>
    <s v="Female"/>
    <s v="Apparently Normal"/>
    <s v="Failed to Keep in Proper Lane"/>
    <s v="Swerved or Avoided Due to Wind"/>
    <m/>
    <m/>
    <s v="Two-Way, Not Divided"/>
    <s v="No Controls"/>
    <n v="60"/>
    <s v="Straight"/>
    <s v="Level"/>
    <m/>
    <m/>
    <m/>
    <m/>
    <m/>
    <m/>
    <m/>
    <m/>
    <m/>
    <m/>
    <m/>
    <m/>
    <m/>
    <m/>
    <m/>
    <m/>
    <m/>
    <m/>
    <m/>
    <m/>
    <m/>
    <m/>
    <m/>
    <m/>
    <m/>
    <m/>
    <m/>
    <m/>
    <m/>
    <m/>
    <m/>
    <m/>
    <m/>
    <m/>
    <m/>
    <m/>
    <m/>
    <m/>
    <m/>
    <m/>
    <m/>
    <m/>
    <m/>
    <m/>
    <m/>
    <m/>
    <m/>
    <m/>
    <n v="438144.75959999999"/>
    <n v="5335037.7516000001"/>
    <n v="48.165580769999998"/>
    <n v="-93.831885600000007"/>
    <d v="2016-07-02T06:00:00"/>
    <s v="Accepted"/>
    <s v="Reportable"/>
    <s v="MN State Patrol District 3100 - Virginia"/>
    <s v="State Patrol"/>
    <s v="ON 07/02/2016 AT APPROXIMATELY 0600 HRS. VEH #1 WAS TRAVELING NORTHBOUND USTH 71 AT APPROXIMATELY MILE POST 382. ONLY ONE OCCUPANT. _x000a__x000a_WHILE TRAVELING NORTHBOUND THE DRIVER CLAIMS THAT A DEER RAN OUT ONTO THE ROADWAY, AND THAT SHE SWERVED TO AVOID HITTING THE DEER. _x000a__x000a_IN DOING SO, THE SCENE SHOWS THAT THE VEH CROSSED OVER THE CENTER LINE AND RAN OFF OF THE ROAD ON THE LEFT SIDE. TIRE TRACKS SHOW THAT THE VEH CONTINUED TO DRIVE DOWN INTO THE DITCH IN A STRAIGHT LINE THEN SHOWS TRACKS OF OVER CORRECTING TO THE RIGHT. THE VEH THEN JUMPED BACK OVER USTH 71 INTO THE OPPOSING DITCH AND OVERTURNED IN THE NB DITCH. THE VEH CAME TO FINAL REST UPSIDE DOWN IN THE NB DITCH PARTIALLY SUBMERGED. _x000a__x000a_DRIVER WAS ABLE TO CRAWL OUT OF VEH. DRIVER THEN WALKED TO BIG FALLS TO MEET UP WITH FRIENDS AND WAS THEN GIVEN A RIDE BACK TO THE SCENE. KOOCHICHING COUNTY DEPUTY CHAD MASTIN WAS CALLED OUT FROM BIG FALLS TO HANDLE THE CRASH ON SCENE. MINOR ABRASIONS ON DRIVERS LEFT ARM. VEHICLE TOTALED. WEATHER CLEAR AND DRY. DEPUTY MASTIN WAS NOT ABLE TO OBTAIN A RECORDED STATEMENT FROM DRIVER. DRIVER PHONE GOES STRAIGHT TO VOICEMAIL WHEN I ATTEMPT TO CAL HER. _x000a__x000a_BASED ON SCENE EVIDENCE, DRIVER ISSUED A CITATION BY MAIL FOR DUTY TO DRIVE WITH DUE CARE, AND WEAVING OVER LANE LINES . THE TRACKS IN THE DITCH ARE CONSISTENT WITH THE VEH SLOWLY DRIFTING OFF OF THE ROADWAY AS OPPOSED TO SUDDENLY SWERVING TO AVOID AN ANIMAL."/>
  </r>
  <r>
    <n v="10879771"/>
    <s v="02-USTH"/>
    <n v="71"/>
    <n v="385.49599999999998"/>
    <s v="Koochiching"/>
    <s v="Big Falls"/>
    <m/>
    <s v="D2-BEMIDJI"/>
    <s v="Virginia"/>
    <m/>
    <n v="13310190"/>
    <n v="130370428"/>
    <d v="2023-01-01T00:00:00"/>
    <n v="28"/>
    <x v="3"/>
    <s v="02-Mon"/>
    <n v="20"/>
    <m/>
    <x v="1"/>
    <n v="0"/>
    <n v="1"/>
    <s v="Other"/>
    <s v="Pedestrian"/>
    <s v="Not at Intersection or Interch"/>
    <s v="Dark (No Str Lights)"/>
    <s v="Snow"/>
    <s v="Blowing Sand/Soil/Dirt/Snow"/>
    <s v="Snow"/>
    <s v="NOT APPLICABLE"/>
    <s v="HIGHWAY 71"/>
    <s v="MILEPOST 383"/>
    <s v="0200000000000071-I"/>
    <s v="Pedestrian"/>
    <s v="Motor Vehicle in Transport"/>
    <s v="Sport Utility Vehicle"/>
    <s v="Northbound"/>
    <s v="Moving Forward"/>
    <n v="39"/>
    <s v="Female"/>
    <s v="Apparently Normal"/>
    <m/>
    <m/>
    <m/>
    <m/>
    <s v="2-LANES 1-ECH-WY"/>
    <s v="Not Applicable"/>
    <n v="60"/>
    <s v="Straight"/>
    <s v="Level"/>
    <s v="Pedestrian"/>
    <s v="PEDESTRIAN"/>
    <s v="Northbound"/>
    <m/>
    <n v="34"/>
    <s v="Male"/>
    <s v="Apparently Normal"/>
    <s v="NON-MOTRST ERROR"/>
    <m/>
    <s v="PED WLKRUN W TRF"/>
    <m/>
    <s v="2-LANES 1-ECH-WY"/>
    <s v="Not Applicable"/>
    <n v="60"/>
    <s v="Straight"/>
    <s v="Level"/>
    <m/>
    <m/>
    <m/>
    <m/>
    <m/>
    <m/>
    <m/>
    <m/>
    <m/>
    <m/>
    <m/>
    <m/>
    <m/>
    <m/>
    <m/>
    <m/>
    <m/>
    <m/>
    <m/>
    <m/>
    <m/>
    <m/>
    <m/>
    <m/>
    <m/>
    <m/>
    <m/>
    <m/>
    <m/>
    <m/>
    <m/>
    <m/>
    <n v="439364.02130000002"/>
    <n v="5336405.7594999997"/>
    <n v="48.178004870000002"/>
    <n v="-93.815684919999995"/>
    <d v="2013-01-28T20:43:00"/>
    <s v="Accepted"/>
    <s v="Reportable"/>
    <s v="Unknown"/>
    <s v="Unknown"/>
    <s v="VEHICLE # 1 WAS NORTHBOUND ON HIGHWAY 71 IN THE AREA OF MILEPOST  383.7 DURING A SNOW STORM WITH HEAVY SNOW FALLING AND BLOWING  SNOW WHEN VEHICLE #1 HIT A PEDESTRIAN WHO WAS WALKING DOWN THE  ROAD AFTER HIS CAR WENT INTO THE DITCH. THE PEDESTRIAN WAS  WALKING NORTH WHEN HE WAS HIT. VEHICLE #1 HAD DAMAGE TO THE FRONT AND THE WINDSHIELD. THE MALE PEDESTRIAN RECEIVED MINOR INJURY  AND WAS RELEASED FROM THE HOSPITAL WITH A CLOSED HEAD WOUND AND  SORE JOINTS.NO CHARGES FILED. VICTIM CARDS ISSUED."/>
  </r>
  <r>
    <n v="10997483"/>
    <s v="02-USTH"/>
    <n v="71"/>
    <n v="386.57499999999999"/>
    <s v="Koochiching"/>
    <s v="Big Falls"/>
    <m/>
    <s v="D1-DULUTH"/>
    <s v="Virginia"/>
    <m/>
    <n v="14312201"/>
    <n v="143290320"/>
    <d v="2023-11-11T00:00:00"/>
    <n v="10"/>
    <x v="6"/>
    <s v="02-Mon"/>
    <n v="12"/>
    <s v="South"/>
    <x v="0"/>
    <n v="0"/>
    <n v="1"/>
    <s v="Other"/>
    <s v="Roadway Sign or Sign Structure"/>
    <s v="Not at Intersection or Interch"/>
    <s v="Daylight"/>
    <s v="Cloudy"/>
    <m/>
    <s v="Dry"/>
    <s v="NOT APPLICABLE"/>
    <n v="71"/>
    <n v="6"/>
    <s v="0200000000000071-I"/>
    <s v="Single Vehicle Run Off Road"/>
    <s v="Motor Vehicle in Transport"/>
    <s v="Farm Vehicle (Tractor, Combine)"/>
    <s v="Southbound"/>
    <s v="Moving Forward"/>
    <n v="37"/>
    <s v="Male"/>
    <s v="Apparently Normal"/>
    <m/>
    <m/>
    <m/>
    <m/>
    <s v="2-LANES 1-ECH-WY"/>
    <s v="Not Applicable"/>
    <n v="60"/>
    <s v="CURVE (pre 2016)"/>
    <s v="GRADE (pre 2016)"/>
    <m/>
    <m/>
    <m/>
    <m/>
    <m/>
    <m/>
    <m/>
    <m/>
    <m/>
    <m/>
    <m/>
    <m/>
    <m/>
    <m/>
    <m/>
    <m/>
    <m/>
    <m/>
    <m/>
    <m/>
    <m/>
    <m/>
    <m/>
    <m/>
    <m/>
    <m/>
    <m/>
    <m/>
    <m/>
    <m/>
    <m/>
    <m/>
    <m/>
    <m/>
    <m/>
    <m/>
    <m/>
    <m/>
    <m/>
    <m/>
    <m/>
    <m/>
    <m/>
    <m/>
    <m/>
    <m/>
    <m/>
    <m/>
    <n v="440341.06900000002"/>
    <n v="5337841.2706000004"/>
    <n v="48.191011260000003"/>
    <n v="-93.80274464"/>
    <d v="2014-11-10T12:26:00"/>
    <s v="Accepted"/>
    <s v="Reportable"/>
    <s v="Unknown"/>
    <s v="Unknown"/>
    <s v="DUMP TRUCK WITH FIELD ROLLER TRAILER WAS TRAVELING SB USTH 71 COMING INTO BIG FALLS WHEN THE PASSENGER SIDE REAR TIRE CAME OFF THE TRAILER/ROLLER. THE ROLLER BEGAN TO DRAG ON THE ROADWAY AND THE DRIVER STARTED TO SLOW TO STOP. AS HE SLOWED, THE ROLLER SWUNG FORWARD FROM THE MOMENTUM OF THE VEHICLE AND STRUCK A 30 MPH SPEED LIMIT SIGN AT THE NORTH END OF THE BRIDGE OVER THE BIG FORK RIVER. THE TRAILER WAS BROUGHT UP THE ROAD TO A SHOP IN BIG FALLS. YELLOW TAG C-02222 WAS AFFIXED TO THE SPEED LIMIT SIGN. THE TIRE THAT HAD COME OFF WAS LOCATED APPROXIMATELY 100 YARDS SOUTH OF THE AREA WHERE IT WAS LOST. NO VISIBLE DAMAGE TO THE VEHICLES BESIDES THE WHEEL COMING OFF._x000a_INSURANCE-FARM BUREAU PROPERTY AND CASUALTY INSURANCE CO. POLICY #0000000007595773."/>
  </r>
  <r>
    <n v="519736"/>
    <s v="02-USTH"/>
    <n v="71"/>
    <n v="386.70699999999999"/>
    <s v="Koochiching"/>
    <s v="Big Falls"/>
    <m/>
    <s v="D1-DULUTH"/>
    <s v="Virginia"/>
    <m/>
    <n v="17311523"/>
    <n v="173290110"/>
    <d v="2023-11-11T00:00:00"/>
    <n v="25"/>
    <x v="4"/>
    <s v="07-Sat"/>
    <n v="19"/>
    <s v="North"/>
    <x v="0"/>
    <n v="0"/>
    <n v="1"/>
    <m/>
    <s v="Culvert"/>
    <s v="Not at Intersection or Interch"/>
    <s v="Dark (Str Lights On)"/>
    <s v="Clear"/>
    <m/>
    <s v="Dry"/>
    <s v="NOT APPLICABLE"/>
    <s v="HWY 71  N"/>
    <m/>
    <s v="0200000000000071-I"/>
    <s v="Single Vehicle Run Off Road"/>
    <s v="Motor Vehicle in Transport"/>
    <s v="Pickup"/>
    <s v="Northbound"/>
    <s v="Moving Forward"/>
    <n v="27"/>
    <s v="Male"/>
    <s v="Apparently Normal"/>
    <s v="Failed to Keep in Proper Lane"/>
    <s v="Ran Off Road"/>
    <m/>
    <m/>
    <s v="Two-Way, Not Divided"/>
    <s v="No Controls"/>
    <n v="30"/>
    <s v="Curve Left"/>
    <s v="Downhill"/>
    <m/>
    <m/>
    <m/>
    <m/>
    <m/>
    <m/>
    <m/>
    <m/>
    <m/>
    <m/>
    <m/>
    <m/>
    <m/>
    <m/>
    <m/>
    <m/>
    <m/>
    <m/>
    <m/>
    <m/>
    <m/>
    <m/>
    <m/>
    <m/>
    <m/>
    <m/>
    <m/>
    <m/>
    <m/>
    <m/>
    <m/>
    <m/>
    <m/>
    <m/>
    <m/>
    <m/>
    <m/>
    <m/>
    <m/>
    <m/>
    <m/>
    <m/>
    <m/>
    <m/>
    <m/>
    <m/>
    <m/>
    <m/>
    <n v="440458.3849"/>
    <n v="5338032.3722000001"/>
    <n v="48.192741419999997"/>
    <n v="-93.801193060000003"/>
    <d v="2017-11-25T19:34:00"/>
    <s v="Accepted"/>
    <s v="Reportable"/>
    <s v="MN State Patrol District 3100 - Virginia"/>
    <s v="State Patrol"/>
    <s v="Unit 1 traveling northbound on US Hwy 71, pulling a fish house/trailer.  Unit 1 began slowing to turn left onto 4th Street in the city of Big Falls.  Unit 1 ran off the roadway to the right.  Unit 1 continued down into bottom of ditch and then struck a culvert at the rear right side wheel, displacing the rear axle/damaging the undercarriage._x000a__x000a_The trailer's frame had collapsed at the front hitch assembly, so that the front of the frame was resting on the ground.  Unit 1 driver, Kennedy, stated he believed this frame failed while he braked for the turn, and that its sway caused him to run off of the road.  _x000a__x000a_There was no evidence of the trailer dropping to the roadway prior to Unit 1 running off of the roadway. After striking the culvert, there was evidence that the frame was damaged and was dragging on the ground after that impact.  Tire tracks indicated the rear right wheel struck the culvert, which corroborated the axle damage was caused by that impact.  _x000a__x000a_Unit 1 driver maintained that it was because of the trailer frame failure that the vehicle was suddenly out of control.  Tire tracks entering the roadway ditch indicated Unit 1 had maneuvered the left curve partially, until veering slightly to the right.  The trailer/fish house was secured properly to Unit 1.  The driver's two year old son was in the back seat.  No injuries were reported by either occupant.  Photographs of the damaged Unit 1 and trailer were taken near the scene.  Vehicle was not towed.  MN crash report given to Kennedy for completion.  _x000a__x000a_The crash was partially witnessed by Koochiching County Deputy Hell, #112, however Deputy Hell could not see the exact chain of events as they occurred."/>
  </r>
  <r>
    <n v="11065729"/>
    <s v="02-USTH"/>
    <n v="71"/>
    <n v="386.8"/>
    <s v="Koochiching"/>
    <s v="Big Falls"/>
    <m/>
    <s v="D1-DULUTH"/>
    <s v="Virginia"/>
    <m/>
    <m/>
    <n v="152460048"/>
    <d v="2023-08-08T00:00:00"/>
    <n v="4"/>
    <x v="1"/>
    <s v="03-Tues"/>
    <n v="9"/>
    <m/>
    <x v="0"/>
    <n v="0"/>
    <n v="1"/>
    <m/>
    <s v="Deer"/>
    <m/>
    <s v="Daylight"/>
    <s v="Cloudy"/>
    <m/>
    <s v="Dry"/>
    <s v="NOT APPLICABLE"/>
    <m/>
    <m/>
    <s v="0200000000000071-I"/>
    <s v="Single Vehicle Other"/>
    <s v="Motor Vehicle in Transport"/>
    <s v="Passenger Car"/>
    <s v="Northbound"/>
    <s v="Moving Forward"/>
    <n v="70"/>
    <s v="Male"/>
    <m/>
    <m/>
    <m/>
    <m/>
    <m/>
    <m/>
    <s v="Other"/>
    <n v="60"/>
    <m/>
    <m/>
    <m/>
    <m/>
    <m/>
    <m/>
    <m/>
    <m/>
    <m/>
    <m/>
    <m/>
    <m/>
    <m/>
    <m/>
    <m/>
    <m/>
    <m/>
    <m/>
    <m/>
    <m/>
    <m/>
    <m/>
    <m/>
    <m/>
    <m/>
    <m/>
    <m/>
    <m/>
    <m/>
    <m/>
    <m/>
    <m/>
    <m/>
    <m/>
    <m/>
    <m/>
    <m/>
    <m/>
    <m/>
    <m/>
    <m/>
    <m/>
    <m/>
    <m/>
    <m/>
    <m/>
    <m/>
    <m/>
    <m/>
    <m/>
    <n v="440487.80349999998"/>
    <n v="5338165.8086999999"/>
    <n v="48.193944569999999"/>
    <n v="-93.80081595"/>
    <d v="2015-08-04T09:50:00"/>
    <s v="Accepted"/>
    <s v="Reportable"/>
    <s v="Unknown"/>
    <s v="Unknown"/>
    <m/>
  </r>
  <r>
    <n v="11083649"/>
    <s v="02-USTH"/>
    <n v="71"/>
    <n v="388.28300000000002"/>
    <s v="Koochiching"/>
    <m/>
    <m/>
    <s v="D1-DULUTH"/>
    <s v="Virginia"/>
    <m/>
    <n v="15312457"/>
    <n v="153430313"/>
    <d v="2023-12-12T00:00:00"/>
    <n v="5"/>
    <x v="1"/>
    <s v="07-Sat"/>
    <n v="23"/>
    <m/>
    <x v="0"/>
    <n v="0"/>
    <n v="3"/>
    <s v="Other"/>
    <s v="OTHER CRASH TYPE"/>
    <s v="Not at Intersection or Interch"/>
    <s v="Dark (No Str Lights)"/>
    <s v="Clear"/>
    <m/>
    <s v="Dry"/>
    <s v="NOT APPLICABLE"/>
    <s v="71 HWY"/>
    <n v="386.5"/>
    <s v="0200000000000071-I"/>
    <s v="Other"/>
    <s v="Motor Vehicle in Transport"/>
    <s v="Pickup"/>
    <s v="Northbound"/>
    <s v="Other"/>
    <n v="24"/>
    <s v="Male"/>
    <s v="UNDER THE INFLU"/>
    <s v="CHEMICAL IMPRMNT"/>
    <m/>
    <s v="Other"/>
    <m/>
    <s v="2-LANES 1-ECH-WY"/>
    <s v="Not Applicable"/>
    <n v="60"/>
    <s v="Straight"/>
    <s v="Level"/>
    <s v="Motor Vehicle in Transport"/>
    <s v="Passenger Car"/>
    <s v="Northbound"/>
    <s v="Other"/>
    <n v="24"/>
    <s v="Male"/>
    <s v="Apparently Normal"/>
    <s v="No Clear Contributing Action"/>
    <m/>
    <s v="Other"/>
    <m/>
    <s v="2-LANES 1-ECH-WY"/>
    <s v="Not Applicable"/>
    <n v="60"/>
    <s v="Straight"/>
    <s v="Level"/>
    <s v="Motor Vehicle in Transport"/>
    <s v="Sport Utility Vehicle"/>
    <s v="Northbound"/>
    <s v="Other"/>
    <n v="31"/>
    <s v="Male"/>
    <s v="Apparently Normal"/>
    <s v="No Clear Contributing Action"/>
    <m/>
    <s v="Other"/>
    <m/>
    <s v="2-LANES 1-ECH-WY"/>
    <s v="Not Applicable"/>
    <n v="60"/>
    <s v="Straight"/>
    <s v="Level"/>
    <m/>
    <m/>
    <m/>
    <m/>
    <m/>
    <m/>
    <m/>
    <m/>
    <m/>
    <m/>
    <m/>
    <m/>
    <m/>
    <m/>
    <m/>
    <m/>
    <n v="441862.21789999999"/>
    <n v="5340049.3912000004"/>
    <n v="48.211016669999999"/>
    <n v="-93.782581449999995"/>
    <d v="2015-12-05T23:29:00"/>
    <s v="Accepted"/>
    <s v="Reportable"/>
    <s v="Unknown"/>
    <s v="Unknown"/>
    <s v="V1 N/B HWY 71 ACTIVELY FLEEING FROM MULTIPLE LAW ENFORCEMENT  SQUADS (WITH LIGHTS/SIRENS ACTIVATED)  WHEN V2 (MN STATE PATROL  SQUAD UNIT #41114) PERFORMED PURSUIT INTERVENTION TECHNIQUE  (P.I.T.) IN AN ATTEMPT TO CONTAIN V1. DURING P.I.T., V2 FRONT  RIGHT MADE CONTACT WITH REAR LEFT OF V1 RESULTING IN V1 SPINNING  AND STOPPING IN THE HWY 71 TRAFFIC LANES COMING TO REST FACING  S/B.  D1 THEN PLACED V1 INTO REVERSE AND ATTEMPTED TO FLEE FROM  SQUADS.  V2 THEN MADE CONTACT WITH MULTIPLE LOCATIONS ON V1 WITH  THE FRONT AND REAR OF V2 WHEN D2 (TROOPER SP268) ATTEMPTED TO  CONTAIN V1 BY USING BOX-IN FORMATION WITH OTHER LAW ENFORCEMENT  SQUADS.  ACCORDING TO D3, DURING BOX-IN FORMATION, V1 DROVE  FORWARD INTO THE FRONT PUSH BUMPERS OF V3 (RED LAKE TRIBAL SQUAD) RESULTING IN NO VISIBLE DAMAGE TO V3. D1 TAKEN INTO CUSTODY AND  CHARGED WITH FELONY FLEEING IN MV, 3RD DEG DWI (BREATH TEST .16), AND OPEN BOTTLE. BOTH V1 AND V2 SUSTAINED SEVERE DAMAGE AND WERE TOWED BY BOGARTS TOWING OF BLACKDUCK MN. END OF REPORT."/>
  </r>
  <r>
    <n v="431786"/>
    <s v="02-USTH"/>
    <n v="71"/>
    <n v="391.39499999999998"/>
    <s v="Koochiching"/>
    <m/>
    <m/>
    <s v="D1-DULUTH"/>
    <s v="Virginia"/>
    <m/>
    <n v="17310474"/>
    <n v="170770170"/>
    <d v="2023-03-03T00:00:00"/>
    <n v="18"/>
    <x v="4"/>
    <s v="07-Sat"/>
    <n v="0"/>
    <s v="South"/>
    <x v="3"/>
    <n v="0"/>
    <n v="1"/>
    <m/>
    <s v="Overturn/Rollover"/>
    <s v="Not at Intersection or Interch"/>
    <s v="Dark (No Str Lights)"/>
    <s v="Sleet, Hail (Freezing Rain/Drizzle)"/>
    <s v="Severe Crosswinds"/>
    <s v="Ice/Frost"/>
    <s v="NOT APPLICABLE"/>
    <s v="HWY 71"/>
    <m/>
    <s v="0200000000000071-I"/>
    <s v="Single Vehicle Run Off Road"/>
    <s v="Motor Vehicle in Transport"/>
    <s v="Other"/>
    <s v="Southbound"/>
    <s v="Negotiating a Curve"/>
    <n v="26"/>
    <s v="Male"/>
    <s v="Apparently Normal"/>
    <s v="Swerved or Avoided Due to Wind"/>
    <m/>
    <m/>
    <m/>
    <s v="Two-Way, Not Divided"/>
    <s v="No Controls"/>
    <n v="60"/>
    <s v="Curve Right"/>
    <s v="Level"/>
    <m/>
    <m/>
    <m/>
    <m/>
    <m/>
    <m/>
    <m/>
    <m/>
    <m/>
    <m/>
    <m/>
    <m/>
    <m/>
    <m/>
    <m/>
    <m/>
    <m/>
    <m/>
    <m/>
    <m/>
    <m/>
    <m/>
    <m/>
    <m/>
    <m/>
    <m/>
    <m/>
    <m/>
    <m/>
    <m/>
    <m/>
    <m/>
    <m/>
    <m/>
    <m/>
    <m/>
    <m/>
    <m/>
    <m/>
    <m/>
    <m/>
    <m/>
    <m/>
    <m/>
    <m/>
    <m/>
    <m/>
    <m/>
    <n v="444768.91979999997"/>
    <n v="5344140.8886000002"/>
    <n v="48.248083719999997"/>
    <n v="-93.743992169999999"/>
    <d v="2017-03-18T00:21:00"/>
    <s v="Accepted"/>
    <s v="Reportable"/>
    <s v="MN State Patrol District 3100 - Virginia"/>
    <s v="State Patrol"/>
    <s v="The Little Fork ambulance was responding to a call for service in the early morning hrs of March 18th. The ambulance was traveling southbound Hwy 71 with emergency lights activated. The driver was negotiating curve between Mile Post 390 and 389, when the road surface became extremely ice covered by freezing rain. The road surface was dry and in good condition north of Mile Post 390. Strong cross winds from the west, combined with the icy road surface, caused the driver to lose control of the ambulance. The ambulance crossed the center line of the road and rotated 180 degrees entering the ditch backwards on the east side of the road. The ambulance skidded through the ditch several hundred yards before it over turned onto the drivers side and came to a stop. The driver of the vehicle (Kyle Patrick Kennedy) was uninjured. The front passenger (Samuel Lee Hege) received minor bumps and bruises. The Rear passenger (Twila Joy Hege) suffered minor non life threatening injuries. Twila's injuries were a broken rib and collapsed lung on her right side and was hospitalized until Wednesday March 22. No citations were issued to any of the occupants and recorded statements were taken."/>
  </r>
  <r>
    <n v="10881853"/>
    <s v="02-USTH"/>
    <n v="71"/>
    <n v="391.54"/>
    <s v="Koochiching"/>
    <m/>
    <m/>
    <s v="D1-DULUTH"/>
    <s v="Virginia"/>
    <m/>
    <n v="13320150"/>
    <n v="130640484"/>
    <d v="2023-02-02T00:00:00"/>
    <n v="17"/>
    <x v="3"/>
    <s v="01-Sun"/>
    <n v="1"/>
    <m/>
    <x v="1"/>
    <n v="0"/>
    <n v="1"/>
    <s v="RAN OFF RD-LEFT"/>
    <s v="Overturn/Rollover"/>
    <s v="Not at Intersection or Interch"/>
    <s v="Dark (No Str Lights)"/>
    <s v="Clear"/>
    <s v="Cloudy"/>
    <s v="Dry"/>
    <s v="NOT APPLICABLE"/>
    <s v="71 HWY"/>
    <s v="UT 59"/>
    <s v="0200000000000071-I"/>
    <s v="Single Vehicle Run Off Road"/>
    <s v="Motor Vehicle in Transport"/>
    <s v="Sport Utility Vehicle"/>
    <s v="Northbound"/>
    <s v="Moving Forward"/>
    <n v="30"/>
    <s v="Male"/>
    <s v="UNDER THE INFLU"/>
    <s v="CHEMICAL IMPRMNT"/>
    <s v="Inattentive/Distraction (Talking, Eating)"/>
    <m/>
    <m/>
    <s v="2-LANES 1-ECH-WY"/>
    <s v="Not Applicable"/>
    <n v="60"/>
    <s v="CURVE (pre 2016)"/>
    <s v="Level"/>
    <m/>
    <m/>
    <m/>
    <m/>
    <m/>
    <m/>
    <m/>
    <m/>
    <m/>
    <m/>
    <m/>
    <m/>
    <m/>
    <m/>
    <m/>
    <m/>
    <m/>
    <m/>
    <m/>
    <m/>
    <m/>
    <m/>
    <m/>
    <m/>
    <m/>
    <m/>
    <m/>
    <m/>
    <m/>
    <m/>
    <m/>
    <m/>
    <m/>
    <m/>
    <m/>
    <m/>
    <m/>
    <m/>
    <m/>
    <m/>
    <m/>
    <m/>
    <m/>
    <m/>
    <m/>
    <m/>
    <m/>
    <m/>
    <n v="444867.00469999999"/>
    <n v="5344338.2695000004"/>
    <n v="48.249867909999999"/>
    <n v="-93.742696760000001"/>
    <d v="2013-02-17T01:03:00"/>
    <s v="Accepted"/>
    <s v="Reportable"/>
    <s v="Unknown"/>
    <s v="Unknown"/>
    <s v="SUBJECT VEHICLE  WAS NORTHBOUND US HWY 71.  SUBJECT DRIFTED ON TO NORTHBOUND SHOULDER.  OVER CORRECTED AND LOST CONTROL AND ENTERED SOUTHBOUND DITCH.  ROLLED OVER IN DITCH ONE AND HALF TIMES.  CAME TO REST ON ROOF.  DRIVER WAS NOT SURE WHAT CAUSED HIM TO CRASH.  VERY INTOXICATED.  .245 PBT AND REFUSED TO TEST.  SMALL CUT ON LEFT HAND.  ADMITTED TO NOT BEING NOT BELTED."/>
  </r>
  <r>
    <n v="11055635"/>
    <s v="02-USTH"/>
    <n v="71"/>
    <n v="393.78399999999999"/>
    <s v="Koochiching"/>
    <m/>
    <m/>
    <s v="D1-DULUTH"/>
    <s v="Virginia"/>
    <m/>
    <m/>
    <n v="151180032"/>
    <d v="2023-03-03T00:00:00"/>
    <n v="21"/>
    <x v="1"/>
    <s v="07-Sat"/>
    <n v="17"/>
    <m/>
    <x v="0"/>
    <n v="0"/>
    <n v="1"/>
    <s v="RAN OFF RD-RIGHT"/>
    <s v="Standing Tree/Shrubbery"/>
    <m/>
    <s v="Daylight"/>
    <s v="Clear"/>
    <m/>
    <s v="Dry"/>
    <s v="NOT APPLICABLE"/>
    <m/>
    <m/>
    <s v="0200000000000071-I"/>
    <s v="Single Vehicle Run Off Road"/>
    <s v="Motor Vehicle in Transport"/>
    <s v="Passenger Car"/>
    <s v="Southbound"/>
    <s v="Moving Forward"/>
    <n v="48"/>
    <s v="Male"/>
    <m/>
    <m/>
    <m/>
    <m/>
    <m/>
    <m/>
    <s v="Not Applicable"/>
    <n v="60"/>
    <m/>
    <m/>
    <m/>
    <m/>
    <m/>
    <m/>
    <m/>
    <m/>
    <m/>
    <m/>
    <m/>
    <m/>
    <m/>
    <m/>
    <m/>
    <m/>
    <m/>
    <m/>
    <m/>
    <m/>
    <m/>
    <m/>
    <m/>
    <m/>
    <m/>
    <m/>
    <m/>
    <m/>
    <m/>
    <m/>
    <m/>
    <m/>
    <m/>
    <m/>
    <m/>
    <m/>
    <m/>
    <m/>
    <m/>
    <m/>
    <m/>
    <m/>
    <m/>
    <m/>
    <m/>
    <m/>
    <m/>
    <m/>
    <m/>
    <m/>
    <n v="445361.20730000001"/>
    <n v="5347915.051"/>
    <n v="48.282087529999998"/>
    <n v="-93.736502180000002"/>
    <d v="2015-03-21T17:00:00"/>
    <s v="Accepted"/>
    <s v="Reportable"/>
    <s v="Unknown"/>
    <s v="Unknown"/>
    <m/>
  </r>
  <r>
    <n v="11082166"/>
    <s v="02-USTH"/>
    <n v="71"/>
    <n v="394.68799999999999"/>
    <s v="Koochiching"/>
    <m/>
    <m/>
    <s v="D1-DULUTH"/>
    <s v="Virginia"/>
    <m/>
    <n v="15312406"/>
    <n v="153340513"/>
    <d v="2023-11-11T00:00:00"/>
    <n v="28"/>
    <x v="1"/>
    <s v="07-Sat"/>
    <n v="20"/>
    <m/>
    <x v="1"/>
    <n v="0"/>
    <n v="1"/>
    <s v="Other"/>
    <s v="Deer"/>
    <s v="Not at Intersection or Interch"/>
    <s v="Dark (No Str Lights)"/>
    <s v="Clear"/>
    <m/>
    <s v="Dry"/>
    <s v="NOT APPLICABLE"/>
    <s v="71 HWY"/>
    <s v="SFR 239"/>
    <s v="0200000000000071-I"/>
    <s v="Single Vehicle Other"/>
    <s v="Motor Vehicle in Transport"/>
    <s v="Sport Utility Vehicle"/>
    <s v="Northbound"/>
    <s v="Moving Forward"/>
    <n v="20"/>
    <s v="Male"/>
    <s v="Apparently Normal"/>
    <s v="No Clear Contributing Action"/>
    <m/>
    <m/>
    <m/>
    <s v="2-LANES 1-ECH-WY"/>
    <s v="Not Applicable"/>
    <n v="60"/>
    <s v="Straight"/>
    <s v="Level"/>
    <m/>
    <m/>
    <m/>
    <m/>
    <m/>
    <m/>
    <m/>
    <m/>
    <m/>
    <m/>
    <m/>
    <m/>
    <m/>
    <m/>
    <m/>
    <m/>
    <m/>
    <m/>
    <m/>
    <m/>
    <m/>
    <m/>
    <m/>
    <m/>
    <m/>
    <m/>
    <m/>
    <m/>
    <m/>
    <m/>
    <m/>
    <m/>
    <m/>
    <m/>
    <m/>
    <m/>
    <m/>
    <m/>
    <m/>
    <m/>
    <m/>
    <m/>
    <m/>
    <m/>
    <m/>
    <m/>
    <m/>
    <m/>
    <n v="445552.56969999999"/>
    <n v="5349357.2536000004"/>
    <n v="48.295078070000002"/>
    <n v="-93.734108890000002"/>
    <d v="2015-11-28T20:40:00"/>
    <s v="Accepted"/>
    <s v="Reportable"/>
    <s v="Unknown"/>
    <s v="Unknown"/>
    <s v="VEH #1 was NB on hwy 71, the weather was dry and clear. Veh #1 swerved left to miss a deer,#1 hit the deer and ran off the road to the left. Everyone said they were belted. driver had sore shoulder, passenger had cut foot. wimmers towed no citations."/>
  </r>
  <r>
    <n v="1023099"/>
    <s v="02-USTH"/>
    <n v="71"/>
    <n v="394.68900000000002"/>
    <s v="Koochiching"/>
    <m/>
    <m/>
    <s v="D1-DULUTH"/>
    <s v="Virginia"/>
    <m/>
    <n v="22310668"/>
    <n v="221350126"/>
    <d v="2023-05-05T00:00:00"/>
    <n v="15"/>
    <x v="2"/>
    <s v="01-Sun"/>
    <n v="9"/>
    <s v="North"/>
    <x v="3"/>
    <n v="0"/>
    <n v="1"/>
    <m/>
    <s v="Overturn/Rollover"/>
    <s v="Not at Intersection or Interch"/>
    <s v="Daylight"/>
    <s v="Clear"/>
    <m/>
    <s v="Dry"/>
    <s v="NOT APPLICABLE"/>
    <s v="HWY 71"/>
    <m/>
    <s v="0200000000000071-I"/>
    <s v="Single Vehicle Run Off Road"/>
    <s v="Motor Vehicle in Transport"/>
    <s v="Passenger Car"/>
    <s v="Southbound"/>
    <s v="Moving Forward"/>
    <n v="18"/>
    <s v="Female"/>
    <s v="Apparently Normal"/>
    <s v="Failed to Keep in Proper Lane"/>
    <s v="Over Correcting / Over Steering"/>
    <m/>
    <m/>
    <s v="Two-Way, Not Divided"/>
    <s v="No Controls"/>
    <n v="60"/>
    <s v="Straight"/>
    <s v="Level"/>
    <m/>
    <m/>
    <m/>
    <m/>
    <m/>
    <m/>
    <m/>
    <m/>
    <m/>
    <m/>
    <m/>
    <m/>
    <m/>
    <m/>
    <m/>
    <m/>
    <m/>
    <m/>
    <m/>
    <m/>
    <m/>
    <m/>
    <m/>
    <m/>
    <m/>
    <m/>
    <m/>
    <m/>
    <m/>
    <m/>
    <m/>
    <m/>
    <m/>
    <m/>
    <m/>
    <m/>
    <m/>
    <m/>
    <m/>
    <m/>
    <m/>
    <m/>
    <m/>
    <m/>
    <m/>
    <m/>
    <m/>
    <m/>
    <n v="445552.75679999997"/>
    <n v="5349358.6937999995"/>
    <n v="48.295091040000003"/>
    <n v="-93.734106560000001"/>
    <d v="2022-05-15T09:52:00"/>
    <s v="Accepted"/>
    <s v="Reportable"/>
    <s v="MN State Patrol District 3100 - Virginia"/>
    <s v="State Patrol"/>
    <s v="On 05/15/2022 at 0952 hours I, Trooper Mason Kraskey was dispatched to a rollover crash with injury on U.S Highway 71 at MM 393. I arrived at Rainy Lake Medical Center to speak with the driver. I spoke with the driver who stated she stayed up the night prior in International Falls. The driver stated she watched the sunrise that morning and then started to head home. The driver stated she stopped at a rest stop and took a nap as she was tired. The driver continued driving south on Highway 71 and fell asleep. The driver stated she awoke in the north bound lane and over corrected the car and went into a fish tail and then a spin. The driver stated she rolled multiple times in the ditch. The driver sustained suspected minor injury. The driver was wearing her seatbelt and was not using her phone, no impairment. The entire incident was recorded on my BWC."/>
  </r>
  <r>
    <n v="786847"/>
    <s v="02-USTH"/>
    <n v="71"/>
    <n v="394.89800000000002"/>
    <s v="Koochiching"/>
    <m/>
    <m/>
    <s v="D1-DULUTH"/>
    <s v="Virginia"/>
    <m/>
    <n v="20310161"/>
    <n v="200310282"/>
    <d v="2023-01-01T00:00:00"/>
    <n v="31"/>
    <x v="0"/>
    <s v="06-Fri"/>
    <n v="14"/>
    <s v="North"/>
    <x v="0"/>
    <n v="0"/>
    <n v="1"/>
    <m/>
    <s v="Other - Non Fixed Object"/>
    <s v="Not at Intersection or Interch"/>
    <s v="Daylight"/>
    <s v="Cloudy"/>
    <m/>
    <s v="Dry"/>
    <s v="NOT APPLICABLE"/>
    <s v="HWY 71"/>
    <m/>
    <s v="0200000000000071-I"/>
    <s v="Single Vehicle Other"/>
    <s v="Motor Vehicle in Transport"/>
    <s v="Sport Utility Vehicle"/>
    <s v="Northbound"/>
    <s v="Moving Forward"/>
    <n v="50"/>
    <s v="Female"/>
    <s v="Has Been Taking Medications"/>
    <s v="Ran Off Road"/>
    <s v="Operated Motor Vehicle: Careless/Negligent/Erratic"/>
    <m/>
    <m/>
    <s v="Two-Way, Not Divided"/>
    <s v="No Controls"/>
    <n v="60"/>
    <s v="Straight"/>
    <s v="Level"/>
    <m/>
    <m/>
    <m/>
    <m/>
    <m/>
    <m/>
    <m/>
    <m/>
    <m/>
    <m/>
    <m/>
    <m/>
    <m/>
    <m/>
    <m/>
    <m/>
    <m/>
    <m/>
    <m/>
    <m/>
    <m/>
    <m/>
    <m/>
    <m/>
    <m/>
    <m/>
    <m/>
    <m/>
    <m/>
    <m/>
    <m/>
    <m/>
    <m/>
    <m/>
    <m/>
    <m/>
    <m/>
    <m/>
    <m/>
    <m/>
    <m/>
    <m/>
    <m/>
    <m/>
    <m/>
    <m/>
    <m/>
    <m/>
    <n v="445597.66700000002"/>
    <n v="5349704.3931"/>
    <n v="48.298204810000001"/>
    <n v="-93.733545640000003"/>
    <d v="2020-01-31T14:07:00"/>
    <s v="Accepted"/>
    <s v="Reportable"/>
    <s v="MN State Patrol District 3100 - Virginia"/>
    <s v="State Patrol"/>
    <s v="Veh #1 NB on Hwy 71 , the weather was cloudy and dry. Driver #1 said she was taking her boot off while driving and ran off the road and rolled over. Driver appeared tired and admitted to using medications. Brother of driver showed up on scene and said she was sleeping in her car just couple hours before. Veh #1 looked like it crossed both lanes of traffic and hit the SB ditch and rolled 2 x landing on its side facing SB. Driver #1 was checked by EMS crew and signed waiver . Veh #1 towed at drivers request. Roaches towing of Int'l falls towed. Driver #1 tested for Impairment and blood taken, DWI pending blood results. Citation issued."/>
  </r>
  <r>
    <n v="723140"/>
    <s v="02-USTH"/>
    <n v="71"/>
    <n v="396.858"/>
    <s v="Koochiching"/>
    <m/>
    <m/>
    <s v="D1-DULUTH"/>
    <s v="Virginia"/>
    <m/>
    <n v="19310645"/>
    <n v="191490171"/>
    <d v="2023-05-05T00:00:00"/>
    <n v="29"/>
    <x v="5"/>
    <s v="04-Wed"/>
    <n v="7"/>
    <s v="West"/>
    <x v="0"/>
    <n v="0"/>
    <n v="1"/>
    <m/>
    <s v="Overturn/Rollover"/>
    <s v="Not at Intersection or Interch"/>
    <s v="Daylight"/>
    <s v="Clear"/>
    <m/>
    <s v="Dry"/>
    <s v="NOT APPLICABLE"/>
    <s v="HWY 71"/>
    <m/>
    <s v="0200000000000071-I"/>
    <s v="Single Vehicle Run Off Road"/>
    <s v="Motor Vehicle in Transport"/>
    <s v="Medium / Heavy Trucks (More than 10,000lbs)"/>
    <s v="Westbound"/>
    <s v="Swerved or Attempt to Avoid Object in Roadway"/>
    <n v="29"/>
    <s v="Male"/>
    <s v="Apparently Normal"/>
    <s v="No Clear Contributing Action"/>
    <m/>
    <m/>
    <m/>
    <s v="Two-Way, Not Divided"/>
    <s v="No Controls"/>
    <n v="60"/>
    <s v="Straight"/>
    <s v="Level"/>
    <m/>
    <m/>
    <m/>
    <m/>
    <m/>
    <m/>
    <m/>
    <m/>
    <m/>
    <m/>
    <m/>
    <m/>
    <m/>
    <m/>
    <m/>
    <m/>
    <m/>
    <m/>
    <m/>
    <m/>
    <m/>
    <m/>
    <m/>
    <m/>
    <m/>
    <m/>
    <m/>
    <m/>
    <m/>
    <m/>
    <m/>
    <m/>
    <m/>
    <m/>
    <m/>
    <m/>
    <m/>
    <m/>
    <m/>
    <m/>
    <m/>
    <m/>
    <m/>
    <m/>
    <m/>
    <m/>
    <m/>
    <m/>
    <n v="446383.64899999998"/>
    <n v="5352685.5635000002"/>
    <n v="48.325090469999999"/>
    <n v="-93.723327639999994"/>
    <d v="2019-05-29T07:45:00"/>
    <s v="Accepted"/>
    <s v="Reportable"/>
    <s v="MN State Patrol District 3100 - Virginia"/>
    <s v="State Patrol"/>
    <s v="V1 TOWING LOADED TRIDEM AXLE LOGGING TRAILER (MN LICENSE 2592STL) WAS W/B HWY 71 AT MP 395 WHEN DEER ENTERED INTO TRAFFIC LANE STRIKING LEFT FRONT TIRE OF V1.  DEER WAS THEN STRUCK BY LEFT SIDE TIRES/AXLES OF TRAILER CAUSING TRAILER TO ELEVATING LEFT SIDE OF TRAILER.  TRAILER THEN JACKKNIFED TO THE RIGHT AND OVERTURNED ONTO ITS SIDE EJECTING LARGE PORTION OF LOAD LOGS FROM CRIB.  TRUCK AND TRAILER THEN ENTERED INTO THE E/B HWY 71 DITCH COMING TO FINAL REST IN DEEP WATER/MUCK FILLED DITCH.  EJECTED LOGS THEN STRUCK TRUCK.  ROCHES TOWING REMOVED TRUCK AND TRAILER FROM DITCH. CMV POST CRASH INSPECTION COMPLETED.  NO VIOLATIONS OR CITATIONS ISSUED. END OF REPORT."/>
  </r>
  <r>
    <n v="908955"/>
    <s v="02-USTH"/>
    <n v="71"/>
    <n v="397.73599999999999"/>
    <s v="Koochiching"/>
    <m/>
    <m/>
    <s v="D1-DULUTH"/>
    <s v="Virginia"/>
    <m/>
    <n v="21310502"/>
    <n v="211500111"/>
    <d v="2023-05-05T00:00:00"/>
    <n v="30"/>
    <x v="8"/>
    <s v="01-Sun"/>
    <n v="22"/>
    <s v="South"/>
    <x v="3"/>
    <n v="0"/>
    <n v="1"/>
    <m/>
    <s v="Ditch"/>
    <s v="Not at Intersection or Interch"/>
    <s v="Dark (No Str Lights)"/>
    <s v="Clear"/>
    <s v="Fog/Smog/Smoke"/>
    <s v="Dry"/>
    <s v="NOT APPLICABLE"/>
    <s v="HWY 71"/>
    <m/>
    <s v="0200000000000071-I"/>
    <s v="Single Vehicle Run Off Road"/>
    <s v="Motor Vehicle in Transport"/>
    <s v="Passenger Car"/>
    <s v="Southbound"/>
    <s v="Moving Forward"/>
    <n v="30"/>
    <s v="Female"/>
    <s v="Has Been Drinking Alcohol"/>
    <s v="Driver Speeding"/>
    <s v="Other Contributing Action"/>
    <m/>
    <m/>
    <s v="Two-Way, Not Divided"/>
    <s v="No Controls"/>
    <n v="60"/>
    <s v="Curve Left"/>
    <s v="Level"/>
    <m/>
    <m/>
    <m/>
    <m/>
    <m/>
    <m/>
    <m/>
    <m/>
    <m/>
    <m/>
    <m/>
    <m/>
    <m/>
    <m/>
    <m/>
    <m/>
    <m/>
    <m/>
    <m/>
    <m/>
    <m/>
    <m/>
    <m/>
    <m/>
    <m/>
    <m/>
    <m/>
    <m/>
    <m/>
    <m/>
    <m/>
    <m/>
    <m/>
    <m/>
    <m/>
    <m/>
    <m/>
    <m/>
    <m/>
    <m/>
    <m/>
    <m/>
    <m/>
    <m/>
    <m/>
    <m/>
    <m/>
    <m/>
    <n v="447292.37599999999"/>
    <n v="5353766.9990999997"/>
    <n v="48.334895469999999"/>
    <n v="-93.71120458"/>
    <d v="2021-05-30T22:42:00"/>
    <s v="Accepted"/>
    <s v="Reportable"/>
    <s v="MN State Patrol District 3100 - Virginia"/>
    <s v="State Patrol"/>
    <s v="VEH WAS TRAVELING SOUTHBOUND ON HWY 71 MILE POST 396. VEH VEERED OFF ROAD TO RIGHT AND TRAVELED IN DITCH FOR 1108 FEET. VEH ROLLED MULTIPLE TIMES COMING TO FINAL REST ON TIRES FACING WESTBOUND. DRIVER THEN TOOK OFF SEATBELT AND WALKED INTO THE WOODS WHERE DEPUTIES FOUND HER. _x000a__x000a_PHOTOS WERE TAKEN ON SCENE. _x000a__x000a_WIMMER'S TOWED VEHICLE._x000a__x000a_DRIVER WAS TRANSPORTED TO RAINEY LAKE MEDICAL CENTER BY GROUND THEN WAS FLOWN TO DULUTH ST MARYS HOSPITAL BY FIXED WING. _x000a__x000a_SEARCH WARRANT FOR BLOOD WAS TAKEN FROM DRIVER FOR ALCOHOL. PENDING RESULTS._x000a__x000a_NO GOOD STATEMENT WAS TAKEN DRIVER STATED SHE JUST WOKE UP TASTING BLOOD AND MUD. _x000a__x000a_CITATION WAS MAILED TO DRIVER."/>
  </r>
  <r>
    <n v="10963165"/>
    <s v="02-USTH"/>
    <n v="71"/>
    <n v="399.80399999999997"/>
    <s v="Koochiching"/>
    <m/>
    <m/>
    <s v="D1-DULUTH"/>
    <s v="Virginia"/>
    <m/>
    <n v="14310184"/>
    <n v="140300547"/>
    <d v="2023-01-01T00:00:00"/>
    <n v="24"/>
    <x v="6"/>
    <s v="06-Fri"/>
    <n v="11"/>
    <m/>
    <x v="0"/>
    <n v="0"/>
    <n v="1"/>
    <s v="RAN OFF RD-LEFT"/>
    <s v="Other - Non Fixed Object"/>
    <s v="Not at Intersection or Interch"/>
    <s v="Dark (No Str Lights)"/>
    <s v="Snow"/>
    <s v="Blowing Sand/Soil/Dirt/Snow"/>
    <s v="Ice/Frost"/>
    <s v="NOT APPLICABLE"/>
    <s v="HIGHWAY 71"/>
    <s v="MILEPOST 398"/>
    <s v="0200000000000071-I"/>
    <s v="Single Vehicle Run Off Road"/>
    <s v="Motor Vehicle in Transport"/>
    <s v="Passenger Car"/>
    <s v="Northbound"/>
    <s v="VEH STARTING FROM PARKED"/>
    <n v="18"/>
    <s v="Female"/>
    <s v="Apparently Normal"/>
    <m/>
    <m/>
    <m/>
    <m/>
    <s v="2-LANES 1-ECH-WY"/>
    <s v="Not Applicable"/>
    <n v="60"/>
    <s v="CURVE (pre 2016)"/>
    <s v="Level"/>
    <m/>
    <m/>
    <m/>
    <m/>
    <m/>
    <m/>
    <m/>
    <m/>
    <m/>
    <m/>
    <m/>
    <m/>
    <m/>
    <m/>
    <m/>
    <m/>
    <m/>
    <m/>
    <m/>
    <m/>
    <m/>
    <m/>
    <m/>
    <m/>
    <m/>
    <m/>
    <m/>
    <m/>
    <m/>
    <m/>
    <m/>
    <m/>
    <m/>
    <m/>
    <m/>
    <m/>
    <m/>
    <m/>
    <m/>
    <m/>
    <m/>
    <m/>
    <m/>
    <m/>
    <m/>
    <m/>
    <m/>
    <m/>
    <n v="449695.21580000001"/>
    <n v="5356044.3539000005"/>
    <n v="48.355578469999998"/>
    <n v="-93.679057020000002"/>
    <d v="2014-01-24T11:00:00"/>
    <s v="Accepted"/>
    <s v="Reportable"/>
    <s v="Unknown"/>
    <s v="Unknown"/>
    <s v="VEHICLE #1 WAS NORTH BOUND ON HIGHWAY 71 AT MILEPOST 398.4 WHEN  THE VEHICLE SPUN OUT AND WENT INTO THE SOUTH BOUND DITCH CAUSING  DAMAGE TO THE LEFT FRONT . THERE WERE 4 OTHER VEHICLES THAT WENT  OFF ROAD IN THE SAME AREA ALL AT ABOUT THE SAME TIME.ROAD WAS  GLARE ICE WITH SNOW OVER THE ICE IN THAT STRETCH. NO INJURY.NO  CHARGES FILED."/>
  </r>
  <r>
    <n v="771607"/>
    <s v="02-USTH"/>
    <n v="71"/>
    <n v="400.339"/>
    <s v="Koochiching"/>
    <m/>
    <m/>
    <s v="D1-DULUTH"/>
    <s v="Virginia"/>
    <m/>
    <n v="19311508"/>
    <n v="193460532"/>
    <d v="2023-12-12T00:00:00"/>
    <n v="12"/>
    <x v="5"/>
    <s v="05-Thu"/>
    <n v="12"/>
    <s v="South"/>
    <x v="3"/>
    <n v="0"/>
    <n v="1"/>
    <m/>
    <s v="Overturn/Rollover"/>
    <s v="Not at Intersection or Interch"/>
    <s v="Daylight"/>
    <s v="Clear"/>
    <m/>
    <s v="Ice/Frost"/>
    <s v="NOT APPLICABLE"/>
    <s v="HWY 71"/>
    <m/>
    <s v="0200000000000071-I"/>
    <s v="Single Vehicle Run Off Road"/>
    <s v="Motor Vehicle in Transport"/>
    <s v="Passenger Car"/>
    <s v="Southbound"/>
    <s v="Moving Forward"/>
    <n v="65"/>
    <s v="Female"/>
    <s v="Apparently Normal"/>
    <s v="Driver Speeding"/>
    <s v="Swerved or Avoided Due to Wind"/>
    <m/>
    <m/>
    <s v="Two-Way, Not Divided"/>
    <s v="No Controls"/>
    <n v="60"/>
    <s v="Straight"/>
    <s v="Level"/>
    <m/>
    <m/>
    <m/>
    <m/>
    <m/>
    <m/>
    <m/>
    <m/>
    <m/>
    <m/>
    <m/>
    <m/>
    <m/>
    <m/>
    <m/>
    <m/>
    <m/>
    <m/>
    <m/>
    <m/>
    <m/>
    <m/>
    <m/>
    <m/>
    <m/>
    <m/>
    <m/>
    <m/>
    <m/>
    <m/>
    <m/>
    <m/>
    <m/>
    <m/>
    <m/>
    <m/>
    <m/>
    <m/>
    <m/>
    <m/>
    <m/>
    <m/>
    <m/>
    <m/>
    <m/>
    <m/>
    <m/>
    <m/>
    <n v="450414.01459999999"/>
    <n v="5356537.6376999998"/>
    <n v="48.36007292"/>
    <n v="-93.66941301"/>
    <d v="2019-12-12T12:00:00"/>
    <s v="Accepted"/>
    <s v="Reportable"/>
    <s v="MN State Patrol District 3100 - Virginia"/>
    <s v="State Patrol"/>
    <s v="VEHICLE WAS SB HWY 71 AND CR 77. DRIVER STATED SHE DRIFTED ONTO THE SB SHOULDER WHERE VEHICLE HIT ICE/ SNOW. THE VEHICLE BEGAN TO SLIDE WHERE IT SLID ACROSS NB LANE OF TRAFFIC AND ENTERED THE NB DITCH. THE VEHICLE ROLLED AND CAME TO FINAL REST IN NB DITCH. _x000a__x000a_DEPUTY AND EMS WAS FIRST ON SCENE. _x000a__x000a_I ARRIVED ON SCENE WHERE I TOOK PHOTOS. _x000a__x000a_DRIVER WAS TRANSPORTED BY LITTLEFORK EMS TO INTERNATIONAL FALLS. _x000a__x000a_WHILE IN AMBULANCE I TOOK DRIVERS STATEMENT. DRIVER STATED SHE WAS OVER THE SPEED LIMIT APPROXIMATELY 70MPH IN 60MPH ZONE. _x000a__x000a_DRIVER WORE HER SEATBELT/ NO AIRBAGS WERE DEPLOYED. DRIVER STATED SHE WAS NOT DISTRACTED BY ANYTHING. NO SIGNS OF IMPAIRMENT._x000a__x000a_WIMMERS TOWED VEHICLE. _x000a__x000a_CITATION FOR DUTY TO DRIVE WITH DUE CARE."/>
  </r>
  <r>
    <n v="698045"/>
    <s v="02-USTH"/>
    <n v="71"/>
    <n v="402.55700000000002"/>
    <s v="Koochiching"/>
    <m/>
    <m/>
    <s v="D1-DULUTH"/>
    <s v="Virginia"/>
    <m/>
    <n v="19310356"/>
    <n v="190680390"/>
    <d v="2023-03-03T00:00:00"/>
    <n v="9"/>
    <x v="5"/>
    <s v="07-Sat"/>
    <n v="4"/>
    <s v="Not Applicable"/>
    <x v="0"/>
    <n v="0"/>
    <n v="1"/>
    <m/>
    <s v="Overturn/Rollover"/>
    <s v="Not at Intersection or Interch"/>
    <s v="Unknown"/>
    <s v="Cloudy"/>
    <m/>
    <s v="Wet"/>
    <s v="NOT APPLICABLE"/>
    <s v="HWY 71"/>
    <m/>
    <s v="0200000000000071-I"/>
    <s v="Single Vehicle Run Off Road"/>
    <s v="Motor Vehicle in Transport"/>
    <s v="Pickup"/>
    <s v="Southbound"/>
    <s v="Moving Forward"/>
    <n v="40"/>
    <s v="Female"/>
    <s v="Unknown"/>
    <s v="Other Contributing Action"/>
    <s v="Over Correcting / Over Steering"/>
    <m/>
    <m/>
    <s v="Two-Way, Not Divided"/>
    <s v="No Controls"/>
    <n v="60"/>
    <s v="Straight"/>
    <s v="Level"/>
    <m/>
    <m/>
    <m/>
    <m/>
    <m/>
    <m/>
    <m/>
    <m/>
    <m/>
    <m/>
    <m/>
    <m/>
    <m/>
    <m/>
    <m/>
    <m/>
    <m/>
    <m/>
    <m/>
    <m/>
    <m/>
    <m/>
    <m/>
    <m/>
    <m/>
    <m/>
    <m/>
    <m/>
    <m/>
    <m/>
    <m/>
    <m/>
    <m/>
    <m/>
    <m/>
    <m/>
    <m/>
    <m/>
    <m/>
    <m/>
    <m/>
    <m/>
    <m/>
    <m/>
    <m/>
    <m/>
    <m/>
    <m/>
    <n v="453284.63549999997"/>
    <n v="5358638.0546000004"/>
    <n v="48.379187360000003"/>
    <n v="-93.630895859999995"/>
    <d v="2019-03-09T04:30:00"/>
    <s v="Accepted"/>
    <s v="Reportable"/>
    <s v="MN State Patrol District 3100 - Virginia"/>
    <s v="State Patrol"/>
    <s v="VEH #1 was SB on 71 the roads were wet and the temp was cold. The driver of Veh#1 never called to report the crash, I tracked the driver down through the tow truck company when the driver stopped to pick up the Veh. (several days later) she left her info.  Driver #1 said she was SB and swerved to miss a deer that was WB. Driver #1 said she swerved to miss the deer and lost control, then left the road to the left and rolled into the ditch, no injuries reported, Roaches of Int'l falls towed._x000a__x000a_ Driver#1 said she would provide proof of insurance, I have not seen it yet, its been 6 days. Driver #1 said she borrowed the veh. and was disorientated thats why she never called to report it. I am sending her a citation for no proof of insurance."/>
  </r>
  <r>
    <n v="11058321"/>
    <s v="02-USTH"/>
    <n v="71"/>
    <n v="403.24099999999999"/>
    <s v="Koochiching"/>
    <m/>
    <m/>
    <s v="D1-DULUTH"/>
    <s v="Virginia"/>
    <m/>
    <n v="15310629"/>
    <n v="151590264"/>
    <d v="2023-03-03T00:00:00"/>
    <n v="21"/>
    <x v="1"/>
    <s v="07-Sat"/>
    <n v="18"/>
    <s v="South"/>
    <x v="0"/>
    <n v="0"/>
    <n v="1"/>
    <s v="RAN OFF RD-RIGHT"/>
    <s v="Standing Tree/Shrubbery"/>
    <s v="Not at Intersection or Interch"/>
    <s v="Daylight"/>
    <s v="Clear"/>
    <s v="Clear"/>
    <s v="Dry"/>
    <s v="NOT APPLICABLE"/>
    <s v="71 HWY"/>
    <s v="WISNER TRL"/>
    <s v="0200000000000071-I"/>
    <s v="Single Vehicle Run Off Road"/>
    <s v="Motor Vehicle in Transport"/>
    <s v="Passenger Car"/>
    <s v="Southbound"/>
    <s v="Moving Forward"/>
    <n v="48"/>
    <s v="Male"/>
    <s v="Apparently Normal"/>
    <s v="Inattentive/Distraction (Talking, Eating)"/>
    <m/>
    <m/>
    <m/>
    <s v="2-LANES 1-ECH-WY"/>
    <s v="Not Applicable"/>
    <n v="60"/>
    <s v="Straight"/>
    <s v="Level"/>
    <m/>
    <m/>
    <m/>
    <m/>
    <m/>
    <m/>
    <m/>
    <m/>
    <m/>
    <m/>
    <m/>
    <m/>
    <m/>
    <m/>
    <m/>
    <m/>
    <m/>
    <m/>
    <m/>
    <m/>
    <m/>
    <m/>
    <m/>
    <m/>
    <m/>
    <m/>
    <m/>
    <m/>
    <m/>
    <m/>
    <m/>
    <m/>
    <m/>
    <m/>
    <m/>
    <m/>
    <m/>
    <m/>
    <m/>
    <m/>
    <m/>
    <m/>
    <m/>
    <m/>
    <m/>
    <m/>
    <m/>
    <m/>
    <n v="454262.11379999999"/>
    <n v="5359082.0849000001"/>
    <n v="48.383253519999997"/>
    <n v="-93.617744220000006"/>
    <d v="2015-03-21T18:38:00"/>
    <s v="Accepted"/>
    <s v="Reportable"/>
    <s v="Unknown"/>
    <s v="Unknown"/>
    <s v="VEH 1 WAS TRAVELING SB HWY 71 NEAR MP 392 WHEN THE DRIVER FELL ASLEEP, RUNNING OFF THE RIGHT SIDE OF THE ROAD, OVER A DRIVEWAY, THROUGH SEVERAL TREES/SHRUBS, AND FINALLY COMING TO REST APPROXIMATED 50 FEET TO THE SOUTH OF THE DRIVEWAY OF 6605 HWY 71. THE DRIVER ADMITTED TO DISPATCH AND MYSELF THAT HE DOZED OFF AND WAS COMING HOME FROM WORK. AIRBAGS DID DEPLOY AND HE WAS WEARING HIS SEATBELT. THERE WAS HEAVY DAMAGE TO MULTIPLE AREAS OF THE VEHICLE. PARTS WERE STREWN THROUGHOUT THE ENTIRE SCENE WITH MOST OF THE DEBRIS TOWARDS THE FINAL RESTING POINT OF THE VEHICLE. THE VEHICLE WAS LEFT ON SCENE WITH THE PERMISSION OF THE LAND OWNER AND WILL BE REMOVED BY A PRIVATE PARTY. THE DRIVER WAS CITED FOR DUTY TO DRIVE WITH DUE CARE AND EXPIRED PROOF OF INSURANCE."/>
  </r>
  <r>
    <n v="397529"/>
    <s v="02-USTH"/>
    <n v="71"/>
    <n v="405.09399999999999"/>
    <s v="Koochiching"/>
    <m/>
    <m/>
    <s v="D1-DULUTH"/>
    <s v="Virginia"/>
    <m/>
    <n v="16311387"/>
    <n v="163270440"/>
    <d v="2023-11-11T00:00:00"/>
    <n v="22"/>
    <x v="7"/>
    <s v="03-Tues"/>
    <n v="16"/>
    <s v="North"/>
    <x v="4"/>
    <n v="2"/>
    <n v="2"/>
    <s v="Other"/>
    <s v="Motor Vehicle In Transport"/>
    <s v="Not at Intersection or Interch"/>
    <s v="Sunset"/>
    <s v="Snow"/>
    <s v="Cloudy"/>
    <s v="Slush"/>
    <s v="NOT APPLICABLE"/>
    <s v="HWY 71"/>
    <m/>
    <s v="0200000000000071-I"/>
    <s v="Other"/>
    <s v="Motor Vehicle in Transport"/>
    <s v="Medium / Heavy Trucks (More than 10,000lbs)"/>
    <s v="Southbound"/>
    <s v="Moving Forward"/>
    <n v="59"/>
    <s v="Male"/>
    <s v="Apparently Normal"/>
    <s v="No Clear Contributing Action"/>
    <m/>
    <m/>
    <m/>
    <s v="Two-Way, Not Divided"/>
    <s v="No Controls"/>
    <n v="60"/>
    <s v="Straight"/>
    <s v="Level"/>
    <s v="Motor Vehicle in Transport"/>
    <s v="Passenger Car"/>
    <s v="Northbound"/>
    <s v="Moving Forward"/>
    <n v="40"/>
    <s v="Female"/>
    <s v="Unknown"/>
    <s v="Driver Speeding"/>
    <s v="Over Correcting / Over Steering"/>
    <m/>
    <m/>
    <s v="Two-Way, Not Divided"/>
    <s v="No Controls"/>
    <n v="60"/>
    <s v="Straight"/>
    <s v="Level"/>
    <m/>
    <m/>
    <m/>
    <m/>
    <m/>
    <m/>
    <m/>
    <m/>
    <m/>
    <m/>
    <m/>
    <m/>
    <m/>
    <m/>
    <m/>
    <m/>
    <m/>
    <m/>
    <m/>
    <m/>
    <m/>
    <m/>
    <m/>
    <m/>
    <m/>
    <m/>
    <m/>
    <m/>
    <m/>
    <m/>
    <m/>
    <m/>
    <n v="456949.12040000001"/>
    <n v="5360240.5810000002"/>
    <n v="48.393864610000001"/>
    <n v="-93.581574250000003"/>
    <d v="2016-11-22T16:09:00"/>
    <s v="Accepted"/>
    <s v="Reportable"/>
    <s v="MN State Patrol District 3100 - Virginia"/>
    <s v="State Patrol"/>
    <s v="Veh1 (logging truck) was traveling southbound on Hwy 71. Veh2 was traveling northbound on Hwy 71. _x000a__x000a_At MP403, veh2 was driving too fast for the roadway conditions (snow covered/slippery)and over corrected, causing veh 2 to slide sideways into the southbound traffic lane. Veh1, not having anytime to react, collided with the passenger side of veh2, pushing veh2 into the ditch where it came to final rest. _x000a__x000a_Both driver and passenger of veh2 were killed in the crash. _x000a__x000a_All vehicles were towed by Roche's towing. Driver of veh1 was transported to Rainey Lake Medical Center for a medical exam and was released the same night, with minor injuries. Both driver and passenger of veh2 were transported to Green Larsen funeral home, in International Falls. _x000a__x000a_The medical examiner was unable to obtain a blood sample from either deceased party, due to the extent of injuries to both and a lack of blood to draw. As a result, alcohol and drug testing was not able to be completed on either deceased party. _x000a__x000a_On 12/2/2016, I contacted the family, who has no insurance info for veh 2 at this time. I contacted Progressive, State farm, and American Family and they all have no policy listed for veh2. I also went to the International Falls License Bureau to check if they had insurance information from re-newing the registration, with negative results. It is likely that veh2 is not insured. The report will be updated if insurance information is received on veh2.  _x000a__x000a_A CMV inspection was completed on V1.  No charges are pending on the driver of veh1."/>
  </r>
  <r>
    <n v="1080060"/>
    <s v="02-USTH"/>
    <n v="71"/>
    <n v="405.68400000000003"/>
    <s v="Koochiching"/>
    <m/>
    <m/>
    <s v="D1-DULUTH"/>
    <s v="Virginia"/>
    <m/>
    <n v="23310170"/>
    <n v="230380183"/>
    <d v="2023-02-02T00:00:00"/>
    <n v="7"/>
    <x v="9"/>
    <s v="03-Tues"/>
    <n v="13"/>
    <s v="West"/>
    <x v="0"/>
    <n v="0"/>
    <n v="2"/>
    <s v="Angle"/>
    <s v="Motor Vehicle In Transport"/>
    <s v="T Intersection"/>
    <s v="Daylight"/>
    <s v="Clear"/>
    <m/>
    <s v="Wet"/>
    <s v="NOT APPLICABLE"/>
    <s v="HWY 71"/>
    <n v="65"/>
    <s v="0200000000000071-I"/>
    <s v="Angle"/>
    <s v="Motor Vehicle in Transport"/>
    <s v="Passenger Car"/>
    <s v="Westbound"/>
    <s v="Turning Left"/>
    <n v="77"/>
    <s v="Male"/>
    <s v="Apparently Normal"/>
    <s v="Failure to Yield Right-of-Way"/>
    <m/>
    <m/>
    <m/>
    <s v="Two-Way, Not Divided"/>
    <s v="Stop Sign"/>
    <n v="60"/>
    <s v="Straight"/>
    <s v="Level"/>
    <s v="Motor Vehicle in Transport"/>
    <s v="Medium / Heavy Trucks (More than 10,000lbs)"/>
    <s v="Southbound"/>
    <s v="Slowing"/>
    <n v="56"/>
    <s v="Male"/>
    <s v="Apparently Normal"/>
    <s v="No Clear Contributing Action"/>
    <m/>
    <m/>
    <m/>
    <s v="Two-Way, Not Divided"/>
    <s v="No Controls"/>
    <n v="60"/>
    <s v="Curve Right"/>
    <s v="Level"/>
    <m/>
    <m/>
    <m/>
    <m/>
    <m/>
    <m/>
    <m/>
    <m/>
    <m/>
    <m/>
    <m/>
    <m/>
    <m/>
    <m/>
    <m/>
    <m/>
    <m/>
    <m/>
    <m/>
    <m/>
    <m/>
    <m/>
    <m/>
    <m/>
    <m/>
    <m/>
    <m/>
    <m/>
    <m/>
    <m/>
    <m/>
    <m/>
    <n v="457512.08250000002"/>
    <n v="5360988.9478000002"/>
    <n v="48.400635190000003"/>
    <n v="-93.574045440000006"/>
    <d v="2023-02-07T13:33:00"/>
    <s v="Accepted"/>
    <s v="Reportable"/>
    <s v="MN State Patrol District 3100 - Virginia"/>
    <s v="State Patrol"/>
    <s v="On 02/07/2022 at approximately 13:33 unit #1 was traveling West on HWY 65 near Littlefork Minnesota. Unit #1 approached the intersection of HWY 65 and HWY 71. Unit #2 was traveling South on HWY 71. The driver of unit #2 saw a plow truck ahead of him making him reduce his speed. Unit #1 made a complete stop at the stop sign before turning left and entering the lane of traffic on HWY 71 South. Unit #2 collided with unit #1 front to side, striking the front passenger side of unit #1. Unit #1 turned 180 degrees, landing in the right turn lane of HWY 71 facing North. Unit #2 ran off the road to the right into the south bound ditch.The driver of unit #1 stated that he looked both directions before entering the highway but did not look to his right a second time before proceeding through the intersection. _x000a__x000a_No injuries._x000a_Both units towed by Roches Towing._x000a_CMV inspection waived._x000a_Citation issued to the driver of unit #1 for failing to yield at entrance of through HWY after having stopped._x000a_The weather was sunny, roads were wet, and it was approximately 31 degrees."/>
  </r>
  <r>
    <n v="773126"/>
    <s v="02-USTH"/>
    <n v="71"/>
    <n v="405.70600000000002"/>
    <s v="Koochiching"/>
    <m/>
    <m/>
    <s v="D1-DULUTH"/>
    <s v="Virginia"/>
    <m/>
    <n v="19311552"/>
    <n v="193530259"/>
    <d v="2023-12-12T00:00:00"/>
    <n v="19"/>
    <x v="5"/>
    <s v="05-Thu"/>
    <n v="15"/>
    <s v="North"/>
    <x v="0"/>
    <n v="0"/>
    <n v="2"/>
    <s v="Sideswipe - Opposing"/>
    <s v="Motor Vehicle In Transport"/>
    <s v="T Intersection"/>
    <s v="Daylight"/>
    <s v="Clear"/>
    <m/>
    <s v="Wet"/>
    <s v="NOT APPLICABLE"/>
    <s v="HWY 71"/>
    <m/>
    <s v="0200000000000071-I"/>
    <s v="Sideswipe Opposing"/>
    <s v="Motor Vehicle in Transport"/>
    <s v="Medium / Heavy Trucks (More than 10,000lbs)"/>
    <s v="Northbound"/>
    <s v="Moving Forward"/>
    <n v="68"/>
    <s v="Male"/>
    <s v="Apparently Normal"/>
    <s v="Other Contributing Action"/>
    <m/>
    <m/>
    <m/>
    <s v="Two-Way, Not Divided"/>
    <s v="Stop Sign"/>
    <n v="60"/>
    <s v="Straight"/>
    <s v="Level"/>
    <s v="Motor Vehicle in Transport"/>
    <s v="Medium / Heavy Trucks (More than 10,000lbs)"/>
    <s v="Southbound"/>
    <s v="Moving Forward"/>
    <n v="57"/>
    <s v="Male"/>
    <s v="Apparently Normal"/>
    <s v="No Clear Contributing Action"/>
    <m/>
    <m/>
    <m/>
    <s v="Two-Way, Not Divided"/>
    <s v="No Controls"/>
    <n v="60"/>
    <s v="Straight"/>
    <s v="Level"/>
    <m/>
    <m/>
    <m/>
    <m/>
    <m/>
    <m/>
    <m/>
    <m/>
    <m/>
    <m/>
    <m/>
    <m/>
    <m/>
    <m/>
    <m/>
    <m/>
    <m/>
    <m/>
    <m/>
    <m/>
    <m/>
    <m/>
    <m/>
    <m/>
    <m/>
    <m/>
    <m/>
    <m/>
    <m/>
    <m/>
    <m/>
    <m/>
    <n v="457540.86369999999"/>
    <n v="5361027.6785000004"/>
    <n v="48.400985550000001"/>
    <n v="-93.573660529999998"/>
    <d v="2019-12-19T15:29:00"/>
    <s v="Accepted"/>
    <s v="Reportable"/>
    <s v="MN State Patrol District 3100 - Virginia"/>
    <s v="State Patrol"/>
    <s v="Veh #1 WB Hwy 65 turning to north bound Hwy 71. Veh #2 SB on Hwy 71. Weather cloudy to clear, roads clear with wet spots._x000a_Driver #2 saw #1 turning with wide load , #2 moved onto shoulder / passing lane to give #1 room. Veh #1 turned onto NB Hwy 71 , when #1 turned the boom on the logging equipment swung out and hit the rear of the cab on #2 and then hit the trailer of #2 in several places on the left side. Moderate damage to the trailer , light damage to the truck of #2. No real damage to #1. Pics taken, no injuries no tows. waivers given to both, no CVI available. # 1 cited for permit violation over width and fail to secure load correctly."/>
  </r>
  <r>
    <n v="1031471"/>
    <s v="02-USTH"/>
    <n v="71"/>
    <n v="406.11"/>
    <s v="Koochiching"/>
    <m/>
    <m/>
    <s v="D1-DULUTH"/>
    <s v="Virginia"/>
    <m/>
    <n v="22310833"/>
    <n v="221800164"/>
    <d v="2023-06-06T00:00:00"/>
    <n v="29"/>
    <x v="2"/>
    <s v="04-Wed"/>
    <n v="14"/>
    <m/>
    <x v="0"/>
    <n v="0"/>
    <n v="2"/>
    <s v="Sideswipe - Same Direction"/>
    <s v="Motor Vehicle In Transport"/>
    <s v="Not at Intersection or Interch"/>
    <s v="Daylight"/>
    <s v="Rain"/>
    <m/>
    <s v="Wet"/>
    <s v="NOT APPLICABLE"/>
    <s v="HWY 71"/>
    <m/>
    <s v="0200000000000071-I"/>
    <s v="Sideswipe Same Direction"/>
    <s v="Motor Vehicle in Transport"/>
    <s v="Medium / Heavy Trucks (More than 10,000lbs)"/>
    <s v="Northbound"/>
    <s v="Turning Left"/>
    <n v="19"/>
    <s v="Male"/>
    <s v="Apparently Normal"/>
    <s v="Improper Turn/Merge"/>
    <m/>
    <m/>
    <m/>
    <s v="Two-Way, Not Divided"/>
    <s v="No Controls"/>
    <n v="60"/>
    <s v="Straight"/>
    <s v="Level"/>
    <s v="Motor Vehicle in Transport"/>
    <s v="Medium / Heavy Trucks (More than 10,000lbs)"/>
    <s v="Northbound"/>
    <s v="Moving Forward"/>
    <n v="66"/>
    <s v="Male"/>
    <s v="Apparently Normal"/>
    <s v="Improper Passing"/>
    <m/>
    <m/>
    <m/>
    <s v="Two-Way, Not Divided"/>
    <s v="No Controls"/>
    <n v="60"/>
    <s v="Straight"/>
    <s v="Uphill"/>
    <m/>
    <m/>
    <m/>
    <m/>
    <m/>
    <m/>
    <m/>
    <m/>
    <m/>
    <m/>
    <m/>
    <m/>
    <m/>
    <m/>
    <m/>
    <m/>
    <m/>
    <m/>
    <m/>
    <m/>
    <m/>
    <m/>
    <m/>
    <m/>
    <m/>
    <m/>
    <m/>
    <m/>
    <m/>
    <m/>
    <m/>
    <m/>
    <n v="457763.49910000002"/>
    <n v="5361612.2307000002"/>
    <n v="48.406259200000001"/>
    <n v="-93.570711560000007"/>
    <d v="2022-06-29T14:40:00"/>
    <s v="Accepted"/>
    <s v="Reportable"/>
    <s v="MN State Patrol District 3100 - Virginia"/>
    <s v="State Patrol"/>
    <s v="VEH1 WAS TRAVELING NORTHBOUND ON HWY 71. VEH2 WAS TRAVELING NORTHBOUND BEHIND VEH1. VEH1 HAD FLASHERS ON. VEH1 ATTEMPTED TO TURN LEFT INTO DRIVEWAY WHEN VEH2 ATTEMPTED TO PASS ON THE LEFT. VEH2 COLLIDED WITH VEH1 ON DRIVERS SIDE. VEH2 SWERVED AND RAN OFF ROAD ENTERING THE SOUTHBOUND DITCH. _x000a__x000a_STATEMENTS WERE TAKEN. PHOTOS OF CRASH. BWC WAS ON.  _x000a__x000a_VEH1 SEATBELTS WERE WORN, NO DISTRACTIONS, NO INJURIES, NO AIRBAGS. _x000a__x000a_VEH2 SEATBELTS WERE WORN, NO DISTRACTION, DRIVER WAS CHECKED OUT BY EMS AND WAS CLEARED, AIRBAGS DEPLOYED COMBINATION. _x000a__x000a_ROCHES TOWED VEH1 TO NAGURSKI TRANSPORT. _x000a__x000a_ARMORY SHELL TOWED VEH2 TO NAGURSKI TRANSPORT, TOW HAD TO REMOVED TRAILER FROM TRACTOR TO MOVE UNIT. I ADVISED THAT REMOVING TRAILER FROM TRACTOR IT WOULD HINDER INSPECTION. _x000a__x000a_NO CITATIONS. _x000a__x000a_INSPECTION DONE ON 06/30/22. BY 584, 1721."/>
  </r>
  <r>
    <n v="10911752"/>
    <s v="02-USTH"/>
    <n v="71"/>
    <n v="406.25700000000001"/>
    <s v="Koochiching"/>
    <m/>
    <m/>
    <s v="D1-DULUTH"/>
    <s v="Virginia"/>
    <m/>
    <n v="13311784"/>
    <n v="133330183"/>
    <d v="2023-11-11T00:00:00"/>
    <n v="26"/>
    <x v="3"/>
    <s v="03-Tues"/>
    <n v="17"/>
    <m/>
    <x v="0"/>
    <n v="0"/>
    <n v="1"/>
    <s v="RAN OFF RD-RIGHT"/>
    <s v="Overturn/Rollover"/>
    <s v="Not at Intersection or Interch"/>
    <s v="Dark (No Str Lights)"/>
    <s v="Clear"/>
    <m/>
    <s v="Snow"/>
    <s v="NOT APPLICABLE"/>
    <s v="71 HWY"/>
    <s v="MM 404"/>
    <s v="0200000000000071-I"/>
    <s v="Single Vehicle Run Off Road"/>
    <s v="Motor Vehicle in Transport"/>
    <s v="Pickup"/>
    <s v="Northbound"/>
    <s v="VEH STARTING FROM PARKED"/>
    <n v="19"/>
    <s v="Male"/>
    <s v="Apparently Normal"/>
    <s v="DRIVR INXPERENCE"/>
    <m/>
    <m/>
    <m/>
    <s v="2-LANES 1-ECH-WY"/>
    <s v="Not Applicable"/>
    <n v="60"/>
    <s v="Straight"/>
    <s v="Level"/>
    <m/>
    <m/>
    <m/>
    <m/>
    <m/>
    <m/>
    <m/>
    <m/>
    <m/>
    <m/>
    <m/>
    <m/>
    <m/>
    <m/>
    <m/>
    <m/>
    <m/>
    <m/>
    <m/>
    <m/>
    <m/>
    <m/>
    <m/>
    <m/>
    <m/>
    <m/>
    <m/>
    <m/>
    <m/>
    <m/>
    <m/>
    <m/>
    <m/>
    <m/>
    <m/>
    <m/>
    <m/>
    <m/>
    <m/>
    <m/>
    <m/>
    <m/>
    <m/>
    <m/>
    <m/>
    <m/>
    <m/>
    <m/>
    <n v="457787.37839999999"/>
    <n v="5361848.1896000002"/>
    <n v="48.40838351"/>
    <n v="-93.570412649999994"/>
    <d v="2013-11-26T17:09:00"/>
    <s v="Accepted"/>
    <s v="Reportable"/>
    <s v="Unknown"/>
    <s v="Unknown"/>
    <s v="DRIVER WAS NORTH BOUND ON HWY 71 WHEN THE GROCERIES IN THE BACK   SEAT TIPPED OVER.  HE STOPPED ON THE SHOULDER WHICH WAS SNOW  COVERED.  WHEN HE STARTED FORWARD AGAIN THE REAR END OF THE TRUCK SLID INTO THE DITCH.  HE THEN PUT THE TRUCK IN 4 WHEEL DRIVE AND WAS STILL SLIDING SIDEWAYS IN THE DITCH WHEN HE CAUGHT A LARGE  RUT WHICH CAUSED THE TRUCK TO FLIP OVER IN THE STEEP DITCH.  THE DRIVER WAS NOT INJURED.  DAMAGE TO MULTIPLE AREAS OF THE TRUCK.   TOWED BY WHIMMER`S OF LITTLEFORK."/>
  </r>
  <r>
    <n v="731915"/>
    <s v="02-USTH"/>
    <n v="71"/>
    <n v="407.26600000000002"/>
    <s v="Koochiching"/>
    <m/>
    <m/>
    <s v="D1-DULUTH"/>
    <s v="Virginia"/>
    <m/>
    <n v="19310761"/>
    <n v="191810202"/>
    <d v="2023-06-06T00:00:00"/>
    <n v="30"/>
    <x v="5"/>
    <s v="01-Sun"/>
    <n v="22"/>
    <s v="South"/>
    <x v="4"/>
    <n v="1"/>
    <n v="1"/>
    <m/>
    <s v="Pedestrian"/>
    <s v="Not at Intersection or Interch"/>
    <s v="Dark (No Str Lights)"/>
    <s v="Clear"/>
    <m/>
    <s v="Dry"/>
    <s v="NOT APPLICABLE"/>
    <s v="HWY 71"/>
    <m/>
    <s v="0200000000000071-I"/>
    <s v="Pedestrian"/>
    <s v="Motor Vehicle in Transport"/>
    <s v="Passenger Car"/>
    <s v="Southbound"/>
    <s v="Swerved or Attempt to Avoid Object in Roadway"/>
    <n v="38"/>
    <s v="Male"/>
    <s v="Apparently Normal"/>
    <s v="Driver Speeding"/>
    <s v="Swerved or Avoided Due to Wind"/>
    <m/>
    <m/>
    <s v="Two-Way, Not Divided"/>
    <s v="No Controls"/>
    <n v="60"/>
    <s v="Straight"/>
    <s v="Level"/>
    <s v="Pedestrian"/>
    <m/>
    <m/>
    <m/>
    <n v="18"/>
    <s v="Female"/>
    <s v="Unknown"/>
    <s v="Other Contributing Action"/>
    <m/>
    <s v="Walk/Cycle With Traffic"/>
    <s v="Travel Lane - Other Location"/>
    <m/>
    <m/>
    <m/>
    <m/>
    <m/>
    <m/>
    <m/>
    <m/>
    <m/>
    <m/>
    <m/>
    <m/>
    <m/>
    <m/>
    <m/>
    <m/>
    <m/>
    <m/>
    <m/>
    <m/>
    <m/>
    <m/>
    <m/>
    <m/>
    <m/>
    <m/>
    <m/>
    <m/>
    <m/>
    <m/>
    <m/>
    <m/>
    <m/>
    <m/>
    <m/>
    <m/>
    <m/>
    <n v="457838.73639999999"/>
    <n v="5363479.8881999999"/>
    <n v="48.423065860000001"/>
    <n v="-93.569882739999997"/>
    <d v="2019-06-30T22:22:00"/>
    <s v="Accepted"/>
    <s v="Reportable"/>
    <s v="MN State Patrol District 3100 - Virginia"/>
    <s v="State Patrol"/>
    <s v="Veh#1 was SB on Hwy 71, the weather was clear and dry. Driver #1 is a volunteer firefighter who was responding to a vehicle fire on hwy 71, at mile post 406, in his personal vehicle. Driver #1 stated he was going about 80 MPH with his four way flashers on.  Driver #1 stated he saw the vehicle that was on fire on the north side of the bridge facing NB at the 406 mile post. Driver #1 saw 2 pedestrians on the right shoulder and a vehicle on the right shoulder parked with a flashlight or phone. Driver #1 said he was distracted by the other 2 pedestrians on the right shoulder  with a flashlight. Driver #1 said he slowed down when he saw the car on fire but then he sped up as he went by the pedestrians to 80 MPH. Driver #1 stated he had switched lanes to avoid the pedestrians on the shoulder and thats when he struck the pedestrian in the center of the roadway. Driver #1 stated he had his high beams on at the time of the crash. Driver #1 reported no injuries and had no signs of drug or alcohol use.  A re-constructionist was called and arrived on scene that night to process the scene. The crash is still under investigation. All charges are pending. There were several witnesses. One of the pedestrian witnesses that was with the victim stated she ran out in the road to flag down a north bound vehicle for more help, and thats when she was hit by driver #1 near the centerline."/>
  </r>
  <r>
    <n v="731666"/>
    <s v="02-USTH"/>
    <n v="71"/>
    <n v="407.72300000000001"/>
    <s v="Koochiching"/>
    <m/>
    <m/>
    <s v="D1-DULUTH"/>
    <s v="Virginia"/>
    <m/>
    <n v="19310777"/>
    <n v="191840219"/>
    <d v="2023-07-07T00:00:00"/>
    <n v="3"/>
    <x v="5"/>
    <s v="04-Wed"/>
    <n v="16"/>
    <s v="South"/>
    <x v="3"/>
    <n v="0"/>
    <n v="2"/>
    <s v="Angle"/>
    <s v="Motor Vehicle In Transport"/>
    <s v="Four-Way Intersection"/>
    <s v="Daylight"/>
    <s v="Clear"/>
    <m/>
    <s v="Dry"/>
    <s v="NOT APPLICABLE"/>
    <s v="HWY 71"/>
    <m/>
    <s v="0200000000000071-I"/>
    <s v="Angle"/>
    <s v="Motor Vehicle in Transport"/>
    <s v="Pickup"/>
    <s v="Southbound"/>
    <s v="Moving Forward"/>
    <n v="61"/>
    <s v="Male"/>
    <s v="Apparently Normal"/>
    <s v="No Clear Contributing Action"/>
    <m/>
    <m/>
    <m/>
    <s v="Two-Way, Not Divided"/>
    <s v="No Controls"/>
    <n v="55"/>
    <s v="Straight"/>
    <s v="Level"/>
    <s v="Motor Vehicle in Transport"/>
    <s v="Sport Utility Vehicle"/>
    <s v="Westbound"/>
    <s v="Moving Forward"/>
    <n v="82"/>
    <s v="Male"/>
    <s v="Apparently Normal"/>
    <s v="Failure to Yield Right-of-Way"/>
    <m/>
    <m/>
    <m/>
    <s v="Two-Way, Not Divided"/>
    <s v="Stop Sign"/>
    <n v="55"/>
    <s v="Straight"/>
    <s v="Level"/>
    <m/>
    <m/>
    <m/>
    <m/>
    <m/>
    <m/>
    <m/>
    <m/>
    <m/>
    <m/>
    <m/>
    <m/>
    <m/>
    <m/>
    <m/>
    <m/>
    <m/>
    <m/>
    <m/>
    <m/>
    <m/>
    <m/>
    <m/>
    <m/>
    <m/>
    <m/>
    <m/>
    <m/>
    <m/>
    <m/>
    <m/>
    <m/>
    <n v="457822.2794"/>
    <n v="5364216.4057"/>
    <n v="48.429690520000001"/>
    <n v="-93.570179280000005"/>
    <d v="2019-07-03T16:43:00"/>
    <s v="Accepted"/>
    <s v="Reportable"/>
    <s v="MN State Patrol District 3100 - Virginia"/>
    <s v="State Patrol"/>
    <s v="Veh#1 was traveling west on Koochiching County Rd 22 and stopped at the State Highway 71 intersection.  Veh#2 was traveling southbound on State Highway 71.  Veh#1 proceeded through the intersection colliding with the driver's side door/box area of the vehicle. Veh#2 collided with the southbound ditch.  Driver #1 stated he did not see Veh#2. Driver #2 stated that Veh#1 pulled up to the intersection then proceeded through. _x000a__x000a_All parties were reported to be wearing their seat belts and alcohol was not a factor."/>
  </r>
  <r>
    <n v="11055564"/>
    <s v="02-USTH"/>
    <n v="71"/>
    <n v="407.952"/>
    <s v="Koochiching"/>
    <m/>
    <m/>
    <s v="D1-DULUTH"/>
    <s v="Virginia"/>
    <m/>
    <m/>
    <n v="151170058"/>
    <d v="2023-03-03T00:00:00"/>
    <n v="24"/>
    <x v="1"/>
    <s v="03-Tues"/>
    <n v="22"/>
    <m/>
    <x v="0"/>
    <n v="0"/>
    <n v="1"/>
    <s v="HEAD-ON"/>
    <s v="COL ANML NOT DER"/>
    <m/>
    <s v="Dark (No Str Lights)"/>
    <s v="Clear"/>
    <m/>
    <s v="Dry"/>
    <s v="NOT APPLICABLE"/>
    <m/>
    <m/>
    <s v="0200000000000071-I"/>
    <s v="Single Vehicle Other"/>
    <s v="Motor Vehicle in Transport"/>
    <s v="Passenger Car"/>
    <s v="Southbound"/>
    <s v="Moving Forward"/>
    <n v="66"/>
    <s v="Female"/>
    <m/>
    <m/>
    <m/>
    <m/>
    <m/>
    <m/>
    <s v="Not Applicable"/>
    <n v="60"/>
    <m/>
    <m/>
    <m/>
    <m/>
    <m/>
    <m/>
    <m/>
    <m/>
    <m/>
    <m/>
    <m/>
    <m/>
    <m/>
    <m/>
    <m/>
    <m/>
    <m/>
    <m/>
    <m/>
    <m/>
    <m/>
    <m/>
    <m/>
    <m/>
    <m/>
    <m/>
    <m/>
    <m/>
    <m/>
    <m/>
    <m/>
    <m/>
    <m/>
    <m/>
    <m/>
    <m/>
    <m/>
    <m/>
    <m/>
    <m/>
    <m/>
    <m/>
    <m/>
    <m/>
    <m/>
    <m/>
    <m/>
    <m/>
    <m/>
    <m/>
    <n v="457814.33610000001"/>
    <n v="5364571.9001000002"/>
    <n v="48.432888040000002"/>
    <n v="-93.570322439999998"/>
    <d v="2015-03-24T22:15:00"/>
    <s v="Accepted"/>
    <s v="Reportable"/>
    <s v="Unknown"/>
    <s v="Unknown"/>
    <m/>
  </r>
  <r>
    <n v="10961650"/>
    <s v="02-USTH"/>
    <n v="71"/>
    <n v="408.41199999999998"/>
    <s v="Koochiching"/>
    <m/>
    <m/>
    <s v="D1-DULUTH"/>
    <s v="Virginia"/>
    <m/>
    <n v="14310070"/>
    <n v="140170328"/>
    <d v="2023-01-01T00:00:00"/>
    <n v="9"/>
    <x v="6"/>
    <s v="05-Thu"/>
    <n v="14"/>
    <s v="North"/>
    <x v="0"/>
    <n v="0"/>
    <n v="1"/>
    <s v="RAN OFF RD-RIGHT"/>
    <s v="EMBANKMT/DTCH/CB"/>
    <s v="Not at Intersection or Interch"/>
    <s v="Daylight"/>
    <s v="Cloudy"/>
    <m/>
    <s v="Wet"/>
    <s v="NOT APPLICABLE"/>
    <s v="399 HWY 71"/>
    <n v="79"/>
    <s v="0200000000000071-I"/>
    <s v="Single Vehicle Run Off Road"/>
    <s v="Motor Vehicle in Transport"/>
    <s v="TRK TRAC W SEMI"/>
    <s v="Northbound"/>
    <s v="Moving Forward"/>
    <n v="25"/>
    <s v="Male"/>
    <s v="Apparently Normal"/>
    <s v="Inattentive/Distraction (Talking, Eating)"/>
    <m/>
    <m/>
    <m/>
    <s v="2-LANES 1-ECH-WY"/>
    <s v="Not Applicable"/>
    <n v="60"/>
    <s v="CURVE (pre 2016)"/>
    <s v="Level"/>
    <m/>
    <m/>
    <m/>
    <m/>
    <m/>
    <m/>
    <m/>
    <m/>
    <m/>
    <m/>
    <m/>
    <m/>
    <m/>
    <m/>
    <m/>
    <m/>
    <m/>
    <m/>
    <m/>
    <m/>
    <m/>
    <m/>
    <m/>
    <m/>
    <m/>
    <m/>
    <m/>
    <m/>
    <m/>
    <m/>
    <m/>
    <m/>
    <m/>
    <m/>
    <m/>
    <m/>
    <m/>
    <m/>
    <m/>
    <m/>
    <m/>
    <m/>
    <m/>
    <m/>
    <m/>
    <m/>
    <m/>
    <m/>
    <n v="457785.75750000001"/>
    <n v="5365311.0471999999"/>
    <n v="48.439535530000001"/>
    <n v="-93.570783259999999"/>
    <d v="2014-01-09T14:00:00"/>
    <s v="Accepted"/>
    <s v="Reportable"/>
    <s v="Unknown"/>
    <s v="Unknown"/>
    <s v="Semi hauling 100 inch poles northbound USH 71. Driver fell asleep, left road on right side and crashed into ditch. Trailer tipped onto right side and dumped load. Driver cited for inattentive driving."/>
  </r>
  <r>
    <n v="474507"/>
    <s v="02-USTH"/>
    <n v="71"/>
    <n v="409.19200000000001"/>
    <s v="Koochiching"/>
    <m/>
    <m/>
    <s v="D1-DULUTH"/>
    <s v="Virginia"/>
    <m/>
    <n v="17310881"/>
    <n v="171790338"/>
    <d v="2023-06-06T00:00:00"/>
    <n v="28"/>
    <x v="4"/>
    <s v="04-Wed"/>
    <n v="14"/>
    <m/>
    <x v="0"/>
    <n v="0"/>
    <n v="1"/>
    <m/>
    <s v="Standing Tree/Shrubbery"/>
    <s v="Not at Intersection or Interch"/>
    <s v="Daylight"/>
    <s v="Clear"/>
    <m/>
    <s v="Dry"/>
    <s v="NOT APPLICABLE"/>
    <s v="HWY 71"/>
    <m/>
    <s v="0200000000000071-I"/>
    <s v="Single Vehicle Run Off Road"/>
    <s v="Motor Vehicle in Transport"/>
    <s v="Pickup"/>
    <s v="Northbound"/>
    <s v="Moving Forward"/>
    <n v="76"/>
    <s v="Male"/>
    <s v="Medical Issue (Ill, Sick or Fainted)"/>
    <s v="Ran Off Road"/>
    <m/>
    <m/>
    <m/>
    <s v="Two-Way, Not Divided"/>
    <s v="No Controls"/>
    <n v="60"/>
    <s v="Straight"/>
    <s v="Level"/>
    <m/>
    <m/>
    <m/>
    <m/>
    <m/>
    <m/>
    <m/>
    <m/>
    <m/>
    <m/>
    <m/>
    <m/>
    <m/>
    <m/>
    <m/>
    <m/>
    <m/>
    <m/>
    <m/>
    <m/>
    <m/>
    <m/>
    <m/>
    <m/>
    <m/>
    <m/>
    <m/>
    <m/>
    <m/>
    <m/>
    <m/>
    <m/>
    <m/>
    <m/>
    <m/>
    <m/>
    <m/>
    <m/>
    <m/>
    <m/>
    <m/>
    <m/>
    <m/>
    <m/>
    <m/>
    <m/>
    <m/>
    <m/>
    <n v="457263.75910000002"/>
    <n v="5366463.8026999999"/>
    <n v="48.449870529999998"/>
    <n v="-93.577958440000003"/>
    <d v="2017-06-28T14:30:00"/>
    <s v="Accepted"/>
    <s v="Reportable"/>
    <s v="MN State Patrol District 3100 - Virginia"/>
    <s v="State Patrol"/>
    <s v="Veh #1 was NB on hwy 71 the weather was clear and dry. Driver #1 past out or had a seizure behind the wheel ran off the road. #1 went off the road to the left (West ditch) and hit several trees and came to rest in a wooded area. Driver #1 has a medial condition that makes him lose consciousness randomly and crash. He has crashed three times with the same circumstances. Driver #1 is aware he has this problem and continues to drive. Driver #1 has had 4 driver evaluations that I'm aware of and somehow gets his license back. He has carelessly and heedlessly continued to endanger his and others lives by driving with this condition. He was cited for careless and was transported to the hospital for his condition. No injuries in the crash. Wimmers was the tow. Witnesses made statements that he was NB crossed both lanes and drove into the trees for several hundred feet."/>
  </r>
  <r>
    <n v="870580"/>
    <s v="02-USTH"/>
    <n v="71"/>
    <n v="409.29599999999999"/>
    <s v="Koochiching"/>
    <m/>
    <m/>
    <s v="D1-DULUTH"/>
    <s v="Virginia"/>
    <m/>
    <n v="20311303"/>
    <n v="203530246"/>
    <d v="2023-12-12T00:00:00"/>
    <n v="18"/>
    <x v="0"/>
    <s v="06-Fri"/>
    <n v="16"/>
    <s v="North"/>
    <x v="0"/>
    <n v="0"/>
    <n v="1"/>
    <m/>
    <s v="Ditch"/>
    <s v="Not at Intersection or Interch"/>
    <s v="Sunset"/>
    <s v="Snow"/>
    <m/>
    <s v="Snow"/>
    <s v="NOT APPLICABLE"/>
    <s v="HWY 71"/>
    <m/>
    <s v="0200000000000071-I"/>
    <s v="Single Vehicle Run Off Road"/>
    <s v="Motor Vehicle in Transport"/>
    <s v="Pickup"/>
    <s v="Northbound"/>
    <s v="Moving Forward"/>
    <n v="21"/>
    <s v="Male"/>
    <s v="Apparently Normal"/>
    <s v="Driver Distracted"/>
    <m/>
    <m/>
    <m/>
    <s v="Two-Way, Not Divided"/>
    <s v="No Controls"/>
    <n v="60"/>
    <s v="Straight"/>
    <s v="Level"/>
    <m/>
    <m/>
    <m/>
    <m/>
    <m/>
    <m/>
    <m/>
    <m/>
    <m/>
    <m/>
    <m/>
    <m/>
    <m/>
    <m/>
    <m/>
    <m/>
    <m/>
    <m/>
    <m/>
    <m/>
    <m/>
    <m/>
    <m/>
    <m/>
    <m/>
    <m/>
    <m/>
    <m/>
    <m/>
    <m/>
    <m/>
    <m/>
    <m/>
    <m/>
    <m/>
    <m/>
    <m/>
    <m/>
    <m/>
    <m/>
    <m/>
    <m/>
    <m/>
    <m/>
    <m/>
    <m/>
    <m/>
    <m/>
    <n v="457190.7941"/>
    <n v="5366613.6557"/>
    <n v="48.45121365"/>
    <n v="-93.578960460000005"/>
    <d v="2020-12-18T16:39:00"/>
    <s v="Accepted"/>
    <s v="Reportable"/>
    <s v="MN State Patrol District 3100 - Virginia"/>
    <s v="State Patrol"/>
    <s v="VEH WAS NORTHBOUND ON HWY 71. DRIVER STATED HE WAS TEXTING AND HE VEERED OFF TO THE RIGHT AND GOT CAUGHT IN SLUSH AND SNOW. HE STATED THE VEHICLE PULLED AND HE OVER CORRECTED WHICH CAUSED HIS VEHICLE TO SLIDE. THE VEHICLE CROSSED THE CENTER LINE ENTERING THE SOUTHBOUND DITCH STRIKING TREES AND DITCH. DRIVER WAS PICKED UP BY PASSERBY AND BROUGHT HOME. _x000a__x000a_SPOKE WITH DRIVER AND HE ADMITTED TO TEXTING WHILE DRIVING CAUSING THE CRASH. _x000a__x000a_I TOOK PHOTOS AND SPOKE WITH DRIVER ON PHONE. _x000a__x000a_ADVISED I WOULD BE SENDING CITATION FOR HAND FREE VIOLATION AND MINNESOTA CRASH REPORT VIA MAIL. _x000a__x000a_WIMMERS TOWED VEHICLE. _x000a__x000a_NO INJURIES, NO AIRBAGS."/>
  </r>
  <r>
    <n v="340679"/>
    <s v="02-USTH"/>
    <n v="71"/>
    <n v="409.67700000000002"/>
    <s v="Koochiching"/>
    <m/>
    <m/>
    <s v="D1-DULUTH"/>
    <s v="Virginia"/>
    <m/>
    <n v="16310467"/>
    <n v="160970174"/>
    <d v="2023-04-04T00:00:00"/>
    <n v="6"/>
    <x v="7"/>
    <s v="04-Wed"/>
    <n v="7"/>
    <s v="South"/>
    <x v="4"/>
    <n v="1"/>
    <n v="2"/>
    <s v="Front to Front"/>
    <s v="Motor Vehicle In Transport"/>
    <s v="Not at Intersection or Interch"/>
    <s v="Daylight"/>
    <s v="Cloudy"/>
    <m/>
    <s v="Slush"/>
    <s v="NOT APPLICABLE"/>
    <s v="HWY 71"/>
    <m/>
    <s v="0200000000000071-I"/>
    <s v="Head On"/>
    <s v="Motor Vehicle in Transport"/>
    <s v="Sport Utility Vehicle"/>
    <s v="Southbound"/>
    <s v="Moving Forward"/>
    <n v="45"/>
    <s v="Female"/>
    <s v="Unknown"/>
    <s v="Over Correcting / Over Steering"/>
    <s v="Wrong Side or Wrong Way"/>
    <m/>
    <m/>
    <s v="Two-Way, Not Divided"/>
    <s v="Not Applicable"/>
    <n v="60"/>
    <s v="Curve Left"/>
    <s v="Level"/>
    <s v="Motor Vehicle in Transport"/>
    <s v="Pickup"/>
    <s v="Northbound"/>
    <s v="Moving Forward"/>
    <n v="46"/>
    <s v="Female"/>
    <s v="Apparently Normal"/>
    <s v="No Clear Contributing Action"/>
    <m/>
    <m/>
    <m/>
    <s v="Two-Way, Not Divided"/>
    <s v="Not Applicable"/>
    <m/>
    <s v="Curve Right"/>
    <s v="Level"/>
    <m/>
    <m/>
    <m/>
    <m/>
    <m/>
    <m/>
    <m/>
    <m/>
    <m/>
    <m/>
    <m/>
    <m/>
    <m/>
    <m/>
    <m/>
    <m/>
    <m/>
    <m/>
    <m/>
    <m/>
    <m/>
    <m/>
    <m/>
    <m/>
    <m/>
    <m/>
    <m/>
    <m/>
    <m/>
    <m/>
    <m/>
    <m/>
    <n v="456998.28570000001"/>
    <n v="5367188.1453"/>
    <n v="48.456368640000001"/>
    <n v="-93.581622830000001"/>
    <d v="2016-04-06T07:40:00"/>
    <s v="Accepted"/>
    <s v="Reportable"/>
    <s v="MN State Patrol District 3100 - Virginia"/>
    <s v="State Patrol"/>
    <s v="Veh #1 was SB on hwy 71, it was cloudy and the roads SB were covered in snow and slush. Veh #2 was NB on hwy 71. Driver #2 stated that the road NB was wet with some slush, but more clear then the SB lane. Driver #2 stated that Veh #1 was all over the road fishtailing back and forth. Driver #2 said she saw #1 lose control about 2 seconds before the crash. Veh #1 lost control and crossed over the center line and ran into #2 on the shoulder of the northbound lane. Driver #2 said she had very little time to react and she could not remember if she braked or swerved. I was informed by a deputy on scene that a witness behind #2 saw Veh #1 cross over the centerline into the NB lane. I believe #1 was traveling too fast for conditions and lost control on the snow and slush covered roadways. The crash was investigated by a re-constructionist. Further details are pending. Both vehicles were towed by Wimmers. Blood results came back for Driver #1 both alcohol and drugs were negative."/>
  </r>
  <r>
    <n v="414659"/>
    <s v="02-USTH"/>
    <n v="71"/>
    <n v="410.39699999999999"/>
    <s v="Koochiching"/>
    <m/>
    <m/>
    <s v="D1-DULUTH"/>
    <s v="Virginia"/>
    <m/>
    <n v="17310130"/>
    <n v="170120306"/>
    <d v="2023-01-01T00:00:00"/>
    <n v="12"/>
    <x v="4"/>
    <s v="05-Thu"/>
    <n v="16"/>
    <s v="South"/>
    <x v="0"/>
    <n v="0"/>
    <n v="1"/>
    <m/>
    <s v="Overturn/Rollover"/>
    <s v="Not at Intersection or Interch"/>
    <s v="Sunset"/>
    <s v="Blowing Sand/Soil/Dirt/Snow"/>
    <m/>
    <s v="Ice/Frost"/>
    <s v="NOT APPLICABLE"/>
    <s v="HWY 71"/>
    <m/>
    <s v="0200000000000071-I"/>
    <s v="Single Vehicle Run Off Road"/>
    <s v="Motor Vehicle in Transport"/>
    <s v="Medium / Heavy Trucks (More than 10,000lbs)"/>
    <s v="Southbound"/>
    <s v="Swerved or Attempt to Avoid Object in Roadway"/>
    <n v="32"/>
    <s v="Female"/>
    <s v="Apparently Normal"/>
    <s v="Swerved or Avoided Due to Wind"/>
    <m/>
    <m/>
    <m/>
    <s v="Two-Way, Not Divided"/>
    <s v="No Controls"/>
    <n v="60"/>
    <s v="Straight"/>
    <s v="Level"/>
    <m/>
    <m/>
    <m/>
    <m/>
    <m/>
    <m/>
    <m/>
    <m/>
    <m/>
    <m/>
    <m/>
    <m/>
    <m/>
    <m/>
    <m/>
    <m/>
    <m/>
    <m/>
    <m/>
    <m/>
    <m/>
    <m/>
    <m/>
    <m/>
    <m/>
    <m/>
    <m/>
    <m/>
    <m/>
    <m/>
    <m/>
    <m/>
    <m/>
    <m/>
    <m/>
    <m/>
    <m/>
    <m/>
    <m/>
    <m/>
    <m/>
    <m/>
    <m/>
    <m/>
    <m/>
    <m/>
    <m/>
    <m/>
    <n v="457014.05300000001"/>
    <n v="5368347.8776000002"/>
    <n v="48.46680267"/>
    <n v="-93.581528750000004"/>
    <d v="2017-01-12T16:59:00"/>
    <s v="Accepted"/>
    <s v="Reportable"/>
    <s v="MN State Patrol District 3100 - Virginia"/>
    <s v="State Patrol"/>
    <s v="DRIVER WAS SB ON HWY 71 NEAR MP 411 AND ROAD WAS EXTREMELY ICY AND STRONG CROSS WINDS FROM THE WEST. WIND HAD BLOWN BOX TRUCK AND CAUSED THE TRUCK TO DART TO THE CENTER OF THE ROAD. DRIVER TRIED TO CORRECT THE TRUCK AND OVER CORRECTED. VEH LOST TRACTION AND SKIDDED TURNING 180 DEG AND HIT THE SNOW BANK ON THE SHOULDER OF THE SB LANE, CAUSING THE VEH TO ROLL AND END UP ON ITS WHEELS IN ABOUT FOUR FEET OF SNOW DOWN IN THE DITCH. NO CITATIONS WERE ISSUED AND CRASH SHEET WAS GIVEN TO DRIVER."/>
  </r>
  <r>
    <n v="410128"/>
    <s v="02-USTH"/>
    <n v="71"/>
    <n v="410.51799999999997"/>
    <s v="Koochiching"/>
    <m/>
    <m/>
    <s v="D1-DULUTH"/>
    <s v="Virginia"/>
    <m/>
    <n v="16311705"/>
    <n v="163640250"/>
    <d v="2023-12-12T00:00:00"/>
    <n v="29"/>
    <x v="7"/>
    <s v="05-Thu"/>
    <n v="18"/>
    <s v="North"/>
    <x v="0"/>
    <n v="0"/>
    <n v="2"/>
    <s v="Front to Front"/>
    <s v="Motor Vehicle In Transport"/>
    <s v="Not at Intersection or Interch"/>
    <s v="Dark (No Str Lights)"/>
    <s v="Cloudy"/>
    <m/>
    <s v="Ice/Frost"/>
    <s v="NOT APPLICABLE"/>
    <s v="HWY 71"/>
    <m/>
    <s v="0200000000000071-I"/>
    <s v="Head On"/>
    <s v="Motor Vehicle in Transport"/>
    <s v="Passenger Car"/>
    <s v="Northbound"/>
    <s v="Moving Forward"/>
    <n v="56"/>
    <s v="Male"/>
    <s v="Apparently Normal"/>
    <s v="Driver Distracted"/>
    <s v="Failed to Keep in Proper Lane"/>
    <m/>
    <m/>
    <s v="Two-Way, Not Divided"/>
    <s v="No Controls"/>
    <n v="60"/>
    <s v="Straight"/>
    <s v="Level"/>
    <s v="Motor Vehicle in Transport"/>
    <s v="Snowmobile"/>
    <s v="Southbound"/>
    <s v="Moving Forward"/>
    <n v="44"/>
    <s v="Male"/>
    <s v="Apparently Normal"/>
    <s v="No Clear Contributing Action"/>
    <m/>
    <m/>
    <m/>
    <s v="Two-Way, Not Divided"/>
    <s v="No Controls"/>
    <n v="60"/>
    <s v="Straight"/>
    <s v="Level"/>
    <m/>
    <m/>
    <m/>
    <m/>
    <m/>
    <m/>
    <m/>
    <m/>
    <m/>
    <m/>
    <m/>
    <m/>
    <m/>
    <m/>
    <m/>
    <m/>
    <m/>
    <m/>
    <m/>
    <m/>
    <m/>
    <m/>
    <m/>
    <m/>
    <m/>
    <m/>
    <m/>
    <m/>
    <m/>
    <m/>
    <m/>
    <m/>
    <n v="457017.21460000001"/>
    <n v="5368542.7660999997"/>
    <n v="48.468556100000001"/>
    <n v="-93.581506009999998"/>
    <d v="2016-12-29T18:20:00"/>
    <s v="Accepted"/>
    <s v="Reportable"/>
    <s v="MN State Patrol District 3100 - Virginia"/>
    <s v="State Patrol"/>
    <s v="Veh #1 was NB on Hwy 71 the roads were icy and snow packed. Veh #2 was SB on the bridge following the snowmobile trial on the SB shoulder in the same area. There were two Snowmobiles on the bridge at the time of the crash. Veh#2 was following behind a snowmobile with bright lights. Driver #1 said he was blinded by the lights of the snowmobile in front and there was a semi truck coming SB at the same time as they were meeting on the bridge. Driver #1 began to panic and slowed down and pulled over to the shoulder toward Veh #2. #1 said he could not see where he was going, and instead of stopping he pulled to the right and ran into Veh #2 head on. #1 claimed he did not have time to react. Driver #1 said he swerved to miss the first sled and hit the second one (Veh #2). #1 said he was surprised, he wasn't used to seeing lights coming at him on that side of the road.  Driver #2 jumped off the vehicle as the vehicles struck. No injuries no tows, Veh #2 was hauled home by friend in the back of a truck. Driver #2 was cited for fail to use due care."/>
  </r>
  <r>
    <n v="521473"/>
    <s v="02-USTH"/>
    <n v="71"/>
    <n v="411.01299999999998"/>
    <s v="Koochiching"/>
    <m/>
    <m/>
    <s v="D1-DULUTH"/>
    <s v="Virginia"/>
    <m/>
    <n v="17311545"/>
    <n v="173340262"/>
    <d v="2023-11-11T00:00:00"/>
    <n v="30"/>
    <x v="4"/>
    <s v="05-Thu"/>
    <n v="20"/>
    <m/>
    <x v="0"/>
    <n v="0"/>
    <n v="1"/>
    <m/>
    <s v="Overturn/Rollover"/>
    <s v="Not at Intersection or Interch"/>
    <s v="Dark (No Str Lights)"/>
    <s v="Cloudy"/>
    <m/>
    <s v="Dry"/>
    <s v="NOT APPLICABLE"/>
    <s v="HWY 71"/>
    <m/>
    <s v="0200000000000071-I"/>
    <s v="Single Vehicle Run Off Road"/>
    <s v="Motor Vehicle in Transport"/>
    <s v="Pickup"/>
    <s v="Northbound"/>
    <s v="Moving Forward"/>
    <n v="18"/>
    <s v="Male"/>
    <s v="Other"/>
    <s v="Driver Speeding"/>
    <s v="Failed to Keep in Proper Lane"/>
    <m/>
    <m/>
    <s v="Two-Way, Not Divided"/>
    <s v="No Controls"/>
    <n v="60"/>
    <s v="Straight"/>
    <s v="Level"/>
    <m/>
    <m/>
    <m/>
    <m/>
    <m/>
    <m/>
    <m/>
    <m/>
    <m/>
    <m/>
    <m/>
    <m/>
    <m/>
    <m/>
    <m/>
    <m/>
    <m/>
    <m/>
    <m/>
    <m/>
    <m/>
    <m/>
    <m/>
    <m/>
    <m/>
    <m/>
    <m/>
    <m/>
    <m/>
    <m/>
    <m/>
    <m/>
    <m/>
    <m/>
    <m/>
    <m/>
    <m/>
    <m/>
    <m/>
    <m/>
    <m/>
    <m/>
    <m/>
    <m/>
    <m/>
    <m/>
    <m/>
    <m/>
    <n v="457026.13669999997"/>
    <n v="5369325.8076999998"/>
    <n v="48.47560094"/>
    <n v="-93.581465800000004"/>
    <d v="2017-11-30T20:46:00"/>
    <s v="Accepted"/>
    <s v="Reportable"/>
    <s v="MN State Patrol District 3100 - Virginia"/>
    <s v="State Patrol"/>
    <s v="Veh #1 was NB on Hwy 71, the roads were clear and dry. The driver said he was going 65 or 70. Veh #1 was NB at a high rate of speed , the vehicle left the road to the right, then hit a hard snow bank and popped RF tire.  Driver #1 over corrected to the left, Veh #1 skidded out of control across both lanes of the traffic, then ran off the road and rolled 1x in the west ditch. Veh # 1 left hundreds of feet of skids before leaving the road and rolling. Driver #1 had no MN DL, only a learners permit. Both occupants were not using their seat belts. Both occupants were cited for belt, and the driver was cited for no MN DL and duty to drive with due care. Roaches toed the vehicle to the drivers home. no injuries reported."/>
  </r>
  <r>
    <n v="528496"/>
    <s v="02-USTH"/>
    <n v="71"/>
    <n v="411.45"/>
    <s v="Koochiching"/>
    <m/>
    <m/>
    <s v="D1-DULUTH"/>
    <s v="Virginia"/>
    <m/>
    <n v="17311678"/>
    <n v="173600196"/>
    <d v="2023-12-12T00:00:00"/>
    <n v="26"/>
    <x v="4"/>
    <s v="03-Tues"/>
    <n v="14"/>
    <s v="North"/>
    <x v="0"/>
    <n v="0"/>
    <n v="1"/>
    <m/>
    <s v="Standing Tree/Shrubbery"/>
    <s v="Not at Intersection or Interch"/>
    <s v="Daylight"/>
    <s v="Clear"/>
    <m/>
    <s v="Ice/Frost"/>
    <s v="NOT APPLICABLE"/>
    <s v="HWY 71"/>
    <m/>
    <s v="0200000000000071-I"/>
    <s v="Single Vehicle Run Off Road"/>
    <s v="Motor Vehicle in Transport"/>
    <s v="Pickup"/>
    <s v="Northbound"/>
    <s v="Moving Forward"/>
    <n v="65"/>
    <s v="Female"/>
    <s v="Apparently Normal"/>
    <s v="Ran Off Road"/>
    <m/>
    <m/>
    <m/>
    <s v="Two-Way, Not Divided"/>
    <s v="No Controls"/>
    <n v="60"/>
    <s v="Straight"/>
    <s v="Level"/>
    <m/>
    <m/>
    <m/>
    <m/>
    <m/>
    <m/>
    <m/>
    <m/>
    <m/>
    <m/>
    <m/>
    <m/>
    <m/>
    <m/>
    <m/>
    <m/>
    <m/>
    <m/>
    <m/>
    <m/>
    <m/>
    <m/>
    <m/>
    <m/>
    <m/>
    <m/>
    <m/>
    <m/>
    <m/>
    <m/>
    <m/>
    <m/>
    <m/>
    <m/>
    <m/>
    <m/>
    <m/>
    <m/>
    <m/>
    <m/>
    <m/>
    <m/>
    <m/>
    <m/>
    <m/>
    <m/>
    <m/>
    <m/>
    <n v="457033.67599999998"/>
    <n v="5370028.5979000004"/>
    <n v="48.481923729999998"/>
    <n v="-93.58143604"/>
    <d v="2017-12-26T14:45:00"/>
    <s v="Accepted"/>
    <s v="Reportable"/>
    <s v="MN State Patrol District 3100 - Virginia"/>
    <s v="State Patrol"/>
    <s v="Unit 1, a GMC Sierra pickup truck northbound on US Hwy 71, was being driven by J. Montgomery.  Roadway conditions were variable, however the main traveled portions of the northbound and southbound lanes were mostly covered in ice.  J. Montgomery was unfamiliar with operating the GMC Sierra pickup truck, as she borrowed her brother's vehicle temporarily on this date._x000a__x000a_J. Montgomery lost control of the vehicle about .5 miles north of Town Road 191.  J. Montgomery estimated her speed at 55 mph or less.  She could not regain control and ran off the roadway to the right down into the ditch toward a wooded area.  Unit 1 struck a tree about 7 inches in diameter at the front right corner.  The rear right fender and wheel also swung to the right and struck the same tree.  The rear axle was displaced by the collision and the pickup truck was towed by Wimmer's Auto Body out of Littlefork.  _x000a__x000a_I took photographs of the pickup truck, roadway, and area of impact.  Montgomery was not seen by EMS and reported no injuries other than soreness.  She was wearing her seatbelt.  The owner of the pickup truck was notified."/>
  </r>
  <r>
    <n v="340312"/>
    <s v="02-USTH"/>
    <n v="71"/>
    <n v="412.84399999999999"/>
    <s v="Koochiching"/>
    <m/>
    <m/>
    <s v="D1-DULUTH"/>
    <s v="Virginia"/>
    <m/>
    <n v="16310466"/>
    <n v="160960125"/>
    <d v="2023-04-04T00:00:00"/>
    <n v="5"/>
    <x v="7"/>
    <s v="03-Tues"/>
    <n v="17"/>
    <m/>
    <x v="0"/>
    <n v="0"/>
    <n v="1"/>
    <m/>
    <s v="Standing Tree/Shrubbery"/>
    <s v="Not at Intersection or Interch"/>
    <s v="Daylight"/>
    <s v="Snow"/>
    <m/>
    <s v="Slush"/>
    <s v="NOT APPLICABLE"/>
    <s v="HWY 71"/>
    <m/>
    <s v="0200000000000071-I"/>
    <s v="Single Vehicle Run Off Road"/>
    <s v="Motor Vehicle in Transport"/>
    <s v="Sport Utility Vehicle"/>
    <s v="Southbound"/>
    <s v="Moving Forward"/>
    <n v="17"/>
    <s v="Female"/>
    <s v="Apparently Normal"/>
    <s v="Swerved or Avoided Due to Wind"/>
    <m/>
    <m/>
    <m/>
    <s v="Two-Way, Not Divided"/>
    <s v="No Controls"/>
    <n v="60"/>
    <s v="Straight"/>
    <s v="Level"/>
    <m/>
    <m/>
    <m/>
    <m/>
    <m/>
    <m/>
    <m/>
    <m/>
    <m/>
    <m/>
    <m/>
    <m/>
    <m/>
    <m/>
    <m/>
    <m/>
    <m/>
    <m/>
    <m/>
    <m/>
    <m/>
    <m/>
    <m/>
    <m/>
    <m/>
    <m/>
    <m/>
    <m/>
    <m/>
    <m/>
    <m/>
    <m/>
    <m/>
    <m/>
    <m/>
    <m/>
    <m/>
    <m/>
    <m/>
    <m/>
    <m/>
    <m/>
    <m/>
    <m/>
    <m/>
    <m/>
    <m/>
    <m/>
    <n v="457472.0246"/>
    <n v="5372233.8881000001"/>
    <n v="48.501792250000001"/>
    <n v="-93.575729100000004"/>
    <d v="2016-04-05T17:34:00"/>
    <s v="Accepted"/>
    <s v="Reportable"/>
    <s v="MN State Patrol District 3100 - Virginia"/>
    <s v="State Patrol"/>
    <s v="VEHICLE # 1 WAS TRAVELING SB HWY 71 JUST SOUTH OF PELLAND JUNCTION. DRIVER OF VEH # 1 STATED THAT THERE WAS AN ONCOMING SEMI-TRUCK APPROACHING HER THAT SHE THOUGHT WAS GOING TO HIT HER. DRIVER OF VEH # 1 THEN STATED TO AVOID THE SEMI CROSSING OVER CENTER LINE PUT HER JEEPS PASSENGER SIDE TIRES OVER THE FOG LINE TO GET OUT OF THE SEMI'S WAY, IN DOING SO THE SLUSH ON THE SHOULDER MADE HER LOSE CONTROL OF THE VEHICLE AND DROVE INTO DITCH AFTER LOSING CONTROL. VEH # 1 DROVE ALL THE WAY THROUGH THE DITCH AND HIT MULTIPLE TREES AT THE WOODS LINE. NO INJURIES. FRONT END DAMAGE AND DAMAGE TO THE DRIVERS SIDE REAR AS WELL."/>
  </r>
  <r>
    <n v="10937564"/>
    <s v="03-MNTH"/>
    <n v="1"/>
    <n v="146.404"/>
    <s v="Beltrami"/>
    <m/>
    <s v="Shooks"/>
    <s v="D2-BEMIDJI"/>
    <s v="Thief River Falls"/>
    <m/>
    <n v="14321116"/>
    <n v="142660287"/>
    <d v="2023-08-08T00:00:00"/>
    <n v="27"/>
    <x v="6"/>
    <s v="04-Wed"/>
    <n v="8"/>
    <s v="East"/>
    <x v="0"/>
    <n v="0"/>
    <n v="1"/>
    <s v="HEAD-ON"/>
    <s v="Deer"/>
    <s v="Not at Intersection or Interch"/>
    <s v="Daylight"/>
    <s v="Clear"/>
    <m/>
    <s v="Dry"/>
    <s v="NOT APPLICABLE"/>
    <s v="1 HWY NE"/>
    <n v="72"/>
    <s v="0300000000000001-I"/>
    <s v="Single Vehicle Other"/>
    <s v="Motor Vehicle in Transport"/>
    <s v="Pickup"/>
    <s v="Eastbound"/>
    <s v="Moving Forward"/>
    <n v="50"/>
    <s v="Male"/>
    <s v="Apparently Normal"/>
    <s v="No Clear Contributing Action"/>
    <m/>
    <m/>
    <m/>
    <s v="2-LANES 1-ECH-WY"/>
    <s v="Not Applicable"/>
    <n v="55"/>
    <s v="Straight"/>
    <s v="Level"/>
    <m/>
    <m/>
    <m/>
    <m/>
    <m/>
    <m/>
    <m/>
    <m/>
    <m/>
    <m/>
    <m/>
    <m/>
    <m/>
    <m/>
    <m/>
    <m/>
    <m/>
    <m/>
    <m/>
    <m/>
    <m/>
    <m/>
    <m/>
    <m/>
    <m/>
    <m/>
    <m/>
    <m/>
    <m/>
    <m/>
    <m/>
    <m/>
    <m/>
    <m/>
    <m/>
    <m/>
    <m/>
    <m/>
    <m/>
    <m/>
    <m/>
    <m/>
    <m/>
    <m/>
    <m/>
    <m/>
    <m/>
    <m/>
    <n v="392286.82630000002"/>
    <n v="5303316.0357999997"/>
    <n v="47.874149539999998"/>
    <n v="-94.440486789999994"/>
    <d v="2014-08-27T08:01:00"/>
    <s v="Accepted"/>
    <s v="Reportable"/>
    <s v="Unknown"/>
    <s v="Unknown"/>
    <s v="Veh 1 travelling east on MNTH 1 at 55 mph.  Deer came from north side of road.  Veh. hit deer on front left side.  Severe front end damage.  No injury to driver.  Deer dispatched by 376"/>
  </r>
  <r>
    <n v="11022850"/>
    <s v="03-MNTH"/>
    <n v="1"/>
    <n v="146.47399999999999"/>
    <s v="Beltrami"/>
    <m/>
    <s v="Shooks"/>
    <s v="D2-BEMIDJI"/>
    <s v="Thief River Falls"/>
    <m/>
    <n v="15018886"/>
    <n v="153040042"/>
    <d v="2023-10-10T00:00:00"/>
    <n v="31"/>
    <x v="1"/>
    <s v="07-Sat"/>
    <n v="3"/>
    <m/>
    <x v="2"/>
    <n v="0"/>
    <n v="1"/>
    <s v="LEFT TURN"/>
    <s v="OTHER CRASH TYPE"/>
    <s v="Not at Intersection or Interch"/>
    <s v="Dark (No Str Lights)"/>
    <s v="Cloudy"/>
    <m/>
    <s v="Dry"/>
    <s v="NOT APPLICABLE"/>
    <s v="hwy 72"/>
    <s v="HWY 1"/>
    <s v="0300000000000001-I"/>
    <s v="Single Vehicle Other"/>
    <n v="0"/>
    <s v="Pickup"/>
    <s v="Northbound"/>
    <m/>
    <n v="19"/>
    <s v="Male"/>
    <s v="UNDER THE INFLU"/>
    <m/>
    <m/>
    <m/>
    <m/>
    <s v="2-LANES 1-ECH-WY"/>
    <s v="Not Applicable"/>
    <n v="55"/>
    <s v="Straight"/>
    <s v="Level"/>
    <m/>
    <m/>
    <m/>
    <m/>
    <m/>
    <m/>
    <m/>
    <m/>
    <m/>
    <m/>
    <m/>
    <m/>
    <m/>
    <m/>
    <m/>
    <m/>
    <m/>
    <m/>
    <m/>
    <m/>
    <m/>
    <m/>
    <m/>
    <m/>
    <m/>
    <m/>
    <m/>
    <m/>
    <m/>
    <m/>
    <m/>
    <m/>
    <m/>
    <m/>
    <m/>
    <m/>
    <m/>
    <m/>
    <m/>
    <m/>
    <m/>
    <m/>
    <m/>
    <m/>
    <m/>
    <m/>
    <m/>
    <m/>
    <n v="392399.45189999999"/>
    <n v="5303318.5235000001"/>
    <n v="47.874190800000001"/>
    <n v="-94.438981729999995"/>
    <d v="2015-10-31T03:54:00"/>
    <s v="Accepted"/>
    <s v="Reportable"/>
    <s v="Unknown"/>
    <s v="Unknown"/>
    <s v="Vehicle was reported to be driving in the wrong lane and swerved into the ditch to aviod stricking another vehicle"/>
  </r>
  <r>
    <n v="779975"/>
    <s v="03-MNTH"/>
    <n v="1"/>
    <n v="146.512"/>
    <s v="Beltrami"/>
    <m/>
    <s v="Shooks"/>
    <s v="D2-BEMIDJI"/>
    <s v="Thief River Falls"/>
    <m/>
    <n v="20320081"/>
    <n v="200150284"/>
    <d v="2023-01-01T00:00:00"/>
    <n v="15"/>
    <x v="0"/>
    <s v="04-Wed"/>
    <n v="14"/>
    <s v="Not Applicable"/>
    <x v="0"/>
    <n v="0"/>
    <n v="2"/>
    <m/>
    <s v="Parked Motor Vehicle"/>
    <s v="T Intersection"/>
    <s v="Daylight"/>
    <s v="Clear"/>
    <m/>
    <s v="Ice/Frost"/>
    <s v="NOT APPLICABLE"/>
    <s v="HWY 1"/>
    <m/>
    <s v="0300000000000001-I"/>
    <s v="Other"/>
    <s v="Motor Vehicle in Transport"/>
    <s v="Pickup"/>
    <s v="Southbound"/>
    <s v="Slowing"/>
    <n v="56"/>
    <s v="Male"/>
    <s v="Apparently Normal"/>
    <s v="Ran Stop Sign"/>
    <m/>
    <m/>
    <m/>
    <s v="Two-Way, Not Divided"/>
    <s v="Stop Sign"/>
    <n v="55"/>
    <s v="Straight"/>
    <s v="Level"/>
    <s v="Motor Vehicle in Transport"/>
    <s v="Pickup"/>
    <s v="Southbound"/>
    <s v="Parked or Entering or Leaving"/>
    <n v="59"/>
    <s v="Male"/>
    <s v="Apparently Normal"/>
    <s v="No Clear Contributing Action"/>
    <m/>
    <m/>
    <m/>
    <s v="Other"/>
    <s v="No Controls"/>
    <n v="55"/>
    <s v="Straight"/>
    <s v="Level"/>
    <m/>
    <m/>
    <m/>
    <m/>
    <m/>
    <m/>
    <m/>
    <m/>
    <m/>
    <m/>
    <m/>
    <m/>
    <m/>
    <m/>
    <m/>
    <m/>
    <m/>
    <m/>
    <m/>
    <m/>
    <m/>
    <m/>
    <m/>
    <m/>
    <m/>
    <m/>
    <m/>
    <m/>
    <m/>
    <m/>
    <m/>
    <m/>
    <n v="392461.36200000002"/>
    <n v="5303320.6226000004"/>
    <n v="47.874220049999998"/>
    <n v="-94.438154569999995"/>
    <d v="2020-01-15T14:53:00"/>
    <s v="Accepted"/>
    <s v="Reportable"/>
    <s v="MN State Patrol District 3200 - Thief River Falls"/>
    <s v="State Patrol"/>
    <s v="V1 (Chevrolet Silverado) was traveling south on MNTH 72. V2 (Ford F-350) was parked in an approach on the south side of MNTH 1 and was facing south. V1 was driving too fast for the snowy/icy roadway conditions and failed to stop at the stop sign at the intersection of MNTH 72 and MNTH 1 and crashed into the rear of V2. Driver of V1 was wearing his seat belt and was not injured. There were no passenger's in V1. No airbags deployed on V1. Driver of V2 was wearing his seat belt and was not injured. There were no passenger's in V2. No airbags deployed on V2. V1 was pulling a car trailer with a car on it. V1 received severe damage to the rear passenger's side. The trailer received moderate damage to the passenger's side. The car on the trailer received moderate damage to the front passenger's side. V2 received moderate damage to the rear driver's side. V1, the car trailer and car were towed from the scene by Bogart's. Photographs were taken of the scene. Driver of V1 was cited for Failure to Stop at Stop Sign or Stop Lines at the Entrance of a Through Highway. There were no witnesses to the crash."/>
  </r>
  <r>
    <n v="1000453"/>
    <s v="03-MNTH"/>
    <n v="1"/>
    <n v="146.54400000000001"/>
    <s v="Beltrami"/>
    <m/>
    <s v="Shooks"/>
    <s v="D2-BEMIDJI"/>
    <s v="Thief River Falls"/>
    <m/>
    <n v="22320119"/>
    <n v="220210136"/>
    <d v="2023-01-01T00:00:00"/>
    <n v="21"/>
    <x v="2"/>
    <s v="06-Fri"/>
    <n v="16"/>
    <s v="Not Applicable"/>
    <x v="3"/>
    <n v="0"/>
    <n v="2"/>
    <s v="Front to Rear"/>
    <s v="Motor Vehicle In Transport"/>
    <s v="T Intersection"/>
    <s v="Sunset"/>
    <s v="Sleet, Hail (Freezing Rain/Drizzle)"/>
    <s v="Blowing Sand/Soil/Dirt/Snow"/>
    <s v="Ice/Frost"/>
    <s v="NOT APPLICABLE"/>
    <s v="HWY 1"/>
    <n v="72"/>
    <s v="0300000000000001-I"/>
    <s v="Rear End"/>
    <s v="Motor Vehicle in Transport"/>
    <s v="Passenger Car"/>
    <s v="Westbound"/>
    <s v="Moving Forward"/>
    <n v="20"/>
    <s v="Male"/>
    <s v="Apparently Normal"/>
    <s v="Driver Speeding"/>
    <s v="Following Too Closely"/>
    <m/>
    <m/>
    <s v="Two-Way, Not Divided"/>
    <s v="No Controls"/>
    <n v="60"/>
    <s v="Straight"/>
    <s v="Level"/>
    <s v="Motor Vehicle in Transport"/>
    <s v="Medium / Heavy Trucks (More than 10,000lbs)"/>
    <s v="Westbound"/>
    <s v="Slowing"/>
    <n v="62"/>
    <s v="Male"/>
    <s v="Apparently Normal"/>
    <s v="No Clear Contributing Action"/>
    <m/>
    <m/>
    <m/>
    <s v="Two-Way, Not Divided"/>
    <s v="No Controls"/>
    <n v="60"/>
    <s v="Straight"/>
    <s v="Level"/>
    <m/>
    <m/>
    <m/>
    <m/>
    <m/>
    <m/>
    <m/>
    <m/>
    <m/>
    <m/>
    <m/>
    <m/>
    <m/>
    <m/>
    <m/>
    <m/>
    <m/>
    <m/>
    <m/>
    <m/>
    <m/>
    <m/>
    <m/>
    <m/>
    <m/>
    <m/>
    <m/>
    <m/>
    <m/>
    <m/>
    <m/>
    <m/>
    <n v="392511.73580000002"/>
    <n v="5303323.5003000004"/>
    <n v="47.874254370000003"/>
    <n v="-94.437481849999998"/>
    <d v="2022-01-21T16:19:00"/>
    <s v="Accepted"/>
    <s v="Reportable"/>
    <s v="MN State Patrol District 3200 - Thief River Falls"/>
    <s v="State Patrol"/>
    <s v="Unit 1 (FEIDER) was traveling westbound MNTH 1 behind Unit 2 (SALVERSON). Unit 2 slowed to turn northbound on MNTH 72. Unit 1 attempted to slow and lost control. Unit 1 struck the rear of Unit 2. Road conditions were icy. Driver of Unit 1 admitted to his windshield icing up. Both driver's  belted. Unit 1's airbags deployed. Driver of Unit 1 sustained minor cut to head. No driver was transported by EMS."/>
  </r>
  <r>
    <n v="505655"/>
    <s v="03-MNTH"/>
    <n v="1"/>
    <n v="147.69399999999999"/>
    <s v="Koochiching"/>
    <m/>
    <m/>
    <s v="D2-BEMIDJI"/>
    <s v="Virginia"/>
    <m/>
    <n v="17807387"/>
    <n v="172730222"/>
    <d v="2023-09-09T00:00:00"/>
    <n v="30"/>
    <x v="4"/>
    <s v="07-Sat"/>
    <n v="22"/>
    <s v="West"/>
    <x v="3"/>
    <n v="0"/>
    <n v="1"/>
    <m/>
    <s v="Ditch"/>
    <s v="Not at Intersection or Interch"/>
    <s v="Dark (No Str Lights)"/>
    <s v="Clear"/>
    <m/>
    <s v="Dry"/>
    <s v="NOT APPLICABLE"/>
    <s v="HWY 1"/>
    <m/>
    <s v="0300000000000001-I"/>
    <s v="Single Vehicle Run Off Road"/>
    <s v="Motor Vehicle in Transport"/>
    <s v="Sport Utility Vehicle"/>
    <s v="Westbound"/>
    <s v="Moving Forward"/>
    <n v="26"/>
    <s v="Male"/>
    <s v="Apparently Normal"/>
    <s v="Driver Speeding"/>
    <s v="Driver Distracted"/>
    <m/>
    <m/>
    <s v="Two-Way, Not Divided"/>
    <s v="No Controls"/>
    <n v="55"/>
    <s v="Curve Right"/>
    <s v="Level"/>
    <m/>
    <m/>
    <m/>
    <m/>
    <m/>
    <m/>
    <m/>
    <m/>
    <m/>
    <m/>
    <m/>
    <m/>
    <m/>
    <m/>
    <m/>
    <m/>
    <m/>
    <m/>
    <m/>
    <m/>
    <m/>
    <m/>
    <m/>
    <m/>
    <m/>
    <m/>
    <m/>
    <m/>
    <m/>
    <m/>
    <m/>
    <m/>
    <m/>
    <m/>
    <m/>
    <m/>
    <m/>
    <m/>
    <m/>
    <m/>
    <m/>
    <m/>
    <m/>
    <m/>
    <m/>
    <m/>
    <m/>
    <m/>
    <n v="394097.7696"/>
    <n v="5302661.4370999997"/>
    <n v="47.868562900000001"/>
    <n v="-94.4161158"/>
    <d v="2017-09-30T22:47:00"/>
    <s v="Accepted"/>
    <s v="Reportable"/>
    <s v="Koochiching County Sheriff"/>
    <s v="Sheriff"/>
    <s v="Vehicle was travelling Westbound on Hwy 1 W. Driver indicated he looked down and next thing he knew he had struck the left ditch and rolled the vehicle over a private driveway coming to a rest to the right of the driveway in the ditch. Approximately 150 yards from where he initially left the roadway. The tire tracks indicate he left the roadway to the left when the roadway curved to the right. The posted speed limit is 55 mph."/>
  </r>
  <r>
    <n v="409867"/>
    <s v="03-MNTH"/>
    <n v="1"/>
    <n v="149.08199999999999"/>
    <s v="Koochiching"/>
    <m/>
    <m/>
    <s v="D2-BEMIDJI"/>
    <s v="Virginia"/>
    <m/>
    <n v="16322088"/>
    <n v="163640230"/>
    <d v="2023-12-12T00:00:00"/>
    <n v="29"/>
    <x v="7"/>
    <s v="05-Thu"/>
    <n v="19"/>
    <s v="West"/>
    <x v="0"/>
    <n v="0"/>
    <n v="2"/>
    <s v="Angle"/>
    <s v="Motor Vehicle In Transport"/>
    <s v="Not at Intersection or Interch"/>
    <s v="Dark (No Str Lights)"/>
    <s v="Clear"/>
    <m/>
    <s v="Ice/Frost"/>
    <s v="NOT APPLICABLE"/>
    <s v="HWY 1"/>
    <m/>
    <s v="0300000000000001-I"/>
    <s v="Angle"/>
    <s v="Motor Vehicle in Transport"/>
    <s v="Pickup"/>
    <s v="Westbound"/>
    <s v="Overtaking/Passing"/>
    <n v="26"/>
    <s v="Male"/>
    <s v="Apparently Normal"/>
    <s v="Swerved or Avoided Due to Wind"/>
    <s v="Driver Speeding"/>
    <m/>
    <m/>
    <s v="Two-Way, Not Divided"/>
    <s v="No Controls"/>
    <n v="55"/>
    <s v="Straight"/>
    <s v="Level"/>
    <s v="Motor Vehicle in Transport"/>
    <s v="Pickup"/>
    <s v="Westbound"/>
    <s v="Moving Forward"/>
    <n v="25"/>
    <s v="Male"/>
    <s v="Apparently Normal"/>
    <s v="No Clear Contributing Action"/>
    <m/>
    <m/>
    <m/>
    <s v="Two-Way, Not Divided"/>
    <s v="No Controls"/>
    <n v="55"/>
    <s v="Straight"/>
    <s v="Level"/>
    <m/>
    <m/>
    <m/>
    <m/>
    <m/>
    <m/>
    <m/>
    <m/>
    <m/>
    <m/>
    <m/>
    <m/>
    <m/>
    <m/>
    <m/>
    <m/>
    <m/>
    <m/>
    <m/>
    <m/>
    <m/>
    <m/>
    <m/>
    <m/>
    <m/>
    <m/>
    <m/>
    <m/>
    <m/>
    <m/>
    <m/>
    <m/>
    <n v="396304.30109999998"/>
    <n v="5302511.1221000003"/>
    <n v="47.867570929999999"/>
    <n v="-94.386583380000005"/>
    <d v="2016-12-29T19:01:00"/>
    <s v="Accepted"/>
    <s v="Reportable"/>
    <s v="MN State Patrol District 3200 - Thief River Falls"/>
    <s v="State Patrol"/>
    <s v="Both Unit 1 (Johnson) and Unit 2 (Kvale) were traveling westbound on MNTH 1. Unit 1 attempted to pass Unit 2. Unit 1 lost control while passing and ended up facing northbound in the westbound lane in front of Unit 2. Unit 2 was unable to stop and struck Unit 1. no injuries. No airbags deployed."/>
  </r>
  <r>
    <n v="10925444"/>
    <s v="03-MNTH"/>
    <n v="1"/>
    <n v="149.56800000000001"/>
    <s v="Koochiching"/>
    <m/>
    <m/>
    <s v="D2-BEMIDJI"/>
    <s v="Virginia"/>
    <m/>
    <n v="13312083"/>
    <n v="133640428"/>
    <d v="2023-12-12T00:00:00"/>
    <n v="28"/>
    <x v="3"/>
    <s v="07-Sat"/>
    <n v="9"/>
    <s v="West"/>
    <x v="0"/>
    <n v="0"/>
    <n v="1"/>
    <s v="RAN OFF RD-RIGHT"/>
    <s v="Overturn/Rollover"/>
    <s v="Not at Intersection or Interch"/>
    <s v="Daylight"/>
    <s v="Sleet, Hail (Freezing Rain/Drizzle)"/>
    <m/>
    <s v="Ice/Frost"/>
    <s v="NOT APPLICABLE"/>
    <s v="HWY. 1"/>
    <n v="15"/>
    <s v="0300000000000001-I"/>
    <s v="Single Vehicle Run Off Road"/>
    <s v="Motor Vehicle in Transport"/>
    <s v="Pickup"/>
    <s v="Westbound"/>
    <s v="Moving Forward"/>
    <n v="32"/>
    <s v="Male"/>
    <s v="Apparently Normal"/>
    <m/>
    <m/>
    <m/>
    <m/>
    <s v="2-LANES 1-ECH-WY"/>
    <s v="Not Applicable"/>
    <n v="55"/>
    <s v="CURVE (pre 2016)"/>
    <s v="Level"/>
    <m/>
    <m/>
    <m/>
    <m/>
    <m/>
    <m/>
    <m/>
    <m/>
    <m/>
    <m/>
    <m/>
    <m/>
    <m/>
    <m/>
    <m/>
    <m/>
    <m/>
    <m/>
    <m/>
    <m/>
    <m/>
    <m/>
    <m/>
    <m/>
    <m/>
    <m/>
    <m/>
    <m/>
    <m/>
    <m/>
    <m/>
    <m/>
    <m/>
    <m/>
    <m/>
    <m/>
    <m/>
    <m/>
    <m/>
    <m/>
    <m/>
    <m/>
    <m/>
    <m/>
    <m/>
    <m/>
    <m/>
    <m/>
    <n v="397076.69459999999"/>
    <n v="5302437.6712999996"/>
    <n v="47.867034500000003"/>
    <n v="-94.376240850000002"/>
    <d v="2013-12-28T09:55:00"/>
    <s v="Accepted"/>
    <s v="Reportable"/>
    <s v="Unknown"/>
    <s v="Unknown"/>
    <s v="Diver lost control rounding curve, entered right ditch and rolled over.  Roads ice covered, light freezing rain."/>
  </r>
  <r>
    <n v="10903933"/>
    <s v="03-MNTH"/>
    <n v="6"/>
    <n v="147.39599999999999"/>
    <s v="Koochiching"/>
    <s v="Big Falls"/>
    <m/>
    <s v="D1-DULUTH"/>
    <s v="Virginia"/>
    <m/>
    <m/>
    <n v="132970061"/>
    <d v="2023-09-09T00:00:00"/>
    <n v="22"/>
    <x v="3"/>
    <s v="01-Sun"/>
    <n v="19"/>
    <m/>
    <x v="0"/>
    <n v="0"/>
    <n v="1"/>
    <s v="Angle"/>
    <s v="Deer"/>
    <m/>
    <s v="Sunset"/>
    <s v="Clear"/>
    <m/>
    <s v="Dry"/>
    <s v="NOT APPLICABLE"/>
    <m/>
    <m/>
    <s v="0300000000000006-I"/>
    <s v="Single Vehicle Other"/>
    <s v="Motor Vehicle in Transport"/>
    <s v="Passenger Car"/>
    <s v="NORTHWEST"/>
    <s v="Moving Forward"/>
    <n v="46"/>
    <s v="Male"/>
    <m/>
    <m/>
    <m/>
    <m/>
    <m/>
    <m/>
    <s v="Not Applicable"/>
    <n v="55"/>
    <m/>
    <m/>
    <m/>
    <m/>
    <m/>
    <m/>
    <m/>
    <m/>
    <m/>
    <m/>
    <m/>
    <m/>
    <m/>
    <m/>
    <m/>
    <m/>
    <m/>
    <m/>
    <m/>
    <m/>
    <m/>
    <m/>
    <m/>
    <m/>
    <m/>
    <m/>
    <m/>
    <m/>
    <m/>
    <m/>
    <m/>
    <m/>
    <m/>
    <m/>
    <m/>
    <m/>
    <m/>
    <m/>
    <m/>
    <m/>
    <m/>
    <m/>
    <m/>
    <m/>
    <m/>
    <m/>
    <m/>
    <m/>
    <m/>
    <m/>
    <n v="440348.85119999998"/>
    <n v="5337840.9159000004"/>
    <n v="48.191008799999999"/>
    <n v="-93.802639880000001"/>
    <d v="2013-09-22T19:50:00"/>
    <s v="Accepted"/>
    <s v="Reportable"/>
    <s v="Unknown"/>
    <s v="Unknown"/>
    <m/>
  </r>
  <r>
    <n v="10977396"/>
    <s v="03-MNTH"/>
    <n v="65"/>
    <n v="270.55900000000003"/>
    <s v="Koochiching"/>
    <m/>
    <m/>
    <s v="D1-DULUTH"/>
    <s v="Virginia"/>
    <m/>
    <n v="14807154"/>
    <n v="141980011"/>
    <d v="2023-07-07T00:00:00"/>
    <n v="17"/>
    <x v="6"/>
    <s v="05-Thu"/>
    <n v="0"/>
    <m/>
    <x v="0"/>
    <n v="0"/>
    <n v="2"/>
    <s v="LEFT TURN"/>
    <s v="Motor Vehicle In Transport"/>
    <s v="Not at Intersection or Interch"/>
    <s v="Dark (Str Lights On)"/>
    <s v="Clear"/>
    <s v="Unknown"/>
    <s v="Dry"/>
    <s v="NOT APPLICABLE"/>
    <s v="Industrial Ave"/>
    <s v="Hwy 71"/>
    <s v="0300000000000065-I"/>
    <s v="Left Turn"/>
    <s v="Motor Vehicle in Transport"/>
    <s v="Pickup"/>
    <s v="Westbound"/>
    <s v="Overtaking/Passing"/>
    <n v="19"/>
    <s v="Male"/>
    <s v="Apparently Normal"/>
    <s v="Improper Passing"/>
    <m/>
    <m/>
    <m/>
    <s v="2-LANES 1-ECH-WY"/>
    <s v="Not Applicable"/>
    <n v="55"/>
    <s v="Straight"/>
    <s v="Level"/>
    <s v="Motor Vehicle in Transport"/>
    <s v="Pickup"/>
    <s v="Westbound"/>
    <s v="Turning Left"/>
    <n v="32"/>
    <s v="Male"/>
    <s v="Apparently Normal"/>
    <s v="IMPRP/NO SIGNAL"/>
    <m/>
    <m/>
    <m/>
    <s v="2-LANES 1-ECH-WY"/>
    <s v="Not Applicable"/>
    <n v="55"/>
    <s v="Straight"/>
    <s v="Level"/>
    <m/>
    <m/>
    <m/>
    <m/>
    <m/>
    <m/>
    <m/>
    <m/>
    <m/>
    <m/>
    <m/>
    <m/>
    <m/>
    <m/>
    <m/>
    <m/>
    <m/>
    <m/>
    <m/>
    <m/>
    <m/>
    <m/>
    <m/>
    <m/>
    <m/>
    <m/>
    <m/>
    <m/>
    <m/>
    <m/>
    <m/>
    <m/>
    <n v="457585.1581"/>
    <n v="5360966.7183999997"/>
    <n v="48.40044013"/>
    <n v="-93.573055949999997"/>
    <d v="2014-07-17T00:30:00"/>
    <s v="Accepted"/>
    <s v="Reportable"/>
    <s v="Unknown"/>
    <s v="Unknown"/>
    <s v="Unit # 1 was following Unit #2 when it attempted to overtake Unit #2. Unit #2 then attempted to make a left hand turn into an approach, crossing in front of Unit #1. Unit #1 then struck unit #2 in the rear left 1/4 panel with its right front end. Unit #1 reported no turn signal from Unit #2. Unit #2 stated that he used his turn signal. No injuries were reported. Unit #1 was towed from the scene. Moderate damage to both vehicles."/>
  </r>
  <r>
    <n v="892627"/>
    <s v="03-MNTH"/>
    <n v="72"/>
    <n v="14.922000000000001"/>
    <s v="Beltrami"/>
    <m/>
    <s v="Shooks"/>
    <s v="D2-BEMIDJI"/>
    <s v="Thief River Falls"/>
    <m/>
    <n v="21320235"/>
    <n v="210400457"/>
    <d v="2023-02-02T00:00:00"/>
    <n v="9"/>
    <x v="8"/>
    <s v="03-Tues"/>
    <n v="17"/>
    <s v="South"/>
    <x v="1"/>
    <n v="0"/>
    <n v="1"/>
    <m/>
    <s v="Other - Fixed Object"/>
    <s v="T Intersection"/>
    <s v="Sunset"/>
    <s v="Blowing Sand/Soil/Dirt/Snow"/>
    <m/>
    <s v="Dry"/>
    <s v="NOT APPLICABLE"/>
    <s v="MNTH 72"/>
    <m/>
    <s v="0300000000000072-I"/>
    <s v="Single Vehicle Run Off Road"/>
    <s v="Motor Vehicle in Transport"/>
    <s v="Medium / Heavy Trucks (More than 10,000lbs)"/>
    <s v="Southbound"/>
    <s v="Moving Forward"/>
    <n v="64"/>
    <s v="Male"/>
    <s v="Apparently Normal"/>
    <s v="Disregard Other Traffic Signs"/>
    <m/>
    <m/>
    <m/>
    <s v="Two-Way, Not Divided"/>
    <s v="Stop Sign"/>
    <n v="60"/>
    <s v="Straight"/>
    <s v="Level"/>
    <m/>
    <m/>
    <m/>
    <m/>
    <m/>
    <m/>
    <m/>
    <m/>
    <m/>
    <m/>
    <m/>
    <m/>
    <m/>
    <m/>
    <m/>
    <m/>
    <m/>
    <m/>
    <m/>
    <m/>
    <m/>
    <m/>
    <m/>
    <m/>
    <m/>
    <m/>
    <m/>
    <m/>
    <m/>
    <m/>
    <m/>
    <m/>
    <m/>
    <m/>
    <m/>
    <m/>
    <m/>
    <m/>
    <m/>
    <m/>
    <m/>
    <m/>
    <m/>
    <m/>
    <m/>
    <m/>
    <m/>
    <m/>
    <n v="392399.72720000002"/>
    <n v="5303340.8684999999"/>
    <n v="47.87439183"/>
    <n v="-94.438983609999994"/>
    <d v="2021-02-09T17:46:00"/>
    <s v="Accepted"/>
    <s v="Reportable"/>
    <s v="MN State Patrol District 3200 - Thief River Falls"/>
    <s v="State Patrol"/>
    <s v="This was a one vehicle crash.  Vehicle 1 (V1) was a tractor trailer combination.  V1 was traveling SB on MN Highway 72 approaching the T intersection with MN Highway 1.  The driver did not slow in time for the stop sign and continued through the intersection.  The vehicle ran off of the roadway straight into the Shooks Town Hall.  The town hall was completely destroyed.   The building was not occupied.  The semi was occupied by only the driver.  The driver was transported to the Bemidji Sanford ER with possible injury.  Bogarts Towing towed the vehicle."/>
  </r>
  <r>
    <n v="457235"/>
    <s v="03-MNTH"/>
    <n v="72"/>
    <n v="14.993"/>
    <s v="Beltrami"/>
    <m/>
    <s v="Shooks"/>
    <s v="D2-BEMIDJI"/>
    <s v="Thief River Falls"/>
    <m/>
    <n v="17320977"/>
    <n v="171550155"/>
    <d v="2023-06-06T00:00:00"/>
    <n v="4"/>
    <x v="4"/>
    <s v="01-Sun"/>
    <n v="14"/>
    <s v="North"/>
    <x v="0"/>
    <n v="0"/>
    <n v="2"/>
    <s v="Angle"/>
    <s v="Motor Vehicle In Transport"/>
    <s v="Not at Intersection or Interch"/>
    <s v="Daylight"/>
    <s v="Clear"/>
    <m/>
    <s v="Dry"/>
    <s v="NOT APPLICABLE"/>
    <s v="MNTH 72"/>
    <m/>
    <s v="0300000000000072-I"/>
    <s v="Angle"/>
    <s v="Motor Vehicle in Transport"/>
    <s v="Pickup"/>
    <s v="Northbound"/>
    <s v="Overtaking/Passing"/>
    <n v="63"/>
    <s v="Male"/>
    <s v="Apparently Normal"/>
    <s v="Improper Passing"/>
    <m/>
    <m/>
    <m/>
    <s v="Two-Way, Not Divided"/>
    <s v="No Controls"/>
    <n v="55"/>
    <s v="Straight"/>
    <s v="Level"/>
    <s v="Motor Vehicle in Transport"/>
    <s v="Passenger Car"/>
    <s v="Northbound"/>
    <s v="Turning Left"/>
    <n v="62"/>
    <s v="Female"/>
    <s v="Apparently Normal"/>
    <s v="No Clear Contributing Action"/>
    <m/>
    <m/>
    <m/>
    <s v="Two-Way, Not Divided"/>
    <s v="No Controls"/>
    <n v="55"/>
    <s v="Straight"/>
    <s v="Level"/>
    <m/>
    <m/>
    <m/>
    <m/>
    <m/>
    <m/>
    <m/>
    <m/>
    <m/>
    <m/>
    <m/>
    <m/>
    <m/>
    <m/>
    <m/>
    <m/>
    <m/>
    <m/>
    <m/>
    <m/>
    <m/>
    <m/>
    <m/>
    <m/>
    <m/>
    <m/>
    <m/>
    <m/>
    <m/>
    <m/>
    <m/>
    <m/>
    <n v="392399.30440000002"/>
    <n v="5303454.9749999996"/>
    <n v="47.875418099999997"/>
    <n v="-94.43901769"/>
    <d v="2017-06-04T14:03:00"/>
    <s v="Accepted"/>
    <s v="Reportable"/>
    <s v="MN State Patrol Waters Edge"/>
    <s v="State Patrol"/>
    <s v="VEH 2 PULLING BOAT/TRAILER NORTHBOUND ON MNTH HWY 72 FROM MNTH 1.  WEATHER CLEAR AND DRY. VEH 1 ALSO NORTHBOUND BEHIND VEH 2 WITH A THIRD VEHICLE (REPORTED TO BE A POSSIBLE WHITE COLORED WORK TYPE VAN) BETWEEN VEH 1 AND VEH 2.  VEH 1 BEGAN OVERTAKING BOTH THE THIRD VEHICLE AND VEH 2.  VEH 2 BEGAN TURNING LEFT INTO A ROAD ACCESS APPROACH.  AS VEH 1 WAS PASSING BOTH VEH 2 AND THE THIRD VEHICLE, VEH 1 DRIVER DID NOT SEE VEH 2 TURNING LEFT.  VEH 1 STRUCK VEH 2 AT VEH 2'S FRONT LEFT CORNER, DAMAGING THAT CORNER AND THE PASSENGER SIDE OF VEH 1.  NO REPORTED INJURIES.  VEH 2 TOWED BY PRIVATE PARTY.  DRIVER OF VEH 1 CITED FOR UNSAFE PASSING.  BOTH DRIVERS PROVIDED EXPIRED INSURANCE AND THEN PROVIDED VALID INSURANCE ON 06/05/17."/>
  </r>
  <r>
    <n v="11021964"/>
    <s v="03-MNTH"/>
    <n v="72"/>
    <n v="15.396000000000001"/>
    <s v="Beltrami"/>
    <m/>
    <s v="Shooks"/>
    <s v="D2-BEMIDJI"/>
    <s v="Thief River Falls"/>
    <m/>
    <n v="15321283"/>
    <n v="152640299"/>
    <d v="2023-09-09T00:00:00"/>
    <n v="19"/>
    <x v="1"/>
    <s v="07-Sat"/>
    <n v="17"/>
    <m/>
    <x v="2"/>
    <n v="0"/>
    <n v="1"/>
    <s v="RAN OFF RD-LEFT"/>
    <s v="EMBANKMT/DTCH/CB"/>
    <s v="Not at Intersection or Interch"/>
    <s v="Daylight"/>
    <s v="Clear"/>
    <m/>
    <s v="Dry"/>
    <s v="NOT APPLICABLE"/>
    <s v="72 HWY NE"/>
    <n v="1"/>
    <s v="0300000000000072-I"/>
    <s v="Single Vehicle Run Off Road"/>
    <s v="Motor Vehicle in Transport"/>
    <s v="Passenger Car"/>
    <s v="Northbound"/>
    <s v="Moving Forward"/>
    <n v="67"/>
    <s v="Female"/>
    <s v="Apparently Normal"/>
    <s v="Inattentive/Distraction (Talking, Eating)"/>
    <m/>
    <m/>
    <m/>
    <s v="2-LANES 1-ECH-WY"/>
    <s v="Not Applicable"/>
    <n v="55"/>
    <s v="Straight"/>
    <s v="Level"/>
    <m/>
    <m/>
    <m/>
    <m/>
    <m/>
    <m/>
    <m/>
    <m/>
    <m/>
    <m/>
    <m/>
    <m/>
    <m/>
    <m/>
    <m/>
    <m/>
    <m/>
    <m/>
    <m/>
    <m/>
    <m/>
    <m/>
    <m/>
    <m/>
    <m/>
    <m/>
    <m/>
    <m/>
    <m/>
    <m/>
    <m/>
    <m/>
    <m/>
    <m/>
    <m/>
    <m/>
    <m/>
    <m/>
    <m/>
    <m/>
    <m/>
    <m/>
    <m/>
    <m/>
    <m/>
    <m/>
    <m/>
    <m/>
    <n v="392382.0453"/>
    <n v="5304103.2781999996"/>
    <n v="47.881246390000001"/>
    <n v="-94.43940997"/>
    <d v="2015-09-19T17:04:00"/>
    <s v="Accepted"/>
    <s v="Reportable"/>
    <s v="Unknown"/>
    <s v="Unknown"/>
    <s v="V1 was traveling north on MNTH 72. V1 ran off the left side of the road, crashed head on into the south side of a field approach embankment, went airborn, and landed upright on the north side of the field approach. V1 received severe damage to multiple areas. V1`s airbags were deployed. Driver of V1 was wearing their seat belt. Driver of  V1 was injured and was transported to Bemidji Sanford Hospital by Ambulance. Driver of V1 was then flown by helicopter to Essentia in Fargo. There were no other passenger`s in V1. I spoke with the driver of V1 at the scene. The driver was conscious and stated she was traveling from Bemidji to Williams, MN but did not remember how she crashed. There were two witnesses to the crash. The witnesses were traveling together north bound on MNTH 72 behind V1. The witnesses stated V1 appeared to be driving fine when it suddenly drove off the left side of the road into the ditch hitting the field approach. The witnesses stated they were approximately 2 car lengths behind V1 and were traveling at approximately 55-60 mph. V1 was towed by Bogarts. The scene was painted and photographed."/>
  </r>
  <r>
    <n v="984373"/>
    <s v="03-MNTH"/>
    <n v="72"/>
    <n v="16.222999999999999"/>
    <s v="Beltrami"/>
    <m/>
    <s v="Shooks"/>
    <s v="D2-BEMIDJI"/>
    <s v="Thief River Falls"/>
    <m/>
    <n v="21322110"/>
    <n v="213610358"/>
    <d v="2023-12-12T00:00:00"/>
    <n v="27"/>
    <x v="8"/>
    <s v="02-Mon"/>
    <n v="11"/>
    <s v="Not Applicable"/>
    <x v="0"/>
    <n v="0"/>
    <n v="2"/>
    <s v="Sideswipe - Same Direction"/>
    <s v="Motor Vehicle In Transport"/>
    <s v="Not at Intersection or Interch"/>
    <s v="Daylight"/>
    <s v="Snow"/>
    <s v="Cloudy"/>
    <s v="Snow"/>
    <s v="NOT APPLICABLE"/>
    <s v="MNTH 72"/>
    <m/>
    <s v="0300000000000072-I"/>
    <s v="Sideswipe Same Direction"/>
    <s v="Motor Vehicle in Transport"/>
    <s v="Sport Utility Vehicle"/>
    <s v="Northbound"/>
    <s v="Moving Forward"/>
    <n v="49"/>
    <s v="Male"/>
    <s v="Apparently Normal"/>
    <s v="Other Contributing Action"/>
    <m/>
    <m/>
    <m/>
    <s v="Two-Way, Not Divided"/>
    <s v="No Controls"/>
    <n v="55"/>
    <s v="Straight"/>
    <s v="Level"/>
    <s v="Motor Vehicle in Transport"/>
    <s v="Pickup"/>
    <s v="Northbound"/>
    <s v="Turning Left"/>
    <n v="21"/>
    <s v="Male"/>
    <s v="Apparently Normal"/>
    <s v="No Clear Contributing Action"/>
    <m/>
    <m/>
    <m/>
    <s v="Two-Way, Not Divided"/>
    <s v="No Controls"/>
    <n v="55"/>
    <s v="Straight"/>
    <s v="Level"/>
    <m/>
    <m/>
    <m/>
    <m/>
    <m/>
    <m/>
    <m/>
    <m/>
    <m/>
    <m/>
    <m/>
    <m/>
    <m/>
    <m/>
    <m/>
    <m/>
    <m/>
    <m/>
    <m/>
    <m/>
    <m/>
    <m/>
    <m/>
    <m/>
    <m/>
    <m/>
    <m/>
    <m/>
    <m/>
    <m/>
    <m/>
    <m/>
    <n v="392323.25439999998"/>
    <n v="5305432.4483000003"/>
    <n v="47.893191780000002"/>
    <n v="-94.440527579999994"/>
    <d v="2021-12-27T11:00:00"/>
    <s v="Accepted"/>
    <s v="Reportable"/>
    <s v="MN State Patrol District 3200 - Thief River Falls"/>
    <s v="State Patrol"/>
    <s v="Unit 2 was northbound on MNTH 72 turning left into a residence driveway to deliver packages. Unit 1 was also northbound in the correct lane when Unit 1 collided into the driver side of Unit 2 as it was turning left onto the driveway. Unit 1 was going too fast for the conditions and could not slow down to avoid collision with Unit 2. Both vehicle's final rest was in the west ditch of MNTH 72. Both vehicle's had moderate damage and had to be towed due to airbag deployments."/>
  </r>
  <r>
    <n v="408860"/>
    <s v="03-MNTH"/>
    <n v="72"/>
    <n v="16.896999999999998"/>
    <s v="Beltrami"/>
    <m/>
    <s v="Shooks"/>
    <s v="D2-BEMIDJI"/>
    <s v="Thief River Falls"/>
    <m/>
    <n v="16322036"/>
    <n v="163580424"/>
    <d v="2023-12-12T00:00:00"/>
    <n v="23"/>
    <x v="7"/>
    <s v="06-Fri"/>
    <n v="10"/>
    <m/>
    <x v="1"/>
    <n v="0"/>
    <n v="3"/>
    <s v="Sideswipe - Same Direction"/>
    <s v="Motor Vehicle In Transport"/>
    <s v="Not at Intersection or Interch"/>
    <s v="Daylight"/>
    <s v="Clear"/>
    <m/>
    <s v="Dry"/>
    <s v="NOT APPLICABLE"/>
    <s v="MNTH 72"/>
    <m/>
    <s v="0300000000000072-I"/>
    <s v="Sideswipe Same Direction"/>
    <s v="Motor Vehicle in Transport"/>
    <s v="Pickup"/>
    <s v="Southbound"/>
    <s v="Overtaking/Passing"/>
    <n v="28"/>
    <s v="Male"/>
    <s v="Apparently Normal"/>
    <s v="Failed to Keep in Proper Lane"/>
    <m/>
    <m/>
    <m/>
    <s v="Two-Way, Not Divided"/>
    <s v="No Controls"/>
    <n v="55"/>
    <s v="Straight"/>
    <s v="Level"/>
    <s v="Motor Vehicle in Transport"/>
    <s v="Sport Utility Vehicle"/>
    <s v="Southbound"/>
    <s v="Turning Left"/>
    <n v="61"/>
    <s v="Female"/>
    <s v="Apparently Normal"/>
    <s v="No Clear Contributing Action"/>
    <m/>
    <m/>
    <m/>
    <s v="Two-Way, Not Divided"/>
    <s v="No Controls"/>
    <n v="55"/>
    <s v="Straight"/>
    <s v="Level"/>
    <s v="Motor Vehicle in Transport"/>
    <s v="Pickup"/>
    <s v="Southbound"/>
    <s v="Moving Forward"/>
    <n v="28"/>
    <s v="Male"/>
    <s v="Apparently Normal"/>
    <s v="No Clear Contributing Action"/>
    <m/>
    <m/>
    <m/>
    <s v="Two-Way, Not Divided"/>
    <s v="No Controls"/>
    <n v="55"/>
    <s v="Straight"/>
    <s v="Level"/>
    <m/>
    <m/>
    <m/>
    <m/>
    <m/>
    <m/>
    <m/>
    <m/>
    <m/>
    <m/>
    <m/>
    <m/>
    <m/>
    <m/>
    <m/>
    <m/>
    <n v="392267.07339999999"/>
    <n v="5306515.9515000004"/>
    <n v="47.902927920000003"/>
    <n v="-94.44154949"/>
    <d v="2016-12-23T10:26:00"/>
    <s v="Accepted"/>
    <s v="Reportable"/>
    <s v="MN State Patrol District 3200 - Thief River Falls"/>
    <s v="State Patrol"/>
    <s v="V1 (Red Chevrolet Silverado) was traveling south on MNTH 72 and was pulling a large fish house. V2 (Ford Escape) was traveling south on MNTH 72 and was going to make a turn into their driveway at 37560 MNTH 72. V3 was traveling south on MNTH 72 behind V1 and were pulling a utility trailer loaded with an ATV. _x000a__x000a_The driver of V2 slowed to make a left turn into their driveway and stated they used their left turn signal. Driver of V1 did not see V2 slow down to make a left turn, slowed and began to pass on the left to go around V2. The fish house lights were not working and the fish house obstructed V1's tail lights. Driver of V3 did not see brake lights or turn signals from V1 due to the fish house lights not working.  Driver of V3 saw V2 in the right lane stopped to make a left turn into their driveway while V1 was in the left lane passing V2. Driver of V3 had no where to go and went in between both vehicles sideswiping V2 on the driver's side with the passenger's side of their trailer. _x000a__x000a_All vehicle's pulled to the shoulder of the road after the collision. V2 received moderate damage to the driver's side. V3 received moderate damage to the passenger's side front tire and trailer frame. Driver of V1 observed he had no damages to his vehicle or the fish house and fled the scene without exchanging any information with the other two driver's. A Beltrami County Deputy located V3 and stopped them and had them return to the crash scene. Driver of V1 stated he did not know he was required to stop and exchange information._x000a__x000a_I checked V2's brake and signal lights and all were working properly. I checked the brake and signal lights on the fish house V1 was pulling and they were not working. The front seat passenger of V1 and owner of the fish house stated the trailer lights were working when they hooked the fish house to V1. The owner of V1 did not have any registration on the fish house and stated he purchased the fish house two years ago and didn't know he needed registration for it. The owner of the fish house was able to get the fish house lights working again at the scene and stated the connection was loose._x000a__x000a_All vehicle's were driven from the scene and photographs were taken._x000a__x000a_Driver of V1 was cited for unsafe passing and leaving the scene of a crash. The front seat passenger of V1 and owner of the fish house was cited for tail lights not working and no Minnesota Registration on his fish house."/>
  </r>
  <r>
    <n v="10851895"/>
    <s v="03-MNTH"/>
    <n v="72"/>
    <n v="17.024999999999999"/>
    <s v="Beltrami"/>
    <m/>
    <s v="Shooks"/>
    <s v="D2-BEMIDJI"/>
    <s v="Thief River Falls"/>
    <m/>
    <n v="13320333"/>
    <n v="131400319"/>
    <d v="2023-05-05T00:00:00"/>
    <n v="10"/>
    <x v="3"/>
    <s v="06-Fri"/>
    <n v="7"/>
    <s v="South"/>
    <x v="0"/>
    <n v="0"/>
    <n v="1"/>
    <s v="RAN OFF RD-LEFT"/>
    <s v="GUARDRAIL"/>
    <s v="Not at Intersection or Interch"/>
    <s v="Daylight"/>
    <s v="Clear"/>
    <m/>
    <s v="Dry"/>
    <s v="NOT APPLICABLE"/>
    <s v="72 HWY NE"/>
    <s v="KELLIHER"/>
    <s v="0300000000000072-I"/>
    <s v="Single Vehicle Run Off Road"/>
    <s v="Motor Vehicle in Transport"/>
    <s v="VAN OR MINIVAN"/>
    <s v="Southbound"/>
    <s v="Moving Forward"/>
    <n v="42"/>
    <s v="Female"/>
    <s v="Unknown"/>
    <s v="No Clear Contributing Action"/>
    <m/>
    <m/>
    <m/>
    <s v="2-LANES 1-ECH-WY"/>
    <s v="Not Applicable"/>
    <n v="55"/>
    <s v="Straight"/>
    <s v="Level"/>
    <m/>
    <m/>
    <m/>
    <m/>
    <m/>
    <m/>
    <m/>
    <m/>
    <m/>
    <m/>
    <m/>
    <m/>
    <m/>
    <m/>
    <m/>
    <m/>
    <m/>
    <m/>
    <m/>
    <m/>
    <m/>
    <m/>
    <m/>
    <m/>
    <m/>
    <m/>
    <m/>
    <m/>
    <m/>
    <m/>
    <m/>
    <m/>
    <m/>
    <m/>
    <m/>
    <m/>
    <m/>
    <m/>
    <m/>
    <m/>
    <m/>
    <m/>
    <m/>
    <m/>
    <m/>
    <m/>
    <m/>
    <m/>
    <n v="392256.92619999999"/>
    <n v="5306721.8682000004"/>
    <n v="47.904778329999999"/>
    <n v="-94.441736660000004"/>
    <d v="2013-05-10T07:50:00"/>
    <s v="Accepted"/>
    <s v="Reportable"/>
    <s v="Unknown"/>
    <s v="Unknown"/>
    <s v="V SB MNTH 72, SWERVED TO MISS DEER, HIT GUARDRAIL ON EAST SIDE"/>
  </r>
  <r>
    <n v="11019933"/>
    <s v="03-MNTH"/>
    <n v="72"/>
    <n v="17.355"/>
    <s v="Beltrami"/>
    <m/>
    <s v="Shooks"/>
    <s v="D2-BEMIDJI"/>
    <s v="Thief River Falls"/>
    <m/>
    <n v="15009818"/>
    <n v="151640133"/>
    <d v="2023-06-06T00:00:00"/>
    <n v="13"/>
    <x v="1"/>
    <s v="07-Sat"/>
    <n v="21"/>
    <m/>
    <x v="0"/>
    <n v="0"/>
    <n v="1"/>
    <s v="NOT APPLICABLE"/>
    <s v="Deer"/>
    <s v="Not at Intersection or Interch"/>
    <s v="Dark (No Str Lights)"/>
    <s v="Clear"/>
    <m/>
    <s v="Dry"/>
    <s v="NOT APPLICABLE"/>
    <s v="HWY 72 NE"/>
    <s v="TANNEM RD NE"/>
    <s v="0300000000000072-I"/>
    <s v="Single Vehicle Other"/>
    <s v="Motor Vehicle in Transport"/>
    <s v="VAN OR MINIVAN"/>
    <s v="Southbound"/>
    <s v="Moving Forward"/>
    <n v="54"/>
    <s v="Male"/>
    <s v="Apparently Normal"/>
    <s v="No Clear Contributing Action"/>
    <m/>
    <m/>
    <m/>
    <s v="2-LANES 1-ECH-WY"/>
    <s v="Not Applicable"/>
    <n v="55"/>
    <s v="Straight"/>
    <s v="Level"/>
    <m/>
    <m/>
    <m/>
    <m/>
    <m/>
    <m/>
    <m/>
    <m/>
    <m/>
    <m/>
    <m/>
    <m/>
    <m/>
    <m/>
    <m/>
    <m/>
    <m/>
    <m/>
    <m/>
    <m/>
    <m/>
    <m/>
    <m/>
    <m/>
    <m/>
    <m/>
    <m/>
    <m/>
    <m/>
    <m/>
    <m/>
    <m/>
    <m/>
    <m/>
    <m/>
    <m/>
    <m/>
    <m/>
    <m/>
    <m/>
    <m/>
    <m/>
    <m/>
    <m/>
    <m/>
    <m/>
    <m/>
    <m/>
    <n v="392230.78710000002"/>
    <n v="5307252.3091000002"/>
    <n v="47.90954498"/>
    <n v="-94.442218879999999"/>
    <d v="2015-06-13T21:19:00"/>
    <s v="Accepted"/>
    <s v="Reportable"/>
    <s v="Unknown"/>
    <s v="Unknown"/>
    <s v="Unit 1 was southbound on MN HWY 72 when a deer ran in front of the vehicle.  The driver could not avoid striking the deer."/>
  </r>
  <r>
    <n v="974721"/>
    <s v="03-MNTH"/>
    <n v="72"/>
    <n v="17.864999999999998"/>
    <s v="Beltrami"/>
    <m/>
    <s v="Shooks"/>
    <s v="D2-BEMIDJI"/>
    <s v="Thief River Falls"/>
    <m/>
    <n v="21020612"/>
    <n v="213230161"/>
    <d v="2023-11-11T00:00:00"/>
    <n v="19"/>
    <x v="8"/>
    <s v="06-Fri"/>
    <n v="17"/>
    <s v="Not Applicable"/>
    <x v="0"/>
    <n v="0"/>
    <n v="1"/>
    <m/>
    <s v="Deer"/>
    <s v="Not at Intersection or Interch"/>
    <s v="Dark (No Str Lights)"/>
    <s v="Clear"/>
    <m/>
    <s v="Dry"/>
    <s v="NOT APPLICABLE"/>
    <s v="MNTH 72"/>
    <m/>
    <s v="0300000000000072-I"/>
    <s v="Single Vehicle Other"/>
    <s v="Motor Vehicle in Transport"/>
    <s v="Passenger Car"/>
    <s v="Southbound"/>
    <s v="Moving Forward"/>
    <n v="53"/>
    <s v="Male"/>
    <s v="Apparently Normal"/>
    <s v="No Clear Contributing Action"/>
    <m/>
    <m/>
    <m/>
    <s v="Two-Way, Not Divided"/>
    <s v="No Controls"/>
    <n v="55"/>
    <s v="Straight"/>
    <s v="Level"/>
    <m/>
    <m/>
    <m/>
    <m/>
    <m/>
    <m/>
    <m/>
    <m/>
    <m/>
    <m/>
    <m/>
    <m/>
    <m/>
    <m/>
    <m/>
    <m/>
    <m/>
    <m/>
    <m/>
    <m/>
    <m/>
    <m/>
    <m/>
    <m/>
    <m/>
    <m/>
    <m/>
    <m/>
    <m/>
    <m/>
    <m/>
    <m/>
    <m/>
    <m/>
    <m/>
    <m/>
    <m/>
    <m/>
    <m/>
    <m/>
    <m/>
    <m/>
    <m/>
    <m/>
    <m/>
    <m/>
    <m/>
    <m/>
    <n v="392189.95539999998"/>
    <n v="5308071.9315999998"/>
    <n v="47.916910180000002"/>
    <n v="-94.442970110000005"/>
    <d v="2021-11-19T17:44:00"/>
    <s v="Accepted"/>
    <s v="Reportable"/>
    <s v="Beltrami County Sheriff"/>
    <s v="Sheriff"/>
    <s v="UNIT 1 STRUCK A DEER."/>
  </r>
  <r>
    <n v="452468"/>
    <s v="03-MNTH"/>
    <n v="72"/>
    <n v="18.309000000000001"/>
    <s v="Beltrami"/>
    <m/>
    <s v="Shooks"/>
    <s v="D2-BEMIDJI"/>
    <s v="Thief River Falls"/>
    <m/>
    <n v="17320859"/>
    <n v="171340186"/>
    <d v="2023-05-05T00:00:00"/>
    <n v="14"/>
    <x v="4"/>
    <s v="01-Sun"/>
    <n v="21"/>
    <s v="Not Applicable"/>
    <x v="3"/>
    <n v="0"/>
    <n v="1"/>
    <m/>
    <s v="Deer"/>
    <s v="Not at Intersection or Interch"/>
    <s v="Dark (No Str Lights)"/>
    <s v="Clear"/>
    <m/>
    <s v="Dry"/>
    <s v="NOT APPLICABLE"/>
    <s v="MNTH 72"/>
    <m/>
    <s v="0300000000000072-I"/>
    <s v="Single Vehicle Other"/>
    <s v="Motor Vehicle in Transport"/>
    <s v="Pickup"/>
    <s v="Northbound"/>
    <s v="Moving Forward"/>
    <n v="66"/>
    <s v="Male"/>
    <s v="Apparently Normal"/>
    <s v="No Clear Contributing Action"/>
    <m/>
    <m/>
    <m/>
    <s v="Two-Way, Not Divided"/>
    <s v="No Controls"/>
    <n v="55"/>
    <s v="Straight"/>
    <s v="Level"/>
    <m/>
    <m/>
    <m/>
    <m/>
    <m/>
    <m/>
    <m/>
    <m/>
    <m/>
    <m/>
    <m/>
    <m/>
    <m/>
    <m/>
    <m/>
    <m/>
    <m/>
    <m/>
    <m/>
    <m/>
    <m/>
    <m/>
    <m/>
    <m/>
    <m/>
    <m/>
    <m/>
    <m/>
    <m/>
    <m/>
    <m/>
    <m/>
    <m/>
    <m/>
    <m/>
    <m/>
    <m/>
    <m/>
    <m/>
    <m/>
    <m/>
    <m/>
    <m/>
    <m/>
    <m/>
    <m/>
    <m/>
    <m/>
    <n v="392152.26669999998"/>
    <n v="5308785.2231999999"/>
    <n v="47.923319509999999"/>
    <n v="-94.443652900000004"/>
    <d v="2017-05-14T21:40:00"/>
    <s v="Accepted"/>
    <s v="Reportable"/>
    <s v="MN State Patrol District 3200 - Thief River Falls"/>
    <s v="State Patrol"/>
    <s v="V1 NB on MNTH 72 near MP 18 and struck numerous deer.  On scene treatment was provided by Blackduck ambulance.  All refused transport as they were going to wait until they got home to Canada for medical treatment,  where they had insurance."/>
  </r>
  <r>
    <n v="10940014"/>
    <s v="03-MNTH"/>
    <n v="72"/>
    <n v="18.936"/>
    <s v="Beltrami"/>
    <m/>
    <s v="Shooks"/>
    <s v="D2-BEMIDJI"/>
    <s v="Thief River Falls"/>
    <m/>
    <m/>
    <n v="150060207"/>
    <d v="2023-12-12T00:00:00"/>
    <n v="2"/>
    <x v="6"/>
    <s v="03-Tues"/>
    <n v="18"/>
    <m/>
    <x v="0"/>
    <n v="0"/>
    <n v="1"/>
    <s v="Other"/>
    <s v="Deer"/>
    <m/>
    <s v="Dark (No Str Lights)"/>
    <s v="Clear"/>
    <m/>
    <s v="Dry"/>
    <s v="NOT APPLICABLE"/>
    <m/>
    <m/>
    <s v="0300000000000072-I"/>
    <s v="Single Vehicle Other"/>
    <s v="Motor Vehicle in Transport"/>
    <s v="Passenger Car"/>
    <s v="Southbound"/>
    <s v="Swerved or Attempt to Avoid Object in Roadway"/>
    <n v="29"/>
    <s v="Male"/>
    <m/>
    <m/>
    <m/>
    <m/>
    <m/>
    <m/>
    <s v="Not Applicable"/>
    <n v="55"/>
    <m/>
    <m/>
    <m/>
    <m/>
    <m/>
    <m/>
    <m/>
    <m/>
    <m/>
    <m/>
    <m/>
    <m/>
    <m/>
    <m/>
    <m/>
    <m/>
    <m/>
    <m/>
    <m/>
    <m/>
    <m/>
    <m/>
    <m/>
    <m/>
    <m/>
    <m/>
    <m/>
    <m/>
    <m/>
    <m/>
    <m/>
    <m/>
    <m/>
    <m/>
    <m/>
    <m/>
    <m/>
    <m/>
    <m/>
    <m/>
    <m/>
    <m/>
    <m/>
    <m/>
    <m/>
    <m/>
    <m/>
    <m/>
    <m/>
    <m/>
    <n v="391860.27539999998"/>
    <n v="5309746.0365000004"/>
    <n v="47.931912279999999"/>
    <n v="-94.447801409999997"/>
    <d v="2014-12-02T18:00:00"/>
    <s v="Accepted"/>
    <s v="Reportable"/>
    <s v="Unknown"/>
    <s v="Unknown"/>
    <m/>
  </r>
  <r>
    <n v="10938161"/>
    <s v="03-MNTH"/>
    <n v="72"/>
    <n v="19.504999999999999"/>
    <s v="Beltrami"/>
    <s v="Kelliher"/>
    <m/>
    <s v="D2-BEMIDJI"/>
    <s v="Thief River Falls"/>
    <m/>
    <m/>
    <n v="142950044"/>
    <d v="2023-09-09T00:00:00"/>
    <n v="17"/>
    <x v="6"/>
    <s v="04-Wed"/>
    <n v="5"/>
    <m/>
    <x v="0"/>
    <n v="0"/>
    <n v="1"/>
    <s v="HEAD-ON"/>
    <s v="Deer"/>
    <m/>
    <s v="Dark (No Str Lights)"/>
    <s v="Clear"/>
    <m/>
    <s v="Dry"/>
    <s v="NOT APPLICABLE"/>
    <m/>
    <m/>
    <s v="0300000000000072-I"/>
    <s v="Single Vehicle Other"/>
    <s v="Motor Vehicle in Transport"/>
    <s v="Pickup"/>
    <s v="Northbound"/>
    <s v="Moving Forward"/>
    <n v="65"/>
    <s v="Male"/>
    <m/>
    <m/>
    <m/>
    <m/>
    <m/>
    <m/>
    <m/>
    <n v="50"/>
    <m/>
    <m/>
    <m/>
    <m/>
    <m/>
    <m/>
    <m/>
    <m/>
    <m/>
    <m/>
    <m/>
    <m/>
    <m/>
    <m/>
    <m/>
    <m/>
    <m/>
    <m/>
    <m/>
    <m/>
    <m/>
    <m/>
    <m/>
    <m/>
    <m/>
    <m/>
    <m/>
    <m/>
    <m/>
    <m/>
    <m/>
    <m/>
    <m/>
    <m/>
    <m/>
    <m/>
    <m/>
    <m/>
    <m/>
    <m/>
    <m/>
    <m/>
    <m/>
    <m/>
    <m/>
    <m/>
    <m/>
    <m/>
    <m/>
    <m/>
    <n v="391824.70750000002"/>
    <n v="5310657.9496999998"/>
    <n v="47.9401084"/>
    <n v="-94.448506559999998"/>
    <d v="2014-09-17T05:15:00"/>
    <s v="Accepted"/>
    <s v="Reportable"/>
    <s v="Unknown"/>
    <s v="Unknown"/>
    <m/>
  </r>
  <r>
    <n v="985696"/>
    <s v="03-MNTH"/>
    <n v="72"/>
    <n v="19.533999999999999"/>
    <s v="Beltrami"/>
    <s v="Kelliher"/>
    <m/>
    <s v="D2-BEMIDJI"/>
    <s v="Thief River Falls"/>
    <m/>
    <n v="21000602"/>
    <n v="213620588"/>
    <d v="2023-12-12T00:00:00"/>
    <n v="28"/>
    <x v="8"/>
    <s v="03-Tues"/>
    <n v="12"/>
    <s v="Not Applicable"/>
    <x v="0"/>
    <n v="0"/>
    <n v="2"/>
    <s v="Front to Rear"/>
    <s v="Motor Vehicle In Transport"/>
    <s v="Not at Intersection or Interch"/>
    <s v="Daylight"/>
    <s v="Blowing Sand/Soil/Dirt/Snow"/>
    <s v="Snow"/>
    <s v="Snow"/>
    <s v="NOT APPLICABLE"/>
    <s v="CLARK AVE S"/>
    <s v="KELLIHER ROAD"/>
    <s v="0300000000000072-I"/>
    <s v="Rear End"/>
    <s v="Motor Vehicle in Transport"/>
    <s v="Passenger Car"/>
    <s v="Northbound"/>
    <s v="Moving Forward"/>
    <n v="43"/>
    <s v="Male"/>
    <s v="Apparently Normal"/>
    <s v="Following Too Closely"/>
    <m/>
    <m/>
    <m/>
    <s v="Two-Way, Not Divided"/>
    <s v="No Controls"/>
    <n v="30"/>
    <s v="Straight"/>
    <s v="Level"/>
    <s v="Motor Vehicle in Transport"/>
    <s v="Medium / Heavy Trucks (More than 10,000lbs)"/>
    <s v="Northbound"/>
    <s v="Moving Forward"/>
    <n v="51"/>
    <s v="Male"/>
    <s v="Apparently Normal"/>
    <s v="No Clear Contributing Action"/>
    <m/>
    <m/>
    <m/>
    <s v="Two-Way, Not Divided"/>
    <s v="No Controls"/>
    <n v="30"/>
    <s v="Straight"/>
    <s v="Level"/>
    <m/>
    <m/>
    <m/>
    <m/>
    <m/>
    <m/>
    <m/>
    <m/>
    <m/>
    <m/>
    <m/>
    <m/>
    <m/>
    <m/>
    <m/>
    <m/>
    <m/>
    <m/>
    <m/>
    <m/>
    <m/>
    <m/>
    <m/>
    <m/>
    <m/>
    <m/>
    <m/>
    <m/>
    <m/>
    <m/>
    <m/>
    <m/>
    <n v="391825.09629999998"/>
    <n v="5310704.7143000001"/>
    <n v="47.940529089999998"/>
    <n v="-94.4485131"/>
    <d v="2021-12-28T12:15:00"/>
    <s v="Accepted"/>
    <s v="Reportable"/>
    <s v="Blackduck Police Dept"/>
    <s v="Police"/>
    <s v="Unit 1 rear ended unit 2.  The conditions were heavy snow and slippery roads.  Both units were entering a 30 MPH zone and Unit 1 indicated they could not see unit 2."/>
  </r>
  <r>
    <n v="528251"/>
    <s v="03-MNTH"/>
    <n v="72"/>
    <n v="20.181999999999999"/>
    <s v="Beltrami"/>
    <s v="Kelliher"/>
    <m/>
    <s v="D2-BEMIDJI"/>
    <s v="Thief River Falls"/>
    <m/>
    <n v="17322306"/>
    <n v="173600031"/>
    <d v="2023-12-12T00:00:00"/>
    <n v="26"/>
    <x v="4"/>
    <s v="03-Tues"/>
    <n v="9"/>
    <s v="Not Applicable"/>
    <x v="0"/>
    <n v="0"/>
    <n v="1"/>
    <m/>
    <s v="Overturn/Rollover"/>
    <s v="Not at Intersection or Interch"/>
    <s v="Daylight"/>
    <s v="Clear"/>
    <m/>
    <s v="Ice/Frost"/>
    <s v="NOT APPLICABLE"/>
    <s v="CLARK AVE"/>
    <m/>
    <s v="0300000000000072-I"/>
    <s v="Single Vehicle Run Off Road"/>
    <s v="Motor Vehicle in Transport"/>
    <s v="Passenger Car"/>
    <s v="Northbound"/>
    <s v="Moving Forward"/>
    <n v="22"/>
    <s v="Male"/>
    <s v="Apparently Normal"/>
    <s v="No Clear Contributing Action"/>
    <m/>
    <m/>
    <m/>
    <s v="Two-Way, Not Divided"/>
    <s v="No Controls"/>
    <n v="30"/>
    <s v="Straight"/>
    <s v="Level"/>
    <m/>
    <m/>
    <m/>
    <m/>
    <m/>
    <m/>
    <m/>
    <m/>
    <m/>
    <m/>
    <m/>
    <m/>
    <m/>
    <m/>
    <m/>
    <m/>
    <m/>
    <m/>
    <m/>
    <m/>
    <m/>
    <m/>
    <m/>
    <m/>
    <m/>
    <m/>
    <m/>
    <m/>
    <m/>
    <m/>
    <m/>
    <m/>
    <m/>
    <m/>
    <m/>
    <m/>
    <m/>
    <m/>
    <m/>
    <m/>
    <m/>
    <m/>
    <m/>
    <m/>
    <m/>
    <m/>
    <m/>
    <m/>
    <n v="391791.89449999999"/>
    <n v="5311744.1021999996"/>
    <n v="47.949872139999997"/>
    <n v="-94.449218900000005"/>
    <d v="2017-12-26T09:33:00"/>
    <s v="Accepted"/>
    <s v="Reportable"/>
    <s v="MN State Patrol District 3200 - Thief River Falls"/>
    <s v="State Patrol"/>
    <s v="V1 (Toyota SR5) was traveling northbound on MNTH 72 through Kelliher, lost control on the icy roadway, went off the left (west) side of the roadway into the ditch and rolled onto its passenger's side. Driver and passenger of V1 were wearing their seat belts and were not injured. No airbags deployed on the vehicle. V1 was pulled out of the ditch by Bogart's. V1 was driven from the scene with moderate damage to multiple areas. Driver of V1 stated the power steering on V1 would go out intermittently and stated he did not have power steering on V1 when he lost control and was unable to correct V1 when it started to lose control. Photographs were taken at the scene."/>
  </r>
  <r>
    <n v="975872"/>
    <s v="03-MNTH"/>
    <n v="72"/>
    <n v="20.495999999999999"/>
    <s v="Beltrami"/>
    <s v="Kelliher"/>
    <m/>
    <s v="D2-BEMIDJI"/>
    <s v="Thief River Falls"/>
    <m/>
    <n v="21321914"/>
    <n v="213300037"/>
    <d v="2023-11-11T00:00:00"/>
    <n v="26"/>
    <x v="8"/>
    <s v="06-Fri"/>
    <n v="11"/>
    <s v="Not Applicable"/>
    <x v="0"/>
    <n v="0"/>
    <n v="2"/>
    <s v="Front to Rear"/>
    <s v="Motor Vehicle In Transport"/>
    <s v="Not at Intersection or Interch"/>
    <s v="Daylight"/>
    <s v="Clear"/>
    <m/>
    <s v="Dry"/>
    <s v="NOT APPLICABLE"/>
    <s v="MNTH 72"/>
    <m/>
    <s v="0300000000000072-I"/>
    <s v="Rear End"/>
    <s v="Motor Vehicle in Transport"/>
    <s v="Passenger Car"/>
    <s v="Northbound"/>
    <s v="Moving Forward"/>
    <n v="18"/>
    <s v="Male"/>
    <s v="Apparently Normal"/>
    <s v="Driver Distracted"/>
    <s v="Driver Speeding"/>
    <m/>
    <m/>
    <s v="Two-Way, Not Divided"/>
    <s v="No Controls"/>
    <n v="55"/>
    <s v="Straight"/>
    <s v="Level"/>
    <s v="Motor Vehicle in Transport"/>
    <s v="Pickup"/>
    <s v="Northbound"/>
    <s v="Moving Forward"/>
    <n v="21"/>
    <s v="Male"/>
    <s v="Apparently Normal"/>
    <s v="No Clear Contributing Action"/>
    <m/>
    <m/>
    <m/>
    <s v="Two-Way, Not Divided"/>
    <s v="No Controls"/>
    <n v="55"/>
    <s v="Straight"/>
    <s v="Level"/>
    <m/>
    <m/>
    <m/>
    <m/>
    <m/>
    <m/>
    <m/>
    <m/>
    <m/>
    <m/>
    <m/>
    <m/>
    <m/>
    <m/>
    <m/>
    <m/>
    <m/>
    <m/>
    <m/>
    <m/>
    <m/>
    <m/>
    <m/>
    <m/>
    <m/>
    <m/>
    <m/>
    <m/>
    <m/>
    <m/>
    <m/>
    <m/>
    <n v="391748.3812"/>
    <n v="5312247.8148999996"/>
    <n v="47.95439537"/>
    <n v="-94.449928229999998"/>
    <d v="2021-11-26T11:45:00"/>
    <s v="Accepted"/>
    <s v="Reportable"/>
    <s v="MN State Patrol District 3200 - Thief River Falls"/>
    <s v="State Patrol"/>
    <s v="Unit 1 (MNLP: 437XVA, Silver Chevy Cruze) was driving NB on USTH 72 leaving the city of Kelliher, MN. Unit 1 was driven by Brandyn Jay Anderson, DOB: 10/09/2003. Unit 1 was following Unit 2 (MNLP: DZL978, White Chevy Silverado) pulling a Yetti Outdoors fish house with MNLP: RW88942. Unit 2 was driven by Connor George Meagher, DOB: 08/18/2000. Unit 1 collided front to rear into the Yetti fish house at highway speeds in the NB lanes of USTH 72. Moderate damage was sustained to Unit 1 which was towed due to all airbags being deployed. Unit 2, trailer sustained minor damage and was functional."/>
  </r>
  <r>
    <n v="10854819"/>
    <s v="03-MNTH"/>
    <n v="72"/>
    <n v="24.032"/>
    <s v="Beltrami"/>
    <m/>
    <s v="Kelliher"/>
    <s v="D2-BEMIDJI"/>
    <s v="Thief River Falls"/>
    <m/>
    <n v="13320757"/>
    <n v="132950191"/>
    <d v="2023-10-10T00:00:00"/>
    <n v="21"/>
    <x v="3"/>
    <s v="02-Mon"/>
    <n v="7"/>
    <s v="South"/>
    <x v="0"/>
    <n v="0"/>
    <n v="1"/>
    <s v="RAN OFF RD-LEFT"/>
    <s v="Standing Tree/Shrubbery"/>
    <s v="Not at Intersection or Interch"/>
    <s v="Daylight"/>
    <s v="Snow"/>
    <s v="Cloudy"/>
    <s v="Snow"/>
    <s v="NOT APPLICABLE"/>
    <n v="72"/>
    <s v="CHRISTA"/>
    <s v="0300000000000072-I"/>
    <s v="Single Vehicle Run Off Road"/>
    <s v="Motor Vehicle in Transport"/>
    <s v="Pickup"/>
    <s v="Southbound"/>
    <s v="Moving Forward"/>
    <n v="75"/>
    <s v="Male"/>
    <s v="Apparently Normal"/>
    <s v="No Clear Contributing Action"/>
    <m/>
    <m/>
    <m/>
    <s v="2-LANES 1-ECH-WY"/>
    <s v="Not Applicable"/>
    <n v="55"/>
    <s v="Straight"/>
    <s v="Level"/>
    <m/>
    <m/>
    <m/>
    <m/>
    <m/>
    <m/>
    <m/>
    <m/>
    <m/>
    <m/>
    <m/>
    <m/>
    <m/>
    <m/>
    <m/>
    <m/>
    <m/>
    <m/>
    <m/>
    <m/>
    <m/>
    <m/>
    <m/>
    <m/>
    <m/>
    <m/>
    <m/>
    <m/>
    <m/>
    <m/>
    <m/>
    <m/>
    <m/>
    <m/>
    <m/>
    <m/>
    <m/>
    <m/>
    <m/>
    <m/>
    <m/>
    <m/>
    <m/>
    <m/>
    <m/>
    <m/>
    <m/>
    <m/>
    <n v="391832.7"/>
    <n v="5317937.6162"/>
    <n v="48.005585609999997"/>
    <n v="-94.450232110000002"/>
    <d v="2013-10-21T07:35:00"/>
    <s v="Accepted"/>
    <s v="Reportable"/>
    <s v="Unknown"/>
    <s v="Unknown"/>
    <s v="DRIVER OF UNIT 1 WAS SB ON MNTH 72 WHEN HE SAID HE HIT A PIECE OF FIREWOOD IN THE ROAD. HE BRAKED AND SLID OFF THE ROAD LEFT AND WENT INTO THE DITCH WHERE HE HIT A TREE WITH HIS FRONT END."/>
  </r>
  <r>
    <n v="10853881"/>
    <s v="03-MNTH"/>
    <n v="72"/>
    <n v="24.106000000000002"/>
    <s v="Beltrami"/>
    <m/>
    <s v="Kelliher"/>
    <s v="D2-BEMIDJI"/>
    <s v="Thief River Falls"/>
    <m/>
    <n v="13320609"/>
    <n v="132480235"/>
    <d v="2023-09-09T00:00:00"/>
    <n v="2"/>
    <x v="3"/>
    <s v="02-Mon"/>
    <n v="6"/>
    <s v="South"/>
    <x v="2"/>
    <n v="0"/>
    <n v="1"/>
    <s v="RAN OFF RD-RIGHT"/>
    <s v="Overturn/Rollover"/>
    <s v="Not at Intersection or Interch"/>
    <s v="Daylight"/>
    <s v="Clear"/>
    <m/>
    <s v="Dry"/>
    <s v="NOT APPLICABLE"/>
    <s v="72 HWY NE"/>
    <s v="CHRISTA RD. NE"/>
    <s v="0300000000000072-I"/>
    <s v="Single Vehicle Run Off Road"/>
    <s v="Motor Vehicle in Transport"/>
    <s v="Passenger Car"/>
    <s v="Southbound"/>
    <s v="Moving Forward"/>
    <n v="27"/>
    <s v="Female"/>
    <s v="Apparently Normal"/>
    <s v="Inattentive/Distraction (Talking, Eating)"/>
    <s v="Over Correcting / Over Steering"/>
    <m/>
    <m/>
    <s v="2-LANES 1-ECH-WY"/>
    <s v="Not Applicable"/>
    <n v="55"/>
    <s v="Straight"/>
    <s v="Level"/>
    <m/>
    <m/>
    <m/>
    <m/>
    <m/>
    <m/>
    <m/>
    <m/>
    <m/>
    <m/>
    <m/>
    <m/>
    <m/>
    <m/>
    <m/>
    <m/>
    <m/>
    <m/>
    <m/>
    <m/>
    <m/>
    <m/>
    <m/>
    <m/>
    <m/>
    <m/>
    <m/>
    <m/>
    <m/>
    <m/>
    <m/>
    <m/>
    <m/>
    <m/>
    <m/>
    <m/>
    <m/>
    <m/>
    <m/>
    <m/>
    <m/>
    <m/>
    <m/>
    <m/>
    <m/>
    <m/>
    <m/>
    <m/>
    <n v="391834.52490000002"/>
    <n v="5318056.6939000003"/>
    <n v="48.006656939999999"/>
    <n v="-94.450237680000001"/>
    <d v="2013-09-02T06:33:00"/>
    <s v="Accepted"/>
    <s v="Reportable"/>
    <s v="Unknown"/>
    <s v="Unknown"/>
    <s v="VEHICLE #1 WAS SOUTHBOUND ON MNTH #72 APPROXIMATETLY 1 3/4 MILE SOUTH OF CHRISTA  RD. NE.. VEHICLE #1 WENT OFF ROADWAY ON THE RIGHT SIDE INTO THE DITCH. VEHICLE #1 THEN TRIED TO STEER BACK ONTO THE ROADWAY WHICH MADE VEHICLE #1 FLIP ONTO ITS TOP ON THE SOUTHBOUND LANE OF MNTH # 72."/>
  </r>
  <r>
    <n v="822703"/>
    <s v="03-MNTH"/>
    <n v="72"/>
    <n v="24.994"/>
    <s v="Beltrami"/>
    <m/>
    <s v="Kelliher"/>
    <s v="D2-BEMIDJI"/>
    <s v="Thief River Falls"/>
    <m/>
    <n v="20013867"/>
    <n v="202130010"/>
    <d v="2023-07-07T00:00:00"/>
    <n v="31"/>
    <x v="0"/>
    <s v="06-Fri"/>
    <n v="3"/>
    <s v="North"/>
    <x v="0"/>
    <n v="0"/>
    <n v="1"/>
    <m/>
    <s v="Immersion (Full or Partial)"/>
    <s v="Not at Intersection or Interch"/>
    <s v="Dark (No Str Lights)"/>
    <s v="Clear"/>
    <m/>
    <s v="Dry"/>
    <s v="NOT APPLICABLE"/>
    <s v="MNTH 72"/>
    <m/>
    <s v="0300000000000072-I"/>
    <s v="Single Vehicle Run Off Road"/>
    <s v="Motor Vehicle in Transport"/>
    <s v="Passenger Car"/>
    <s v="Northbound"/>
    <s v="Moving Forward"/>
    <n v="18"/>
    <s v="Male"/>
    <s v="Apparently Normal"/>
    <s v="Other Contributing Action"/>
    <m/>
    <m/>
    <m/>
    <s v="Two-Way, Not Divided"/>
    <s v="Not Applicable"/>
    <n v="55"/>
    <s v="Straight"/>
    <s v="Level"/>
    <m/>
    <m/>
    <m/>
    <m/>
    <m/>
    <m/>
    <m/>
    <m/>
    <m/>
    <m/>
    <m/>
    <m/>
    <m/>
    <m/>
    <m/>
    <m/>
    <m/>
    <m/>
    <m/>
    <m/>
    <m/>
    <m/>
    <m/>
    <m/>
    <m/>
    <m/>
    <m/>
    <m/>
    <m/>
    <m/>
    <m/>
    <m/>
    <m/>
    <m/>
    <m/>
    <m/>
    <m/>
    <m/>
    <m/>
    <m/>
    <m/>
    <m/>
    <m/>
    <m/>
    <m/>
    <m/>
    <m/>
    <m/>
    <n v="391856.41720000003"/>
    <n v="5319485.2175000003"/>
    <n v="48.019509190000001"/>
    <n v="-94.45030457"/>
    <d v="2020-07-31T03:57:00"/>
    <s v="Accepted"/>
    <s v="Reportable"/>
    <s v="Beltrami County Sheriff"/>
    <s v="Sheriff"/>
    <s v="Driver indicated he fell asleep while driving."/>
  </r>
  <r>
    <n v="534252"/>
    <s v="03-MNTH"/>
    <n v="72"/>
    <n v="29.317"/>
    <s v="Beltrami"/>
    <m/>
    <m/>
    <s v="D2-BEMIDJI"/>
    <s v="Thief River Falls"/>
    <m/>
    <n v="18320037"/>
    <n v="180080264"/>
    <d v="2023-01-01T00:00:00"/>
    <n v="8"/>
    <x v="10"/>
    <s v="02-Mon"/>
    <n v="11"/>
    <s v="Not Applicable"/>
    <x v="0"/>
    <n v="0"/>
    <n v="2"/>
    <m/>
    <s v="Cargo/Equipment Loss or Shift"/>
    <s v="Not at Intersection or Interch"/>
    <s v="Daylight"/>
    <s v="Clear"/>
    <m/>
    <s v="Wet"/>
    <s v="NOT APPLICABLE"/>
    <s v="MNTH 72"/>
    <m/>
    <s v="0300000000000072-I"/>
    <s v="Other"/>
    <s v="Motor Vehicle in Transport"/>
    <s v="Medium / Heavy Trucks (More than 10,000lbs)"/>
    <s v="Northbound"/>
    <s v="Moving Forward"/>
    <n v="43"/>
    <s v="Male"/>
    <s v="Apparently Normal"/>
    <s v="No Clear Contributing Action"/>
    <m/>
    <m/>
    <m/>
    <s v="Two-Way, Not Divided"/>
    <s v="No Controls"/>
    <n v="55"/>
    <s v="Straight"/>
    <s v="Level"/>
    <s v="Motor Vehicle in Transport"/>
    <s v="Sport Utility Vehicle"/>
    <s v="Southbound"/>
    <s v="Moving Forward"/>
    <n v="40"/>
    <s v="Male"/>
    <s v="Apparently Normal"/>
    <s v="No Clear Contributing Action"/>
    <m/>
    <m/>
    <m/>
    <s v="Two-Way, Not Divided"/>
    <s v="No Controls"/>
    <n v="55"/>
    <s v="Straight"/>
    <s v="Level"/>
    <m/>
    <m/>
    <m/>
    <m/>
    <m/>
    <m/>
    <m/>
    <m/>
    <m/>
    <m/>
    <m/>
    <m/>
    <m/>
    <m/>
    <m/>
    <m/>
    <m/>
    <m/>
    <m/>
    <m/>
    <m/>
    <m/>
    <m/>
    <m/>
    <m/>
    <m/>
    <m/>
    <m/>
    <m/>
    <m/>
    <m/>
    <m/>
    <n v="388718.5969"/>
    <n v="5325487.4276999999"/>
    <n v="48.072954549999999"/>
    <n v="-94.493931450000005"/>
    <d v="2018-01-08T11:03:00"/>
    <s v="Accepted"/>
    <s v="Reportable"/>
    <s v="MN State Patrol District 3200 - Thief River Falls"/>
    <s v="State Patrol"/>
    <s v="The GMC Arcadia was SB on MNTH 72. The Kenworth, hauling a gas tanker trailer, was NB on MNTH 72.  Two rear wheels came off the back of the trailer.  One of the wheels struck the SB Arcadia, causing major front end damage to the Arcadia.  CVI Sorenson found the Kenworth at the gas station in Waskish."/>
  </r>
  <r>
    <n v="11021492"/>
    <s v="03-MNTH"/>
    <n v="72"/>
    <n v="29.689"/>
    <s v="Beltrami"/>
    <m/>
    <m/>
    <s v="D2-BEMIDJI"/>
    <s v="Thief River Falls"/>
    <m/>
    <n v="15321113"/>
    <n v="152410152"/>
    <d v="2023-08-08T00:00:00"/>
    <n v="20"/>
    <x v="1"/>
    <s v="05-Thu"/>
    <n v="11"/>
    <s v="North"/>
    <x v="3"/>
    <n v="0"/>
    <n v="2"/>
    <s v="Angle"/>
    <s v="Motor Vehicle In Transport"/>
    <s v="T Intersection"/>
    <s v="Daylight"/>
    <s v="Clear"/>
    <m/>
    <s v="Dry"/>
    <s v="NOT APPLICABLE"/>
    <s v="72 HWY NE"/>
    <s v="ARTESIAN SPRING RD NE"/>
    <s v="0300000000000072-I"/>
    <s v="Angle"/>
    <s v="Motor Vehicle in Transport"/>
    <s v="TRK TRAC W SEMI"/>
    <s v="Northbound"/>
    <s v="Turning Left"/>
    <n v="49"/>
    <s v="Male"/>
    <s v="Apparently Normal"/>
    <s v="No Clear Contributing Action"/>
    <m/>
    <m/>
    <m/>
    <s v="2-LANES 1-ECH-WY"/>
    <s v="Not Applicable"/>
    <n v="55"/>
    <s v="Straight"/>
    <s v="Level"/>
    <s v="Motor Vehicle in Transport"/>
    <s v="Pickup"/>
    <s v="Northbound"/>
    <s v="Overtaking/Passing"/>
    <n v="80"/>
    <s v="Male"/>
    <s v="Apparently Normal"/>
    <s v="Inattentive/Distraction (Talking, Eating)"/>
    <m/>
    <m/>
    <m/>
    <s v="2-LANES 1-ECH-WY"/>
    <s v="Not Applicable"/>
    <n v="55"/>
    <s v="Straight"/>
    <s v="Level"/>
    <m/>
    <m/>
    <m/>
    <m/>
    <m/>
    <m/>
    <m/>
    <m/>
    <m/>
    <m/>
    <m/>
    <m/>
    <m/>
    <m/>
    <m/>
    <m/>
    <m/>
    <m/>
    <m/>
    <m/>
    <m/>
    <m/>
    <m/>
    <m/>
    <m/>
    <m/>
    <m/>
    <m/>
    <m/>
    <m/>
    <m/>
    <m/>
    <n v="388489.234"/>
    <n v="5326040.6364000002"/>
    <n v="48.077890029999999"/>
    <n v="-94.497153859999997"/>
    <d v="2015-08-20T11:09:00"/>
    <s v="Accepted"/>
    <s v="Reportable"/>
    <s v="Unknown"/>
    <s v="Unknown"/>
    <s v="Unit 1 (KLIMEK) was traveling N/B MNTH 72. Unit 2 (EGGERT) was following Unit 1. Unit one slowed and began to make a left turn onto county road 23. Unit 2 attempted to pass Unit 1 on the left side and hit the trailer of Unit 1.  Unit 2 had severe damage to the front right of the vehicle. The passenger sustained injures to his upper right side of his body and right hand. All parties in both vehicles were belted. No airbags were deployed. The passenger in Unit 2 was transported to the Bemidji Hospital. Unit 2 was towed from the scene."/>
  </r>
  <r>
    <n v="325456"/>
    <s v="03-MNTH"/>
    <n v="72"/>
    <n v="29.690999999999999"/>
    <s v="Beltrami"/>
    <m/>
    <m/>
    <s v="D2-BEMIDJI"/>
    <s v="Thief River Falls"/>
    <m/>
    <n v="16320176"/>
    <n v="160300210"/>
    <d v="2023-01-01T00:00:00"/>
    <n v="30"/>
    <x v="7"/>
    <s v="07-Sat"/>
    <n v="23"/>
    <s v="East"/>
    <x v="0"/>
    <n v="0"/>
    <n v="1"/>
    <m/>
    <s v="Standing Tree/Shrubbery"/>
    <s v="T Intersection"/>
    <s v="Dark (No Str Lights)"/>
    <s v="Clear"/>
    <s v="Unknown"/>
    <s v="Dry"/>
    <s v="NOT APPLICABLE"/>
    <s v="MNTH 72"/>
    <m/>
    <s v="0300000000000072-I"/>
    <s v="Single Vehicle Run Off Road"/>
    <s v="Motor Vehicle in Transport"/>
    <s v="Passenger Car"/>
    <s v="Eastbound"/>
    <s v="Moving Forward"/>
    <n v="39"/>
    <s v="Male"/>
    <s v="Has Been Drinking Alcohol"/>
    <s v="Unknown"/>
    <m/>
    <m/>
    <m/>
    <s v="Two-Way, Not Divided"/>
    <s v="Stop Sign"/>
    <n v="55"/>
    <s v="Straight"/>
    <s v="Level"/>
    <m/>
    <m/>
    <m/>
    <m/>
    <m/>
    <m/>
    <m/>
    <m/>
    <m/>
    <m/>
    <m/>
    <m/>
    <m/>
    <m/>
    <m/>
    <m/>
    <m/>
    <m/>
    <m/>
    <m/>
    <m/>
    <m/>
    <m/>
    <m/>
    <m/>
    <m/>
    <m/>
    <m/>
    <m/>
    <m/>
    <m/>
    <m/>
    <m/>
    <m/>
    <m/>
    <m/>
    <m/>
    <m/>
    <m/>
    <m/>
    <m/>
    <m/>
    <m/>
    <m/>
    <m/>
    <m/>
    <m/>
    <m/>
    <n v="388487.73269999999"/>
    <n v="5326044.2573999995"/>
    <n v="48.077922340000001"/>
    <n v="-94.497174959999995"/>
    <d v="2016-01-30T23:45:00"/>
    <s v="Accepted"/>
    <s v="Reportable"/>
    <s v="MN State Patrol District 3200 - Thief River Falls"/>
    <s v="State Patrol"/>
    <s v="Unit 1 was eastbound on Beltrami County Road 23 and failed to stop at the stop sign located at USTH 71. Unit 1 proceeded across USTH 71 and crashed through the tree line. Vehicle was unoccupied upon arrival. Parties suspected of being in the vehicle deny driving. All parties involved and witnesses have inconsistence stories and/or uncooperative."/>
  </r>
  <r>
    <n v="696925"/>
    <s v="03-MNTH"/>
    <n v="72"/>
    <n v="31.69"/>
    <s v="Beltrami"/>
    <m/>
    <m/>
    <s v="D2-BEMIDJI"/>
    <s v="Thief River Falls"/>
    <m/>
    <n v="19320403"/>
    <n v="190700078"/>
    <d v="2023-03-03T00:00:00"/>
    <n v="11"/>
    <x v="5"/>
    <s v="02-Mon"/>
    <n v="12"/>
    <s v="North"/>
    <x v="0"/>
    <n v="0"/>
    <n v="1"/>
    <m/>
    <s v="Overturn/Rollover"/>
    <s v="Not at Intersection or Interch"/>
    <s v="Daylight"/>
    <s v="Clear"/>
    <m/>
    <s v="Slush"/>
    <s v="NOT APPLICABLE"/>
    <s v="MNTH 72"/>
    <m/>
    <s v="0300000000000072-I"/>
    <s v="Single Vehicle Run Off Road"/>
    <s v="Motor Vehicle in Transport"/>
    <s v="Pickup"/>
    <s v="Northbound"/>
    <s v="Moving Forward"/>
    <n v="62"/>
    <s v="Male"/>
    <s v="Apparently Normal"/>
    <s v="No Clear Contributing Action"/>
    <m/>
    <m/>
    <m/>
    <s v="Two-Way, Not Divided"/>
    <s v="No Controls"/>
    <n v="55"/>
    <s v="Straight"/>
    <s v="Level"/>
    <m/>
    <m/>
    <m/>
    <m/>
    <m/>
    <m/>
    <m/>
    <m/>
    <m/>
    <m/>
    <m/>
    <m/>
    <m/>
    <m/>
    <m/>
    <m/>
    <m/>
    <m/>
    <m/>
    <m/>
    <m/>
    <m/>
    <m/>
    <m/>
    <m/>
    <m/>
    <m/>
    <m/>
    <m/>
    <m/>
    <m/>
    <m/>
    <m/>
    <m/>
    <m/>
    <m/>
    <m/>
    <m/>
    <m/>
    <m/>
    <m/>
    <m/>
    <m/>
    <m/>
    <m/>
    <m/>
    <m/>
    <m/>
    <n v="387581.6263"/>
    <n v="5329087.7666999996"/>
    <n v="48.105136280000004"/>
    <n v="-94.510137420000007"/>
    <d v="2019-03-11T12:22:00"/>
    <s v="Accepted"/>
    <s v="Reportable"/>
    <s v="MN State Patrol District 3200 - Thief River Falls"/>
    <s v="State Patrol"/>
    <s v="UNIT 1 WAS TRAVELING NB MNTH 72 WHEN THE VEHICLE HE WAS OPERATING LOST CONTROL. VEHICLE CROSSED CENTER LINE AND ROLLED OVER INTO THE SB DITCH OF MNTH 72. DRIVER STATED HE WAS TRAVELING APPROXIMATELY 40 MPH BEFORE LOSING CONTROL."/>
  </r>
  <r>
    <n v="386346"/>
    <s v="03-MNTH"/>
    <n v="72"/>
    <n v="31.748999999999999"/>
    <s v="Beltrami"/>
    <m/>
    <s v="Waskish"/>
    <s v="D2-BEMIDJI"/>
    <s v="Thief River Falls"/>
    <m/>
    <n v="16321483"/>
    <n v="162760213"/>
    <d v="2023-10-10T00:00:00"/>
    <n v="2"/>
    <x v="7"/>
    <s v="01-Sun"/>
    <n v="11"/>
    <m/>
    <x v="0"/>
    <n v="0"/>
    <n v="2"/>
    <s v="Front to Rear"/>
    <s v="Motor Vehicle In Transport"/>
    <s v="T Intersection"/>
    <s v="Daylight"/>
    <s v="Clear"/>
    <m/>
    <s v="Dry"/>
    <s v="NOT APPLICABLE"/>
    <s v="MNTH 72"/>
    <m/>
    <s v="0300000000000072-I"/>
    <s v="Rear End"/>
    <s v="Motor Vehicle in Transport"/>
    <s v="Sport Utility Vehicle"/>
    <s v="Southbound"/>
    <s v="Moving Forward"/>
    <n v="46"/>
    <s v="Male"/>
    <s v="Apparently Normal"/>
    <s v="Operated Motor Vehicle: Careless/Negligent/Erratic"/>
    <m/>
    <m/>
    <m/>
    <s v="Two-Way, Not Divided"/>
    <s v="No Controls"/>
    <n v="55"/>
    <s v="Straight"/>
    <s v="Level"/>
    <s v="Motor Vehicle in Transport"/>
    <s v="Pickup"/>
    <s v="Southbound"/>
    <s v="Slowing"/>
    <n v="58"/>
    <s v="Male"/>
    <s v="Apparently Normal"/>
    <s v="No Clear Contributing Action"/>
    <m/>
    <m/>
    <m/>
    <s v="Two-Way, Not Divided"/>
    <s v="No Controls"/>
    <n v="55"/>
    <s v="Straight"/>
    <s v="Level"/>
    <m/>
    <m/>
    <m/>
    <m/>
    <m/>
    <m/>
    <m/>
    <m/>
    <m/>
    <m/>
    <m/>
    <m/>
    <m/>
    <m/>
    <m/>
    <m/>
    <m/>
    <m/>
    <m/>
    <m/>
    <m/>
    <m/>
    <m/>
    <m/>
    <m/>
    <m/>
    <m/>
    <m/>
    <m/>
    <m/>
    <m/>
    <m/>
    <n v="387583.06640000001"/>
    <n v="5329181.3342000004"/>
    <n v="48.105978069999999"/>
    <n v="-94.510142740000006"/>
    <d v="2016-10-02T11:46:00"/>
    <s v="Accepted"/>
    <s v="Reportable"/>
    <s v="MN State Patrol District 3200 - Thief River Falls"/>
    <s v="State Patrol"/>
    <s v="V1 (Ford Expolorer) was traveling south on MNTH 72. V2 (Nissan Titan) was traveling south on MNTH 72. V2 slowed to make a right turn onto County Road 111. V1 rear ended V2. V2 pulled over after the crash. V1 fled the scene. A Minnesota Conservation Officer located the vehicle on County Road 111. The Conservation Officer attempted to stop V1 but V1 fled and a traffic pursuit was initiated. V1 fled to the Red Lake Reservation and stopped. Red Lake Tribal Police located V1's driver and passenger's and placed the occupants under arrest for fleeing. Driver of V2 stated he was traveling south bound on MNTH 72 with a truck bed full of 15 sheets of newly purchased plywood. Driver of V2 stated he slowed to make a right turn onto County Road 111 when V1 rear ended V2. Driver of V2 stated V2's tailgate was down due to the sheets of plywood being in the truck bed. Driver of V2 stated most of the sheets of plywood were damaged. V2 sustained moderate damage to the rear end. V2 was driven from the scene. Photographs were taken of V2. Red Lake Tribal Police took custody of V1. Driver of V1 was not injured and fled the vehicle on foot after it stopped. V1 had four passenger's some of which also fled on foot after V1 stopped. It is unknown where the passenger's of V1 were sitting or if they were belted. The driver and passenger's of V1 were not injured and no airbags were deployed. Driver of V2 was not injured and was wearing his seat belt. V2 had one front seat passenger that was belted and not injured. There were no airbags deployed on V2."/>
  </r>
  <r>
    <n v="909336"/>
    <s v="03-MNTH"/>
    <n v="72"/>
    <n v="31.843"/>
    <s v="Beltrami"/>
    <m/>
    <s v="Waskish"/>
    <s v="D2-BEMIDJI"/>
    <s v="Thief River Falls"/>
    <m/>
    <n v="21320726"/>
    <n v="211510144"/>
    <d v="2023-05-05T00:00:00"/>
    <n v="31"/>
    <x v="8"/>
    <s v="02-Mon"/>
    <n v="6"/>
    <s v="South"/>
    <x v="4"/>
    <n v="1"/>
    <n v="2"/>
    <s v="Front to Rear"/>
    <s v="Motor Vehicle In Transport"/>
    <s v="Not at Intersection or Interch"/>
    <s v="Daylight"/>
    <s v="Clear"/>
    <m/>
    <s v="Dry"/>
    <s v="NOT APPLICABLE"/>
    <s v="MNTH 72"/>
    <m/>
    <s v="0300000000000072-I"/>
    <s v="Rear End"/>
    <s v="Motor Vehicle in Transport"/>
    <s v="Sport Utility Vehicle"/>
    <s v="Southbound"/>
    <s v="Moving Forward"/>
    <n v="58"/>
    <s v="Male"/>
    <s v="Apparently Normal"/>
    <s v="No Clear Contributing Action"/>
    <m/>
    <m/>
    <m/>
    <s v="Two-Way, Not Divided"/>
    <s v="No Controls"/>
    <n v="60"/>
    <s v="Straight"/>
    <s v="Level"/>
    <s v="Hit-And-Run Vehicle"/>
    <s v="Passenger Car"/>
    <s v="Southbound"/>
    <s v="Moving Forward"/>
    <n v="44"/>
    <s v="Male"/>
    <s v="Unknown"/>
    <s v="Unknown"/>
    <m/>
    <m/>
    <m/>
    <s v="Two-Way, Not Divided"/>
    <s v="No Controls"/>
    <n v="60"/>
    <s v="Straight"/>
    <s v="Level"/>
    <m/>
    <m/>
    <m/>
    <m/>
    <m/>
    <m/>
    <m/>
    <m/>
    <m/>
    <m/>
    <m/>
    <m/>
    <m/>
    <m/>
    <m/>
    <m/>
    <m/>
    <m/>
    <m/>
    <m/>
    <m/>
    <m/>
    <m/>
    <m/>
    <m/>
    <m/>
    <m/>
    <m/>
    <m/>
    <m/>
    <m/>
    <m/>
    <n v="387585.40840000001"/>
    <n v="5329333.6352000004"/>
    <n v="48.107348260000002"/>
    <n v="-94.510151429999993"/>
    <d v="2021-05-31T06:50:00"/>
    <s v="Accepted"/>
    <s v="Reportable"/>
    <s v="MN State Patrol District 3200 - Thief River Falls"/>
    <s v="State Patrol"/>
    <s v="Unit 1 occupied by Omalley was traveling southbound on MNTH 72 when Unit 2 which was also traveling southbound on MNTH 72. Road evidence indicates a collision in the southbound lane of MNTH 72. It appears as though Unit 2 struck Unit 1 from behind causing Unit 1 to enter the west ditch and roll. Unit 1 ended up rolling into the trees and Unit 1 being vertical into the trees. Unit 2 had skidded to a stop crossing the centerline and onto the east shoulder of MNTH 72. Unit 2 then left the scene of the crash and was unable to be located at that time._x000a__x000a_Unit 2 was located and driver identified. Vehicle information is not specifically available at this time, but the vehicle was located. Driver from Unit 2 has outstanding warrant in regards to this incident."/>
  </r>
  <r>
    <n v="778003"/>
    <s v="03-MNTH"/>
    <n v="72"/>
    <n v="31.994"/>
    <s v="Beltrami"/>
    <m/>
    <s v="Waskish"/>
    <s v="D2-BEMIDJI"/>
    <s v="Thief River Falls"/>
    <m/>
    <n v="19021867"/>
    <n v="193570286"/>
    <d v="2023-12-12T00:00:00"/>
    <n v="23"/>
    <x v="5"/>
    <s v="02-Mon"/>
    <n v="0"/>
    <s v="South"/>
    <x v="0"/>
    <n v="0"/>
    <n v="1"/>
    <m/>
    <s v="Overturn/Rollover"/>
    <s v="Not at Intersection or Interch"/>
    <s v="Dark (No Str Lights)"/>
    <s v="Clear"/>
    <s v="Snow"/>
    <s v="Ice/Frost"/>
    <s v="NOT APPLICABLE"/>
    <s v="MNTH 72"/>
    <m/>
    <s v="0300000000000072-I"/>
    <s v="Single Vehicle Run Off Road"/>
    <s v="Motor Vehicle in Transport"/>
    <s v="Pickup"/>
    <s v="Southbound"/>
    <s v="Moving Forward"/>
    <n v="26"/>
    <s v="Male"/>
    <s v="Has Been Drinking Alcohol"/>
    <s v="Operated Motor Vehicle: Careless/Negligent/Erratic"/>
    <m/>
    <m/>
    <m/>
    <s v="Two-Way, Not Divided"/>
    <s v="No Controls"/>
    <n v="55"/>
    <s v="Straight"/>
    <s v="Level"/>
    <m/>
    <m/>
    <m/>
    <m/>
    <m/>
    <m/>
    <m/>
    <m/>
    <m/>
    <m/>
    <m/>
    <m/>
    <m/>
    <m/>
    <m/>
    <m/>
    <m/>
    <m/>
    <m/>
    <m/>
    <m/>
    <m/>
    <m/>
    <m/>
    <m/>
    <m/>
    <m/>
    <m/>
    <m/>
    <m/>
    <m/>
    <m/>
    <m/>
    <m/>
    <m/>
    <m/>
    <m/>
    <m/>
    <m/>
    <m/>
    <m/>
    <m/>
    <m/>
    <m/>
    <m/>
    <m/>
    <m/>
    <m/>
    <n v="387589.13770000002"/>
    <n v="5329576.1492999997"/>
    <n v="48.109530069999998"/>
    <n v="-94.510165259999994"/>
    <d v="2019-12-23T00:10:00"/>
    <s v="Accepted"/>
    <s v="Reportable"/>
    <s v="Beltrami County Sheriff"/>
    <s v="Sheriff"/>
    <s v="The vehicle appeared to be traveling southbound on MN HWY 72 when it veered left crossing into the oncoming lane before rolling into the northbound ditch. The driver was located at his father's residence and subsequently arrested for DWI."/>
  </r>
  <r>
    <n v="10855530"/>
    <s v="03-MNTH"/>
    <n v="72"/>
    <n v="32.725000000000001"/>
    <s v="Beltrami"/>
    <m/>
    <s v="Waskish"/>
    <s v="D2-BEMIDJI"/>
    <s v="Thief River Falls"/>
    <m/>
    <n v="13320872"/>
    <n v="133290239"/>
    <d v="2023-11-11T00:00:00"/>
    <n v="24"/>
    <x v="3"/>
    <s v="01-Sun"/>
    <n v="2"/>
    <s v="South"/>
    <x v="2"/>
    <n v="0"/>
    <n v="1"/>
    <s v="RAN OFF RD-LEFT"/>
    <s v="EMBANKMT/DTCH/CB"/>
    <s v="Not at Intersection or Interch"/>
    <s v="Dark (No Str Lights)"/>
    <s v="Clear"/>
    <s v="Cloudy"/>
    <s v="Dry"/>
    <s v="NOT APPLICABLE"/>
    <s v="72 HWY NE"/>
    <s v="CO RD 111"/>
    <s v="0300000000000072-I"/>
    <s v="Single Vehicle Run Off Road"/>
    <s v="Motor Vehicle in Transport"/>
    <s v="Pickup"/>
    <s v="Southbound"/>
    <s v="Moving Forward"/>
    <n v="21"/>
    <s v="Male"/>
    <s v="Has Been Drinking Alcohol"/>
    <s v="Inattentive/Distraction (Talking, Eating)"/>
    <s v="CHEMICAL IMPRMNT"/>
    <m/>
    <m/>
    <s v="2-LANES 1-ECH-WY"/>
    <s v="Not Applicable"/>
    <n v="55"/>
    <s v="Straight"/>
    <s v="Level"/>
    <m/>
    <m/>
    <m/>
    <m/>
    <m/>
    <m/>
    <m/>
    <m/>
    <m/>
    <m/>
    <m/>
    <m/>
    <m/>
    <m/>
    <m/>
    <m/>
    <m/>
    <m/>
    <m/>
    <m/>
    <m/>
    <m/>
    <m/>
    <m/>
    <m/>
    <m/>
    <m/>
    <m/>
    <m/>
    <m/>
    <m/>
    <m/>
    <m/>
    <m/>
    <m/>
    <m/>
    <m/>
    <m/>
    <m/>
    <m/>
    <m/>
    <m/>
    <m/>
    <m/>
    <m/>
    <m/>
    <m/>
    <m/>
    <n v="387607.22879999998"/>
    <n v="5330752.6058999998"/>
    <n v="48.120114170000001"/>
    <n v="-94.51023241"/>
    <d v="2013-11-24T02:03:00"/>
    <s v="Accepted"/>
    <s v="Reportable"/>
    <s v="Unknown"/>
    <s v="Unknown"/>
    <s v="SUBJECT WAS TRAVELING SB MNTH HWY 72.  VEHICLE DRIFTED OFF ROADWAY INTO NB DITCH.  VEHICLE STRUCK APPROACH AND VAULTED.  DRIVER WAS NO BELTED AND AIR BAG DEPLOYED.  DRIVER CAUSED HEAVY DAMAGE TO STEERING WHEEL AND WINDSHIELD.  ODOR OF ALOCHOL DETECTED, DRIVER TESTED FOR ALCOHOL.  DRIVER WAS AIR LIFTED TO FARGO FOR TREATMENT."/>
  </r>
  <r>
    <n v="10934988"/>
    <s v="03-MNTH"/>
    <n v="72"/>
    <n v="32.938000000000002"/>
    <s v="Beltrami"/>
    <m/>
    <s v="Waskish"/>
    <s v="D2-BEMIDJI"/>
    <s v="Thief River Falls"/>
    <m/>
    <n v="14320510"/>
    <n v="141190222"/>
    <d v="2023-04-04T00:00:00"/>
    <n v="24"/>
    <x v="6"/>
    <s v="05-Thu"/>
    <n v="19"/>
    <m/>
    <x v="0"/>
    <n v="0"/>
    <n v="1"/>
    <s v="RAN OFF RD-RIGHT"/>
    <s v="Standing Tree/Shrubbery"/>
    <s v="Not at Intersection or Interch"/>
    <s v="Daylight"/>
    <s v="Snow"/>
    <s v="Sleet, Hail (Freezing Rain/Drizzle)"/>
    <s v="Slush"/>
    <s v="NOT APPLICABLE"/>
    <s v="72 HWY NE"/>
    <s v="KANSAS CITY ROAD NE"/>
    <s v="0300000000000072-I"/>
    <s v="Single Vehicle Run Off Road"/>
    <s v="Motor Vehicle in Transport"/>
    <s v="Sport Utility Vehicle"/>
    <s v="Southbound"/>
    <s v="Moving Forward"/>
    <n v="33"/>
    <s v="Male"/>
    <s v="Unknown"/>
    <m/>
    <m/>
    <m/>
    <m/>
    <s v="2-LANES 1-ECH-WY"/>
    <s v="Not Applicable"/>
    <n v="55"/>
    <s v="Straight"/>
    <s v="Level"/>
    <m/>
    <m/>
    <m/>
    <m/>
    <m/>
    <m/>
    <m/>
    <m/>
    <m/>
    <m/>
    <m/>
    <m/>
    <m/>
    <m/>
    <m/>
    <m/>
    <m/>
    <m/>
    <m/>
    <m/>
    <m/>
    <m/>
    <m/>
    <m/>
    <m/>
    <m/>
    <m/>
    <m/>
    <m/>
    <m/>
    <m/>
    <m/>
    <m/>
    <m/>
    <m/>
    <m/>
    <m/>
    <m/>
    <m/>
    <m/>
    <m/>
    <m/>
    <m/>
    <m/>
    <m/>
    <m/>
    <m/>
    <m/>
    <n v="387612.49939999997"/>
    <n v="5331095.3563000001"/>
    <n v="48.123197750000003"/>
    <n v="-94.510251999999994"/>
    <d v="2014-04-24T19:15:00"/>
    <s v="Accepted"/>
    <s v="Reportable"/>
    <s v="Unknown"/>
    <s v="Unknown"/>
    <s v="UNIT 1 SB ON USTH 71 @ MP 33 WHEN DRIVER LOST CONTROL AND WENT OFF ROAD RIGHT. UNIT 1 WENT INTO A STEEP DITCH AND STRUCK SEVERAL TREES. DRIVER OF UNIT 1 LEFT SCENE BUT TOLD ME OVER THE PHONE THAT HE WAS UNINJURED. ROADS WERE COVERED IN SLUSH. VEH 1 HAD A TIRE WITH NO TREAD LEFT.  VEH 1 IS TOTALLED."/>
  </r>
  <r>
    <n v="421009"/>
    <s v="03-MNTH"/>
    <n v="72"/>
    <n v="33.606000000000002"/>
    <s v="Beltrami"/>
    <m/>
    <s v="Waskish"/>
    <s v="D2-BEMIDJI"/>
    <s v="Thief River Falls"/>
    <m/>
    <n v="17320230"/>
    <n v="170370039"/>
    <d v="2023-02-02T00:00:00"/>
    <n v="6"/>
    <x v="4"/>
    <s v="02-Mon"/>
    <n v="5"/>
    <m/>
    <x v="0"/>
    <n v="0"/>
    <n v="1"/>
    <m/>
    <s v="Overturn/Rollover"/>
    <s v="Not at Intersection or Interch"/>
    <s v="Dark (No Str Lights)"/>
    <s v="Snow"/>
    <m/>
    <s v="Snow"/>
    <s v="NOT APPLICABLE"/>
    <s v="MNTH 72"/>
    <m/>
    <s v="0300000000000072-I"/>
    <s v="Single Vehicle Run Off Road"/>
    <s v="Motor Vehicle in Transport"/>
    <s v="Passenger Car"/>
    <s v="Northbound"/>
    <s v="Moving Forward"/>
    <n v="38"/>
    <s v="Male"/>
    <s v="Apparently Normal"/>
    <s v="No Clear Contributing Action"/>
    <m/>
    <m/>
    <m/>
    <s v="Two-Way, Not Divided"/>
    <s v="No Controls"/>
    <n v="55"/>
    <s v="Straight"/>
    <s v="Level"/>
    <m/>
    <m/>
    <m/>
    <m/>
    <m/>
    <m/>
    <m/>
    <m/>
    <m/>
    <m/>
    <m/>
    <m/>
    <m/>
    <m/>
    <m/>
    <m/>
    <m/>
    <m/>
    <m/>
    <m/>
    <m/>
    <m/>
    <m/>
    <m/>
    <m/>
    <m/>
    <m/>
    <m/>
    <m/>
    <m/>
    <m/>
    <m/>
    <m/>
    <m/>
    <m/>
    <m/>
    <m/>
    <m/>
    <m/>
    <m/>
    <m/>
    <m/>
    <m/>
    <m/>
    <m/>
    <m/>
    <m/>
    <m/>
    <n v="387630.70289999997"/>
    <n v="5332170.1453999998"/>
    <n v="48.13286746"/>
    <n v="-94.510290920000003"/>
    <d v="2017-02-06T05:20:00"/>
    <s v="Accepted"/>
    <s v="Reportable"/>
    <s v="MN State Patrol District 3200 - Thief River Falls"/>
    <s v="State Patrol"/>
    <s v="Crash occurred on MNTH 72 near MP 34.  Dodge Avenger NB on MNTH 72.  Beltrami County Deputy Scott HInners spoke wit the driver, Gerald Strebe.  Strebe told deputy Hinners that he was NB on MNTH 72.  He then saw a deer though the cloud of snow from the vehicle in front of him.  Strebe then hit the brakes, lost control, crossed the center line, hit the SB shoulder and rolled."/>
  </r>
  <r>
    <n v="1008850"/>
    <s v="03-MNTH"/>
    <n v="72"/>
    <n v="33.648000000000003"/>
    <s v="Beltrami"/>
    <m/>
    <s v="Waskish"/>
    <s v="D2-BEMIDJI"/>
    <s v="Thief River Falls"/>
    <m/>
    <n v="22320031"/>
    <n v="220050713"/>
    <d v="2023-01-01T00:00:00"/>
    <n v="5"/>
    <x v="2"/>
    <s v="04-Wed"/>
    <n v="13"/>
    <m/>
    <x v="2"/>
    <n v="0"/>
    <n v="2"/>
    <s v="Front to Front"/>
    <s v="Motor Vehicle In Transport"/>
    <s v="Not at Intersection or Interch"/>
    <s v="Daylight"/>
    <s v="Cloudy"/>
    <m/>
    <s v="Dry"/>
    <s v="NOT APPLICABLE"/>
    <s v="MNTH 72"/>
    <m/>
    <s v="0300000000000072-I"/>
    <s v="Head On"/>
    <s v="Motor Vehicle in Transport"/>
    <s v="Pickup"/>
    <s v="Northbound"/>
    <s v="Moving Forward"/>
    <n v="19"/>
    <s v="Male"/>
    <s v="Apparently Normal"/>
    <s v="Improper Passing"/>
    <m/>
    <m/>
    <m/>
    <s v="Two-Way, Not Divided"/>
    <s v="No Controls"/>
    <n v="60"/>
    <s v="Straight"/>
    <s v="Level"/>
    <s v="Motor Vehicle in Transport"/>
    <s v="Pickup"/>
    <s v="Southbound"/>
    <s v="Moving Forward"/>
    <n v="39"/>
    <s v="Female"/>
    <s v="Apparently Normal"/>
    <s v="No Clear Contributing Action"/>
    <m/>
    <m/>
    <m/>
    <s v="Two-Way, Not Divided"/>
    <s v="No Controls"/>
    <n v="60"/>
    <s v="Straight"/>
    <s v="Level"/>
    <m/>
    <m/>
    <m/>
    <m/>
    <m/>
    <m/>
    <m/>
    <m/>
    <m/>
    <m/>
    <m/>
    <m/>
    <m/>
    <m/>
    <m/>
    <m/>
    <m/>
    <m/>
    <m/>
    <m/>
    <m/>
    <m/>
    <m/>
    <m/>
    <m/>
    <m/>
    <m/>
    <m/>
    <m/>
    <m/>
    <m/>
    <m/>
    <n v="387631.87329999998"/>
    <n v="5332237.8485000003"/>
    <n v="48.13347658"/>
    <n v="-94.510293059999995"/>
    <d v="2022-01-05T13:41:00"/>
    <s v="Accepted"/>
    <s v="Reportable"/>
    <s v="MN State Patrol District 3200 - Thief River Falls"/>
    <s v="State Patrol"/>
    <s v="Vehicle 1 (Ford F-150) was driving northbound on Hwy 72. Vehicle 2 (Dodge Ram) was driving southbound on Hwy 72. Vehicle 1 went into the southbound lane driving northbound, and collided head on with vehicle 2. Driver of vehicle 1 was wearing their seat belt, and sustained non life-threatening injuries. Driver of vehicle 2 was wearing their seat belt, and sustained life-threatening injuries. Both drivers were transported by ambulance to the Bemidji hospital for their injuries. Both vehicles sustained severe front end disabling damage. Both vehicles had airbag deployment. Vehicle 1 had front and side airbag deployment. Vehicle 2 had front airbag deployment. Both vehicles were towed by Bogart's Towing to their lot for further investigation. Crash scene was also photographed, and then painted. A crash reconstruction was requested. Several witnesses stated they saw the F-150 drive north into the southbound lane. No passengers in either vehicle."/>
  </r>
  <r>
    <n v="509023"/>
    <s v="03-MNTH"/>
    <n v="72"/>
    <n v="33.847999999999999"/>
    <s v="Beltrami"/>
    <m/>
    <s v="Waskish"/>
    <s v="D2-BEMIDJI"/>
    <s v="Thief River Falls"/>
    <m/>
    <n v="17321804"/>
    <n v="172880099"/>
    <d v="2023-10-10T00:00:00"/>
    <n v="15"/>
    <x v="4"/>
    <s v="01-Sun"/>
    <n v="0"/>
    <m/>
    <x v="1"/>
    <n v="0"/>
    <n v="1"/>
    <m/>
    <s v="Deer"/>
    <s v="Not at Intersection or Interch"/>
    <s v="Dark (No Str Lights)"/>
    <s v="Cloudy"/>
    <m/>
    <s v="Dry"/>
    <s v="NOT APPLICABLE"/>
    <s v="MNTH 72"/>
    <m/>
    <s v="0300000000000072-I"/>
    <s v="Single Vehicle Other"/>
    <s v="Motor Vehicle in Transport"/>
    <s v="Pickup"/>
    <s v="Northbound"/>
    <s v="Moving Forward"/>
    <n v="32"/>
    <s v="Female"/>
    <s v="Apparently Normal"/>
    <s v="No Clear Contributing Action"/>
    <m/>
    <m/>
    <m/>
    <s v="Two-Way, Not Divided"/>
    <s v="No Controls"/>
    <n v="55"/>
    <s v="Straight"/>
    <s v="Level"/>
    <m/>
    <m/>
    <m/>
    <m/>
    <m/>
    <m/>
    <m/>
    <m/>
    <m/>
    <m/>
    <m/>
    <m/>
    <m/>
    <m/>
    <m/>
    <m/>
    <m/>
    <m/>
    <m/>
    <m/>
    <m/>
    <m/>
    <m/>
    <m/>
    <m/>
    <m/>
    <m/>
    <m/>
    <m/>
    <m/>
    <m/>
    <m/>
    <m/>
    <m/>
    <m/>
    <m/>
    <m/>
    <m/>
    <m/>
    <m/>
    <m/>
    <m/>
    <m/>
    <m/>
    <m/>
    <m/>
    <m/>
    <m/>
    <n v="387637.43109999999"/>
    <n v="5332559.3501000004"/>
    <n v="48.136369100000003"/>
    <n v="-94.510303199999996"/>
    <d v="2017-10-15T00:12:00"/>
    <s v="Accepted"/>
    <s v="Reportable"/>
    <s v="MN State Patrol District 3200 - Thief River Falls"/>
    <s v="State Patrol"/>
    <s v="V1 (Chevrolet Silverado) was traveling north on MNTH 72 and struck a deer on the front passenger's side of the vehicle. The deer came from the east ditch. The side curtain airbags deployed on both sides of the vehicle. V1 had the driver and two passenger's. All occupants were wearing their seat belts. The rear seat passenger sustained possible injuries from the airbags deploying but was checked out by ambulance at the scene and released. The driver and front seat passenger were not injured. V1 received moderate damage to the front passenger's side. V1 was towed by Custom Auto. Photographs were taken. There were no witnesses."/>
  </r>
  <r>
    <n v="1035843"/>
    <s v="03-MNTH"/>
    <n v="72"/>
    <n v="34.826000000000001"/>
    <s v="Beltrami"/>
    <m/>
    <s v="Waskish"/>
    <s v="D2-BEMIDJI"/>
    <s v="Thief River Falls"/>
    <m/>
    <n v="22321178"/>
    <n v="222020198"/>
    <d v="2023-07-07T00:00:00"/>
    <n v="21"/>
    <x v="2"/>
    <s v="05-Thu"/>
    <n v="22"/>
    <m/>
    <x v="3"/>
    <n v="0"/>
    <n v="1"/>
    <m/>
    <s v="Deer"/>
    <s v="Not at Intersection or Interch"/>
    <s v="Dark (No Str Lights)"/>
    <s v="Clear"/>
    <m/>
    <s v="Dry"/>
    <s v="NOT APPLICABLE"/>
    <s v="MNTH 72"/>
    <m/>
    <s v="0300000000000072-I"/>
    <s v="Single Vehicle Other"/>
    <s v="Motor Vehicle in Transport"/>
    <s v="Motorcycle"/>
    <s v="Northbound"/>
    <s v="Moving Forward"/>
    <n v="56"/>
    <s v="Male"/>
    <s v="Apparently Normal"/>
    <s v="No Clear Contributing Action"/>
    <m/>
    <m/>
    <m/>
    <s v="Two-Way, Not Divided"/>
    <s v="Not Applicable"/>
    <n v="60"/>
    <s v="Straight"/>
    <s v="Level"/>
    <m/>
    <m/>
    <m/>
    <m/>
    <m/>
    <m/>
    <m/>
    <m/>
    <m/>
    <m/>
    <m/>
    <m/>
    <m/>
    <m/>
    <m/>
    <m/>
    <m/>
    <m/>
    <m/>
    <m/>
    <m/>
    <m/>
    <m/>
    <m/>
    <m/>
    <m/>
    <m/>
    <m/>
    <m/>
    <m/>
    <m/>
    <m/>
    <m/>
    <m/>
    <m/>
    <m/>
    <m/>
    <m/>
    <m/>
    <m/>
    <m/>
    <m/>
    <m/>
    <m/>
    <m/>
    <m/>
    <m/>
    <m/>
    <n v="387666.65059999999"/>
    <n v="5334134.0694000004"/>
    <n v="48.150537020000002"/>
    <n v="-94.510326109999994"/>
    <d v="2022-07-21T22:33:00"/>
    <s v="Accepted"/>
    <s v="Reportable"/>
    <s v="MN State Patrol District 3200 - Thief River Falls"/>
    <s v="State Patrol"/>
    <s v="Motorcycle was traveling NB on MNTH 72, when a deer attempted to cross the roadway. Driver was just starting to slow down for his turn, figuring he was going approximately 45-50mph. Driver had minor injuries and refused medical treatment."/>
  </r>
  <r>
    <n v="10847822"/>
    <s v="03-MNTH"/>
    <n v="72"/>
    <n v="34.890999999999998"/>
    <s v="Beltrami"/>
    <m/>
    <s v="Waskish"/>
    <s v="D2-BEMIDJI"/>
    <s v="Thief River Falls"/>
    <m/>
    <n v="13320057"/>
    <n v="130220395"/>
    <d v="2023-01-01T00:00:00"/>
    <n v="19"/>
    <x v="3"/>
    <s v="07-Sat"/>
    <n v="14"/>
    <m/>
    <x v="0"/>
    <n v="0"/>
    <n v="1"/>
    <s v="RAN OFF RD-LEFT"/>
    <s v="Standing Tree/Shrubbery"/>
    <s v="Not at Intersection or Interch"/>
    <s v="Daylight"/>
    <s v="Blowing Sand/Soil/Dirt/Snow"/>
    <s v="Severe Crosswinds"/>
    <s v="Ice/Frost"/>
    <s v="NOT APPLICABLE"/>
    <n v="72"/>
    <s v="SUNNY BEACH RD NE"/>
    <s v="0300000000000072-I"/>
    <s v="Single Vehicle Run Off Road"/>
    <s v="Motor Vehicle in Transport"/>
    <s v="Sport Utility Vehicle"/>
    <s v="Southbound"/>
    <s v="Moving Forward"/>
    <n v="19"/>
    <s v="Male"/>
    <s v="Apparently Normal"/>
    <s v="Inattentive/Distraction (Talking, Eating)"/>
    <m/>
    <m/>
    <m/>
    <s v="2-LANES 1-ECH-WY"/>
    <s v="Not Applicable"/>
    <n v="55"/>
    <s v="Straight"/>
    <s v="Level"/>
    <m/>
    <m/>
    <m/>
    <m/>
    <m/>
    <m/>
    <m/>
    <m/>
    <m/>
    <m/>
    <m/>
    <m/>
    <m/>
    <m/>
    <m/>
    <m/>
    <m/>
    <m/>
    <m/>
    <m/>
    <m/>
    <m/>
    <m/>
    <m/>
    <m/>
    <m/>
    <m/>
    <m/>
    <m/>
    <m/>
    <m/>
    <m/>
    <m/>
    <m/>
    <m/>
    <m/>
    <m/>
    <m/>
    <m/>
    <m/>
    <m/>
    <m/>
    <m/>
    <m/>
    <m/>
    <m/>
    <m/>
    <m/>
    <n v="387668.734"/>
    <n v="5334237.9051999999"/>
    <n v="48.151471270000002"/>
    <n v="-94.510325519999995"/>
    <d v="2013-01-19T14:17:00"/>
    <s v="Accepted"/>
    <s v="Reportable"/>
    <s v="Unknown"/>
    <s v="Unknown"/>
    <s v="V SOUTHBOUND MNTH 72, LOST CONTROL ON VERY ICY ROAD, WENT OFF LEFT SIDE OF ROAD AND HIT SOME TREES"/>
  </r>
  <r>
    <n v="361944"/>
    <s v="03-MNTH"/>
    <n v="72"/>
    <n v="35.226999999999997"/>
    <s v="Beltrami"/>
    <m/>
    <s v="Waskish"/>
    <s v="D2-BEMIDJI"/>
    <s v="Thief River Falls"/>
    <m/>
    <n v="16320935"/>
    <n v="161840183"/>
    <d v="2023-07-07T00:00:00"/>
    <n v="2"/>
    <x v="7"/>
    <s v="07-Sat"/>
    <n v="19"/>
    <s v="North"/>
    <x v="3"/>
    <n v="0"/>
    <n v="2"/>
    <s v="Sideswipe - Opposing"/>
    <s v="Motor Vehicle In Transport"/>
    <s v="T Intersection"/>
    <s v="Daylight"/>
    <s v="Clear"/>
    <m/>
    <s v="Dry"/>
    <s v="NOT APPLICABLE"/>
    <s v="MNTH 72"/>
    <m/>
    <s v="0300000000000072-I"/>
    <s v="Sideswipe Opposing"/>
    <s v="Motor Vehicle in Transport"/>
    <s v="Passenger Car"/>
    <s v="Northbound"/>
    <s v="Turning Left"/>
    <n v="41"/>
    <s v="Female"/>
    <s v="Has Been Drinking Alcohol"/>
    <s v="Failure to Yield Right-of-Way"/>
    <m/>
    <m/>
    <m/>
    <s v="Two-Way, Not Divided"/>
    <s v="No Controls"/>
    <n v="55"/>
    <s v="Straight"/>
    <s v="Level"/>
    <s v="Motor Vehicle in Transport"/>
    <s v="Passenger Car"/>
    <s v="Northbound"/>
    <s v="Moving Forward"/>
    <n v="47"/>
    <s v="Female"/>
    <s v="Apparently Normal"/>
    <s v="No Clear Contributing Action"/>
    <m/>
    <m/>
    <m/>
    <s v="Two-Way, Not Divided"/>
    <s v="No Controls"/>
    <n v="55"/>
    <s v="Straight"/>
    <s v="Level"/>
    <m/>
    <m/>
    <m/>
    <m/>
    <m/>
    <m/>
    <m/>
    <m/>
    <m/>
    <m/>
    <m/>
    <m/>
    <m/>
    <m/>
    <m/>
    <m/>
    <m/>
    <m/>
    <m/>
    <m/>
    <m/>
    <m/>
    <m/>
    <m/>
    <m/>
    <m/>
    <m/>
    <m/>
    <m/>
    <m/>
    <m/>
    <m/>
    <n v="387656.36229999998"/>
    <n v="5334777.0482999999"/>
    <n v="48.156318040000002"/>
    <n v="-94.510634150000001"/>
    <d v="2016-07-02T19:36:00"/>
    <s v="Accepted"/>
    <s v="Reportable"/>
    <s v="MN State Patrol District 3200 - Thief River Falls"/>
    <s v="State Patrol"/>
    <s v="This was a two vehicle crash.  Vehicle 1 was a 2012 Buick Sedan, and Vehicle 2 was a 2013 Honda Accord.  V1 was northbound on MNTH 72.  V2 was southbound on MNTH 72.  V1 was turning left onto Lou Rayne Beach Road.  V1 turned in front of V2.  V2 was struck in the driver side door area.  The driver side curtain airbag was deployed on V2.  V1 had minor damage to the front end of the vehicle.  V2 had moderate damage on the driver side door.  The driver of V2 was transported by ambulance to Bemidji Sanford.  Bogart's Towed V1 and pulled V2 out of the ditch.  The driver of V1 was arrested for driving while impaired."/>
  </r>
  <r>
    <n v="378651"/>
    <s v="03-MNTH"/>
    <n v="72"/>
    <n v="35.85"/>
    <s v="Beltrami"/>
    <m/>
    <s v="Waskish"/>
    <s v="D2-BEMIDJI"/>
    <s v="Thief River Falls"/>
    <m/>
    <n v="16321295"/>
    <n v="162480159"/>
    <d v="2023-09-09T00:00:00"/>
    <n v="4"/>
    <x v="7"/>
    <s v="01-Sun"/>
    <n v="23"/>
    <s v="Not Applicable"/>
    <x v="3"/>
    <n v="0"/>
    <n v="1"/>
    <m/>
    <s v="Overturn/Rollover"/>
    <s v="Not at Intersection or Interch"/>
    <s v="Dark (No Str Lights)"/>
    <s v="Clear"/>
    <m/>
    <s v="Dry"/>
    <s v="NOT APPLICABLE"/>
    <s v="MNTH 72"/>
    <m/>
    <s v="0300000000000072-I"/>
    <s v="Single Vehicle Run Off Road"/>
    <s v="Motor Vehicle in Transport"/>
    <s v="ATV"/>
    <s v="Southbound"/>
    <s v="Swerved or Attempt to Avoid Object in Roadway"/>
    <n v="26"/>
    <s v="Female"/>
    <s v="Has Been Drinking Alcohol"/>
    <s v="Operated Motor Vehicle: Careless/Negligent/Erratic"/>
    <m/>
    <m/>
    <m/>
    <s v="Two-Way, Not Divided"/>
    <s v="No Controls"/>
    <n v="55"/>
    <s v="Straight"/>
    <s v="Level"/>
    <m/>
    <m/>
    <m/>
    <m/>
    <m/>
    <m/>
    <m/>
    <m/>
    <m/>
    <m/>
    <m/>
    <m/>
    <m/>
    <m/>
    <m/>
    <m/>
    <m/>
    <m/>
    <m/>
    <m/>
    <m/>
    <m/>
    <m/>
    <m/>
    <m/>
    <m/>
    <m/>
    <m/>
    <m/>
    <m/>
    <m/>
    <m/>
    <m/>
    <m/>
    <m/>
    <m/>
    <m/>
    <m/>
    <m/>
    <m/>
    <m/>
    <m/>
    <m/>
    <m/>
    <m/>
    <m/>
    <m/>
    <m/>
    <n v="387523.21059999999"/>
    <n v="5335759.8295999998"/>
    <n v="48.165133429999997"/>
    <n v="-94.512683820000007"/>
    <d v="2016-09-04T23:11:00"/>
    <s v="Accepted"/>
    <s v="Reportable"/>
    <s v="MN State Patrol District 3200 - Thief River Falls"/>
    <s v="State Patrol"/>
    <s v="RESPONDED TO ATV SIDE BY SIDE ROLL OVER ON HWY 72 AT MP36.... ARRIVED ON SCENE AND LOCATED CRASH SITE IN THE WEST DITCH OF HWY72.... ATV WAS MOVED FROM RESTING POSITION TO BEHIND THE HILLMANS BAR.... EMT WERE ALREADY ON SCENE SPEAKING WITH BOTH DRIVER AND PASSENGER.  VEH IS A 2016 POLARIS RAZER 1000CC NO PLATE INFO.  DRIVER JILLIAN DAWN JANSEN DOB 12/21/1981 FRONT RIGHT PASSENGER JENNA LEIGH JANSEN 06/13/1987.... BOTH HAVE VERY MINOR NON LIFE THREAT INJ, NO EMS TRANSPORT.  VEH TRVL SB HWY 72 NEAR MP36.... VEH ENTERED WEST DITCH AND APPEARED TO ROLLOVER AND REST ON ITS SIDE, UNKNOWN DUE TO ATV MOVED AFTER CRASH.... BOTH DRIVER AND PASSENGER STATED THAT SEATBELTS IN USE.  WHILE SPEAKING WITH THE DRIVER JILLIAN I DETECTED CLUES OF IMPAIRMENT, JILLIAN ALSO STATED THAT SHE HAD BEEN DRINKING BEER ALL DAY.... SFST CONDUCTED RESULTING IN MANY CKUES OF IMPAIRMENT... PBT .188.... JILLIAN WAS ARRESTED FOR DWI AND TRANSPORTED TO THE BELTRAMI CTY JAIL FOR ICA AND TESTING..... DMT BREATH TEST RESULTED IN A .13 BAC.... JILLIAN BOOKED AND CHARGED WITH 4TH DEG DWI.  STATEFARM INS, POLICY NUMBER 2883426E2623 EXP MAY 26 2017."/>
  </r>
  <r>
    <n v="349602"/>
    <s v="03-MNTH"/>
    <n v="72"/>
    <n v="35.863999999999997"/>
    <s v="Beltrami"/>
    <m/>
    <s v="Waskish"/>
    <s v="D2-BEMIDJI"/>
    <s v="Thief River Falls"/>
    <m/>
    <n v="16320715"/>
    <n v="161370215"/>
    <d v="2023-05-05T00:00:00"/>
    <n v="16"/>
    <x v="7"/>
    <s v="02-Mon"/>
    <n v="14"/>
    <m/>
    <x v="3"/>
    <n v="0"/>
    <n v="1"/>
    <m/>
    <s v="Overturn/Rollover"/>
    <s v="Not at Intersection or Interch"/>
    <s v="Daylight"/>
    <s v="Clear"/>
    <m/>
    <s v="Dry"/>
    <s v="NOT APPLICABLE"/>
    <s v="MNTH 72"/>
    <m/>
    <s v="0300000000000072-I"/>
    <s v="Single Vehicle Run Off Road"/>
    <s v="Motor Vehicle in Transport"/>
    <s v="Passenger Car"/>
    <s v="Southbound"/>
    <s v="Moving Forward"/>
    <n v="74"/>
    <s v="Female"/>
    <s v="Apparently Normal"/>
    <s v="No Clear Contributing Action"/>
    <m/>
    <m/>
    <m/>
    <s v="Two-Way, Not Divided"/>
    <s v="No Controls"/>
    <n v="55"/>
    <s v="Straight"/>
    <s v="Level"/>
    <m/>
    <m/>
    <m/>
    <m/>
    <m/>
    <m/>
    <m/>
    <m/>
    <m/>
    <m/>
    <m/>
    <m/>
    <m/>
    <m/>
    <m/>
    <m/>
    <m/>
    <m/>
    <m/>
    <m/>
    <m/>
    <m/>
    <m/>
    <m/>
    <m/>
    <m/>
    <m/>
    <m/>
    <m/>
    <m/>
    <m/>
    <m/>
    <m/>
    <m/>
    <m/>
    <m/>
    <m/>
    <m/>
    <m/>
    <m/>
    <m/>
    <m/>
    <m/>
    <m/>
    <m/>
    <m/>
    <m/>
    <m/>
    <n v="387523.6385"/>
    <n v="5335783.0662000002"/>
    <n v="48.16534249"/>
    <n v="-94.512684219999997"/>
    <d v="2016-05-16T14:44:00"/>
    <s v="Accepted"/>
    <s v="Reportable"/>
    <s v="MN State Patrol District 3200 - Thief River Falls"/>
    <s v="State Patrol"/>
    <s v="V1 was traveling south on MNTH 72 went off the right side (west side) of the roadway into the ditch, crashed head on into a driveway approach, rolled over, and landed on its roof. Driver of V1 was trapped inside and was freed by EMT and first responders. Driver of V1 was wearing their seat belt prior to the crash and sustained non-life threatening injuries. No airbags were deployed on V1. V1 sustained severe damage to multiple areas. Driver of V1 stated she was traveling south on MNTH 72 swerved to miss a &quot;coyote or wolf&quot; went into the right ditch and rolled. Driver of V1 stated she was traveling at approximately 55-60 mph prior to the crash. There were no passenger's in the vehicle or witnesses to the crash. V1 was towed by Bogart's. No holds were placed on the vehicle. Photograph's were taken of the crash scene."/>
  </r>
  <r>
    <n v="11015890"/>
    <s v="03-MNTH"/>
    <n v="72"/>
    <n v="36.35"/>
    <s v="Beltrami"/>
    <m/>
    <s v="Waskish"/>
    <s v="D2-BEMIDJI"/>
    <s v="Thief River Falls"/>
    <m/>
    <n v="15320028"/>
    <n v="150090554"/>
    <d v="2023-01-01T00:00:00"/>
    <n v="6"/>
    <x v="1"/>
    <s v="03-Tues"/>
    <n v="20"/>
    <s v="North"/>
    <x v="0"/>
    <n v="0"/>
    <n v="2"/>
    <s v="Sideswipe - Same Direction"/>
    <s v="Motor Vehicle In Transport"/>
    <s v="Intersection Related"/>
    <s v="Dark (No Str Lights)"/>
    <s v="Snow"/>
    <m/>
    <s v="Ice/Frost"/>
    <s v="NOT APPLICABLE"/>
    <s v="72 HWY NE"/>
    <s v="WASKISH"/>
    <s v="0300000000000072-I"/>
    <s v="Sideswipe Same Direction"/>
    <s v="Motor Vehicle in Transport"/>
    <s v="TRK TRAC W SEMI"/>
    <s v="Northbound"/>
    <s v="Moving Forward"/>
    <n v="76"/>
    <s v="Male"/>
    <s v="Apparently Normal"/>
    <s v="Improper Passing"/>
    <s v="Failure to Obey Traffic Signs, Signals, Officer"/>
    <m/>
    <m/>
    <s v="2-LANES 1-ECH-WY"/>
    <s v="Not Applicable"/>
    <n v="55"/>
    <s v="Straight"/>
    <s v="Level"/>
    <s v="Motor Vehicle in Transport"/>
    <s v="Passenger Car"/>
    <s v="Northbound"/>
    <s v="Moving Forward"/>
    <n v="66"/>
    <s v="Female"/>
    <s v="Apparently Normal"/>
    <s v="No Clear Contributing Action"/>
    <m/>
    <m/>
    <m/>
    <s v="2-LANES 1-ECH-WY"/>
    <s v="Not Applicable"/>
    <n v="55"/>
    <s v="Straight"/>
    <s v="Level"/>
    <m/>
    <m/>
    <m/>
    <m/>
    <m/>
    <m/>
    <m/>
    <m/>
    <m/>
    <m/>
    <m/>
    <m/>
    <m/>
    <m/>
    <m/>
    <m/>
    <m/>
    <m/>
    <m/>
    <m/>
    <m/>
    <m/>
    <m/>
    <m/>
    <m/>
    <m/>
    <m/>
    <m/>
    <m/>
    <m/>
    <m/>
    <m/>
    <n v="387538.0282"/>
    <n v="5336564.3832999999"/>
    <n v="48.172372039999999"/>
    <n v="-94.512697450000005"/>
    <d v="2015-01-06T20:00:00"/>
    <s v="Accepted"/>
    <s v="Reportable"/>
    <s v="Unknown"/>
    <s v="Unknown"/>
    <s v="There were two motor vehicles involved with this crash.  V1 and V2 were NB on HWY 72 near Waskish.  V1 was following V2.  V1 was a semi-trailer combo.  When V2 was turning into a gas station V1 started to pass V2.  In the area this was a no passing zone.  V2 struck the trailer of V1.  V1 was towed by Bogarts Towing.  There were no apparent injuries to either occupant.  No one was transported to the hospital."/>
  </r>
  <r>
    <n v="981064"/>
    <s v="03-MNTH"/>
    <n v="72"/>
    <n v="37.951000000000001"/>
    <s v="Beltrami"/>
    <m/>
    <s v="Waskish"/>
    <s v="D2-BEMIDJI"/>
    <s v="Thief River Falls"/>
    <m/>
    <n v="21322036"/>
    <n v="213490250"/>
    <d v="2023-12-12T00:00:00"/>
    <n v="15"/>
    <x v="8"/>
    <s v="04-Wed"/>
    <n v="17"/>
    <m/>
    <x v="0"/>
    <n v="0"/>
    <n v="1"/>
    <m/>
    <s v="Ditch"/>
    <s v="Not at Intersection or Interch"/>
    <s v="Dark (No Str Lights)"/>
    <s v="Fog/Smog/Smoke"/>
    <s v="Rain"/>
    <s v="Wet"/>
    <s v="NOT APPLICABLE"/>
    <s v="MNTH 72"/>
    <m/>
    <s v="0300000000000072-I"/>
    <s v="Single Vehicle Run Off Road"/>
    <s v="Motor Vehicle in Transport"/>
    <s v="Pickup"/>
    <s v="Northbound"/>
    <s v="Moving Forward"/>
    <n v="22"/>
    <s v="Female"/>
    <s v="Apparently Normal"/>
    <s v="Ran Off Road"/>
    <s v="Over Correcting / Over Steering"/>
    <m/>
    <m/>
    <s v="Two-Way, Not Divided"/>
    <s v="No Controls"/>
    <n v="60"/>
    <s v="Curve Left"/>
    <s v="Level"/>
    <m/>
    <m/>
    <m/>
    <m/>
    <m/>
    <m/>
    <m/>
    <m/>
    <m/>
    <m/>
    <m/>
    <m/>
    <m/>
    <m/>
    <m/>
    <m/>
    <m/>
    <m/>
    <m/>
    <m/>
    <m/>
    <m/>
    <m/>
    <m/>
    <m/>
    <m/>
    <m/>
    <m/>
    <m/>
    <m/>
    <m/>
    <m/>
    <m/>
    <m/>
    <m/>
    <m/>
    <m/>
    <m/>
    <m/>
    <m/>
    <m/>
    <m/>
    <m/>
    <m/>
    <m/>
    <m/>
    <m/>
    <m/>
    <n v="386853.86440000002"/>
    <n v="5338998.1993000004"/>
    <n v="48.194139649999997"/>
    <n v="-94.522544800000006"/>
    <d v="2021-12-15T17:36:00"/>
    <s v="Accepted"/>
    <s v="Reportable"/>
    <s v="MN State Patrol District 3200 - Thief River Falls"/>
    <s v="State Patrol"/>
    <s v="I was dispatched to a vehicle rollover north of Waskish that was traveling NB on MNTH 72. The driver drifted off into the ditch on the right side of the roadway. The vehicle sustained major damage with the front passenger tire being ripped off. The tire was found near the truck. The driver was wearing a seatbelt. The curtain airbags on both sides were deployed. The vehicle was pulled out and loaded onto the tow truck from Bogarts Towing. There were no witnesses to the crash. Photographs were taken by Beltrami County Deputies. The driver was cited for duty to drive with due care. Blackduck Ambulance was on scene with the driver upon my arrival and cleared the driver from her injuries."/>
  </r>
  <r>
    <n v="451934"/>
    <s v="03-MNTH"/>
    <n v="72"/>
    <n v="38.049999999999997"/>
    <s v="Beltrami"/>
    <m/>
    <s v="Waskish"/>
    <s v="D2-BEMIDJI"/>
    <s v="Thief River Falls"/>
    <m/>
    <n v="17320849"/>
    <n v="171320236"/>
    <d v="2023-05-05T00:00:00"/>
    <n v="12"/>
    <x v="4"/>
    <s v="06-Fri"/>
    <n v="21"/>
    <s v="Not Applicable"/>
    <x v="0"/>
    <n v="0"/>
    <n v="1"/>
    <m/>
    <s v="Immersion (Full or Partial)"/>
    <s v="Not at Intersection or Interch"/>
    <s v="Dark (No Str Lights)"/>
    <s v="Clear"/>
    <m/>
    <s v="Dry"/>
    <s v="NOT APPLICABLE"/>
    <s v="MNTH 72"/>
    <m/>
    <s v="0300000000000072-I"/>
    <s v="Single Vehicle Run Off Road"/>
    <s v="Motor Vehicle in Transport"/>
    <s v="Sport Utility Vehicle"/>
    <s v="Northbound"/>
    <s v="Negotiating a Curve"/>
    <n v="29"/>
    <s v="Male"/>
    <s v="Unknown"/>
    <s v="Operated Motor Vehicle: Careless/Negligent/Erratic"/>
    <m/>
    <m/>
    <m/>
    <s v="Two-Way, Not Divided"/>
    <s v="No Controls"/>
    <n v="55"/>
    <s v="Curve Left"/>
    <s v="Level"/>
    <m/>
    <m/>
    <m/>
    <m/>
    <m/>
    <m/>
    <m/>
    <m/>
    <m/>
    <m/>
    <m/>
    <m/>
    <m/>
    <m/>
    <m/>
    <m/>
    <m/>
    <m/>
    <m/>
    <m/>
    <m/>
    <m/>
    <m/>
    <m/>
    <m/>
    <m/>
    <m/>
    <m/>
    <m/>
    <m/>
    <m/>
    <m/>
    <m/>
    <m/>
    <m/>
    <m/>
    <m/>
    <m/>
    <m/>
    <m/>
    <m/>
    <m/>
    <m/>
    <m/>
    <m/>
    <m/>
    <m/>
    <m/>
    <n v="386743.03840000002"/>
    <n v="5339112.1459999997"/>
    <n v="48.195144689999999"/>
    <n v="-94.524065969999995"/>
    <d v="2017-05-12T21:26:00"/>
    <s v="Accepted"/>
    <s v="Reportable"/>
    <s v="MN State Patrol District 3200 - Thief River Falls"/>
    <s v="State Patrol"/>
    <s v="Ford Explorer NB on MNTH 72.  Explorer went off the road to the right into a ditch filled with water.  Water was up to the tires.  Vehicle unoccupied when 1st responders arrived.  Driver called the next day and said that he was doing something on the radio and swerved to miss a deer.  Driver said he got picked up by someone in a white SUV type vehicle and brought to Cyrus resort in Baudette, where driver said he was staying."/>
  </r>
  <r>
    <n v="818656"/>
    <s v="03-MNTH"/>
    <n v="72"/>
    <n v="38.807000000000002"/>
    <s v="Beltrami"/>
    <m/>
    <s v="Waskish"/>
    <s v="D2-BEMIDJI"/>
    <s v="Thief River Falls"/>
    <m/>
    <n v="20320889"/>
    <n v="201900128"/>
    <d v="2023-07-07T00:00:00"/>
    <n v="8"/>
    <x v="0"/>
    <s v="04-Wed"/>
    <n v="9"/>
    <m/>
    <x v="0"/>
    <n v="0"/>
    <n v="1"/>
    <m/>
    <s v="Overturn/Rollover"/>
    <s v="Not at Intersection or Interch"/>
    <s v="Dark (No Str Lights)"/>
    <s v="Unknown"/>
    <m/>
    <s v="Unknown"/>
    <s v="NOT APPLICABLE"/>
    <s v="MNTH 72"/>
    <m/>
    <s v="0300000000000072-I"/>
    <s v="Single Vehicle Run Off Road"/>
    <s v="Motor Vehicle in Transport"/>
    <s v="Passenger Car"/>
    <s v="Southbound"/>
    <s v="Moving Forward"/>
    <n v="19"/>
    <s v="Female"/>
    <s v="Apparently Normal"/>
    <s v="Swerved or Avoided Due to Wind"/>
    <m/>
    <m/>
    <m/>
    <s v="Two-Way, Not Divided"/>
    <s v="No Controls"/>
    <n v="60"/>
    <s v="Straight"/>
    <s v="Level"/>
    <m/>
    <m/>
    <m/>
    <m/>
    <m/>
    <m/>
    <m/>
    <m/>
    <m/>
    <m/>
    <m/>
    <m/>
    <m/>
    <m/>
    <m/>
    <m/>
    <m/>
    <m/>
    <m/>
    <m/>
    <m/>
    <m/>
    <m/>
    <m/>
    <m/>
    <m/>
    <m/>
    <m/>
    <m/>
    <m/>
    <m/>
    <m/>
    <m/>
    <m/>
    <m/>
    <m/>
    <m/>
    <m/>
    <m/>
    <m/>
    <m/>
    <m/>
    <m/>
    <m/>
    <m/>
    <m/>
    <m/>
    <m/>
    <n v="385672.28090000001"/>
    <n v="5339693.3825000003"/>
    <n v="48.200180230000001"/>
    <n v="-94.538625949999997"/>
    <d v="2020-07-08T09:28:00"/>
    <s v="Accepted"/>
    <s v="Reportable"/>
    <s v="MN State Patrol District 3200 - Thief River Falls"/>
    <s v="State Patrol"/>
    <s v="Vehicle 1 (veh1): Blue colored Chevrolet Impala license plate BBP658. _x000a_Vehicle Owner: Lonnie Eugene Nichols DOB 06/11/1951_x000a_Vehicle Driver: Halle Rae Dahl DOB 01/10/2001_x000a__x000a_Veh1 was traveling southbound on highway 72. Driver was wearing her seatbelt and traveling at 65mph. Driver stated a deer came out in front of her from the right and she swerved into the ditch to avoid it. Driver stated she hit the back of her head against the head rest but did not go to the hospital. She stated she was okay._x000a__x000a_There was packed down grass tire tracks from the east shoulder of hwy 72 leading straight into the east ditch. The tracks continue until they met a field approach embankment with a large gouge in the dirt at the base of the embankment. The grass tire tracks then disappear at the top of the embankment, and reappear on the other side of the embankment in the ditch where there was a large area of packed down grass and dirt gouges. The vehicle was right side up at the end of all the packed grass and dirt gouges, with no further evidence beyond the vehicle. _x000a__x000a_The vehicle itself was covered in dirt, and had severe damage to the front and rear. The rear window was lying on the ground behind the vehicle. The drivers airbag was deployed. There were full cans of White Claw lying on the ground just behind the vehicle next to the rear window._x000a__x000a_The vehicle was towed by Bogart's Towing and allowed to be released to the registered owner of the vehicle once the investigation was concluded._x000a__x000a_Photographs were taken and there were no witnesses or passenger's."/>
  </r>
  <r>
    <n v="10935098"/>
    <s v="03-MNTH"/>
    <n v="72"/>
    <n v="38.968000000000004"/>
    <s v="Beltrami"/>
    <m/>
    <s v="Waskish"/>
    <s v="D2-BEMIDJI"/>
    <s v="Thief River Falls"/>
    <m/>
    <n v="14320555"/>
    <n v="141270205"/>
    <d v="2023-05-05T00:00:00"/>
    <n v="4"/>
    <x v="6"/>
    <s v="01-Sun"/>
    <n v="16"/>
    <m/>
    <x v="0"/>
    <n v="0"/>
    <n v="1"/>
    <s v="RAN OFF RD-LEFT"/>
    <s v="Overturn/Rollover"/>
    <s v="Not at Intersection or Interch"/>
    <s v="Daylight"/>
    <s v="Clear"/>
    <m/>
    <s v="Dry"/>
    <s v="NOT APPLICABLE"/>
    <s v="72 HWY NE"/>
    <s v="BLUE GOOSE LANE NE"/>
    <s v="0300000000000072-I"/>
    <s v="Single Vehicle Run Off Road"/>
    <s v="Motor Vehicle in Transport"/>
    <s v="Pickup"/>
    <s v="Northbound"/>
    <s v="Moving Forward"/>
    <n v="38"/>
    <s v="Male"/>
    <s v="Unknown"/>
    <s v="Inattentive/Distraction (Talking, Eating)"/>
    <s v="Over Correcting / Over Steering"/>
    <m/>
    <m/>
    <s v="2-LANES 1-ECH-WY"/>
    <s v="Not Applicable"/>
    <n v="55"/>
    <s v="Straight"/>
    <s v="Level"/>
    <m/>
    <m/>
    <m/>
    <m/>
    <m/>
    <m/>
    <m/>
    <m/>
    <m/>
    <m/>
    <m/>
    <m/>
    <m/>
    <m/>
    <m/>
    <m/>
    <m/>
    <m/>
    <m/>
    <m/>
    <m/>
    <m/>
    <m/>
    <m/>
    <m/>
    <m/>
    <m/>
    <m/>
    <m/>
    <m/>
    <m/>
    <m/>
    <m/>
    <m/>
    <m/>
    <m/>
    <m/>
    <m/>
    <m/>
    <m/>
    <m/>
    <m/>
    <m/>
    <m/>
    <m/>
    <m/>
    <m/>
    <m/>
    <n v="385444.20439999999"/>
    <n v="5339815.3625999996"/>
    <n v="48.20123615"/>
    <n v="-94.541727159999994"/>
    <d v="2014-05-04T16:30:00"/>
    <s v="Accepted"/>
    <s v="Reportable"/>
    <s v="Unknown"/>
    <s v="Unknown"/>
    <s v="V1 was traveling north on MNTH 72 drove off the roadway, onto the east shoulder, back onto the roadway, and into the west ditch, rolling onto its driver`s side. The driver of V1 fled the crash scene. Passerby`s reported the driver seemed to have been under the influence of an alcoholic beverage and had cuts on his head. Passerby`s reported driver of V1 refused law enforcement assistance and medical attention. Myself, Minnesota State Trooper SP153, and three Beltrami County Deputies searched for the driver for approximately two and half hours but were unable to find him or make contact with him on his cellular phone. V1 received severe damage to multiple areas and was towed by Bogart`s. Photograph`s were taken. I made contact with the driver of V1 the following day. Driver of V1 stated he was &amp;quote;screwing around&amp;quote; with his sattelite radio and looking at rice paddies when he drove off the roadway onto the east shoulder. Driver of V1 stated he overcorrected, went into the west ditch, and rolled his vehicle. Driver of V1 stated he was not injured and was wearing his seat belt. Driver of V1 denied drinking. Driver of V1 stated he had low blood sugar and that may have contributed to the crash. I completed a Request for Examination of Driver and issued Driver of V1 a citation for Duty to Drive With Due Care, No Proof of Insurance, and Failure to Change Address on Driver`s License."/>
  </r>
  <r>
    <n v="373538"/>
    <s v="03-MNTH"/>
    <n v="72"/>
    <n v="39.067999999999998"/>
    <s v="Beltrami"/>
    <m/>
    <s v="Waskish"/>
    <s v="D2-BEMIDJI"/>
    <s v="Thief River Falls"/>
    <m/>
    <n v="16321181"/>
    <n v="162320263"/>
    <d v="2023-08-08T00:00:00"/>
    <n v="19"/>
    <x v="7"/>
    <s v="06-Fri"/>
    <n v="15"/>
    <s v="Not Applicable"/>
    <x v="3"/>
    <n v="0"/>
    <n v="1"/>
    <m/>
    <s v="Overturn/Rollover"/>
    <s v="Not at Intersection or Interch"/>
    <s v="Daylight"/>
    <s v="Clear"/>
    <m/>
    <s v="Dry"/>
    <s v="NOT APPLICABLE"/>
    <s v="MNTH 72"/>
    <m/>
    <s v="0300000000000072-I"/>
    <s v="Single Vehicle Run Off Road"/>
    <s v="Motor Vehicle in Transport"/>
    <s v="Sport Utility Vehicle"/>
    <s v="Southbound"/>
    <s v="Moving Forward"/>
    <n v="42"/>
    <s v="Female"/>
    <s v="Has Been Taking Medications"/>
    <s v="Operated Motor Vehicle: Careless/Negligent/Erratic"/>
    <m/>
    <m/>
    <m/>
    <s v="Two-Way, Not Divided"/>
    <s v="No Controls"/>
    <n v="55"/>
    <s v="Curve Left"/>
    <s v="Level"/>
    <m/>
    <m/>
    <m/>
    <m/>
    <m/>
    <m/>
    <m/>
    <m/>
    <m/>
    <m/>
    <m/>
    <m/>
    <m/>
    <m/>
    <m/>
    <m/>
    <m/>
    <m/>
    <m/>
    <m/>
    <m/>
    <m/>
    <m/>
    <m/>
    <m/>
    <m/>
    <m/>
    <m/>
    <m/>
    <m/>
    <m/>
    <m/>
    <m/>
    <m/>
    <m/>
    <m/>
    <m/>
    <m/>
    <m/>
    <m/>
    <m/>
    <m/>
    <m/>
    <m/>
    <m/>
    <m/>
    <m/>
    <m/>
    <n v="385301.59519999998"/>
    <n v="5339891.6330000004"/>
    <n v="48.201896349999998"/>
    <n v="-94.54366632"/>
    <d v="2016-08-19T15:08:00"/>
    <s v="Accepted"/>
    <s v="Reportable"/>
    <s v="MN State Patrol District 3200 - Thief River Falls"/>
    <s v="State Patrol"/>
    <s v="CRASH OCCURED ON MNTH 72 NEAR MP 39.  V1 SB OF MNTH 72.  DRIVER WENT OFF ROAD RIGHT, OVER CORRECTED, CROSSED THE NB LANES AND WENT OFF ROAD LEFT.  V1 THEN ROLLED AND CAME TO REST UPRIGHT IN A SWAMP.  DEPUTY BENDER TOLD ME THAT D1, MOLLY, STATED THAT SHE WAS &quot;MESSING&quot; WITH THE RADIO AND NOT WEARING A SEAT BELT.  I TALKED WITH MOLLY AT THE HOSPITAL.  SHE ALSO TOLD ME THAT SHE WAS &quot;MESSING&quot; WITH THE RADIO AND NOT WEARING A SEAT BELT.  D1 WAS CITED FOR FAILURE TO USE DUE CARE AND NO SEAT BELT USE."/>
  </r>
  <r>
    <n v="764150"/>
    <s v="03-MNTH"/>
    <n v="72"/>
    <n v="39.613999999999997"/>
    <s v="Beltrami"/>
    <m/>
    <s v="Waskish"/>
    <s v="D2-BEMIDJI"/>
    <s v="Thief River Falls"/>
    <m/>
    <n v="19321880"/>
    <n v="193240198"/>
    <d v="2023-11-11T00:00:00"/>
    <n v="20"/>
    <x v="5"/>
    <s v="04-Wed"/>
    <n v="1"/>
    <s v="South"/>
    <x v="3"/>
    <n v="0"/>
    <n v="1"/>
    <m/>
    <s v="Embankment"/>
    <s v="Not at Intersection or Interch"/>
    <s v="Dark (No Str Lights)"/>
    <s v="Cloudy"/>
    <m/>
    <s v="Dry"/>
    <s v="NOT APPLICABLE"/>
    <s v="MNTH 72"/>
    <m/>
    <s v="0300000000000072-I"/>
    <s v="Single Vehicle Run Off Road"/>
    <s v="Motor Vehicle in Transport"/>
    <s v="Passenger Car"/>
    <s v="Southbound"/>
    <s v="Moving Forward"/>
    <n v="59"/>
    <s v="Male"/>
    <s v="Apparently Normal"/>
    <s v="Over Correcting / Over Steering"/>
    <m/>
    <m/>
    <m/>
    <s v="Two-Way, Not Divided"/>
    <s v="No Controls"/>
    <n v="60"/>
    <s v="Curve Left"/>
    <s v="Level"/>
    <m/>
    <m/>
    <m/>
    <m/>
    <m/>
    <m/>
    <m/>
    <m/>
    <m/>
    <m/>
    <m/>
    <m/>
    <m/>
    <m/>
    <m/>
    <m/>
    <m/>
    <m/>
    <m/>
    <m/>
    <m/>
    <m/>
    <m/>
    <m/>
    <m/>
    <m/>
    <m/>
    <m/>
    <m/>
    <m/>
    <m/>
    <m/>
    <m/>
    <m/>
    <m/>
    <m/>
    <m/>
    <m/>
    <m/>
    <m/>
    <m/>
    <m/>
    <m/>
    <m/>
    <m/>
    <m/>
    <m/>
    <m/>
    <n v="384615.41529999999"/>
    <n v="5340406.1476999996"/>
    <n v="48.206399320000003"/>
    <n v="-94.553037619999998"/>
    <d v="2019-11-20T01:00:00"/>
    <s v="Accepted"/>
    <s v="Reportable"/>
    <s v="MN State Patrol District 3200 - Thief River Falls"/>
    <s v="State Patrol"/>
    <s v="Vehicle southbound on MNTH 72, late 11/19/19 or early 11/20/19.  Vehicle lost control, entered east ditch and hit an embankment.  Driver transported to hospital by private vehicle.  _x000a__x000a_Law Enforcement not notified about crash."/>
  </r>
  <r>
    <n v="1021048"/>
    <s v="03-MNTH"/>
    <n v="72"/>
    <n v="40.701000000000001"/>
    <s v="Beltrami"/>
    <m/>
    <m/>
    <s v="D2-BEMIDJI"/>
    <s v="Thief River Falls"/>
    <m/>
    <n v="22320762"/>
    <n v="221230186"/>
    <d v="2023-05-05T00:00:00"/>
    <n v="3"/>
    <x v="2"/>
    <s v="03-Tues"/>
    <n v="13"/>
    <s v="Not Applicable"/>
    <x v="2"/>
    <n v="0"/>
    <n v="2"/>
    <s v="Angle"/>
    <s v="Motor Vehicle In Transport"/>
    <s v="T Intersection"/>
    <s v="Daylight"/>
    <s v="Clear"/>
    <m/>
    <s v="Dry"/>
    <s v="NOT APPLICABLE"/>
    <s v="MNTH 72"/>
    <s v="SHORELINE DR NE"/>
    <s v="0300000000000072-I"/>
    <s v="Angle"/>
    <s v="Motor Vehicle in Transport"/>
    <s v="Passenger Car"/>
    <s v="Southbound"/>
    <s v="Moving Forward"/>
    <n v="29"/>
    <s v="Female"/>
    <s v="Has Been Taking Illicit Drugs"/>
    <s v="Failed to Keep in Proper Lane"/>
    <m/>
    <m/>
    <m/>
    <s v="Two-Way, Not Divided"/>
    <s v="No Controls"/>
    <n v="60"/>
    <s v="Straight"/>
    <s v="Level"/>
    <s v="Motor Vehicle in Transport"/>
    <s v="Passenger Car"/>
    <s v="Northbound"/>
    <s v="Moving Forward"/>
    <n v="50"/>
    <s v="Female"/>
    <s v="Apparently Normal"/>
    <s v="No Clear Contributing Action"/>
    <m/>
    <m/>
    <m/>
    <s v="Two-Way, Not Divided"/>
    <s v="No Controls"/>
    <n v="60"/>
    <s v="Straight"/>
    <s v="Level"/>
    <m/>
    <m/>
    <m/>
    <m/>
    <m/>
    <m/>
    <m/>
    <m/>
    <m/>
    <m/>
    <m/>
    <m/>
    <m/>
    <m/>
    <m/>
    <m/>
    <m/>
    <m/>
    <m/>
    <m/>
    <m/>
    <m/>
    <m/>
    <m/>
    <m/>
    <m/>
    <m/>
    <m/>
    <m/>
    <m/>
    <m/>
    <m/>
    <n v="384601.38569999998"/>
    <n v="5342143.7418"/>
    <n v="48.222023890000003"/>
    <n v="-94.553699199999997"/>
    <d v="2022-05-03T13:53:00"/>
    <s v="Accepted"/>
    <s v="Reportable"/>
    <s v="MN State Patrol District 3200 - Thief River Falls"/>
    <s v="State Patrol"/>
    <s v="V1 (Dodge Avenger) was traveling south on MNTH 72. V2 (Nissan Altima) was traveling north on MNTH 72 and was going to make a left turn onto Shoreline Drive NE. V1 crossed into V2's lane  and crashed head on into the rear driver's side of V2. V1 then rolled over and landed upright in the east ditch of MNTH 72. V2 spun around and went into the east ditch of MNTH 72. Driver of V2 observed V1 cross into their lane and moved to the right shoulder as far as possible before V1 crashed into them. Driver of V1 was belted, pregnant and sustained non-life threatening injuries and was airlifted from the scene. Front seat passenger from V1 was belted and received non-life threatening injuries and was transported from the scene by ambulance. Rear seat passenger of V1 was a child that was not belted or in a child restraint and sustained non-life threatening injuries and was transported from the scene by ambulance. Driver of V2 was belted and received non-life threatening injuries and was transported from the scene by ambulance. Front and side airbags deployed on both vehicles. V1 received severe damage to multiple areas and was towed by Bogart's. V2 received severe damage to multiple areas and was towed from the scene by Bogart's. A witness to the crash observed V1 cross into V2's lane and crash into them. The crash scene was photographed and painted. A crash reconstruction was completed for the crash scene. Driver of V1 admitted to drug use and a search warrant was obtained for a blood draw. Charges were forwared for Criminal Vehicular Operation, 3rd Degree DWI, No Insurance, Driving after Suspension and No Child Restraint Equipped in the vehicle."/>
  </r>
  <r>
    <n v="762316"/>
    <s v="03-MNTH"/>
    <n v="72"/>
    <n v="40.874000000000002"/>
    <s v="Beltrami"/>
    <m/>
    <m/>
    <s v="D2-BEMIDJI"/>
    <s v="Thief River Falls"/>
    <m/>
    <n v="19019238"/>
    <n v="193150178"/>
    <d v="2023-11-11T00:00:00"/>
    <n v="11"/>
    <x v="5"/>
    <s v="02-Mon"/>
    <n v="5"/>
    <s v="Not Applicable"/>
    <x v="0"/>
    <n v="0"/>
    <n v="1"/>
    <m/>
    <s v="Overturn/Rollover"/>
    <s v="Not at Intersection or Interch"/>
    <s v="Dark (No Str Lights)"/>
    <s v="Clear"/>
    <m/>
    <s v="Ice/Frost"/>
    <s v="NOT APPLICABLE"/>
    <s v="MNTH 72"/>
    <m/>
    <s v="0300000000000072-I"/>
    <s v="Single Vehicle Run Off Road"/>
    <s v="Motor Vehicle in Transport"/>
    <s v="Sport Utility Vehicle"/>
    <s v="Northbound"/>
    <s v="Moving Forward"/>
    <n v="36"/>
    <s v="Male"/>
    <s v="Asleep or Fatigued"/>
    <s v="Other Contributing Action"/>
    <m/>
    <m/>
    <m/>
    <s v="Two-Way, Not Divided"/>
    <s v="No Controls"/>
    <n v="55"/>
    <s v="Straight"/>
    <s v="Level"/>
    <m/>
    <m/>
    <m/>
    <m/>
    <m/>
    <m/>
    <m/>
    <m/>
    <m/>
    <m/>
    <m/>
    <m/>
    <m/>
    <m/>
    <m/>
    <m/>
    <m/>
    <m/>
    <m/>
    <m/>
    <m/>
    <m/>
    <m/>
    <m/>
    <m/>
    <m/>
    <m/>
    <m/>
    <m/>
    <m/>
    <m/>
    <m/>
    <m/>
    <m/>
    <m/>
    <m/>
    <m/>
    <m/>
    <m/>
    <m/>
    <m/>
    <m/>
    <m/>
    <m/>
    <m/>
    <m/>
    <m/>
    <m/>
    <n v="384608.95010000002"/>
    <n v="5342422.0273000002"/>
    <n v="48.224528030000002"/>
    <n v="-94.553673149999995"/>
    <d v="2019-11-11T05:10:00"/>
    <s v="Accepted"/>
    <s v="Reportable"/>
    <s v="Beltrami County Sheriff"/>
    <s v="Sheriff"/>
    <s v="Vehicle one, a 2003 Chevrolet Suburban was travelling northbound on US highway 72. The driver was fatigued and fell asleep behind the wheel. The vehicle went across the southbound lane of travel, and into the ditch. The vehicle rolled one time and landed on its wheels. There was extensive damage to the vehicle and it was towed. The weather was clear and cold at the time. There was a small amount of snow on the roadways but this was not a factor in the crash."/>
  </r>
  <r>
    <n v="844519"/>
    <s v="03-MNTH"/>
    <n v="72"/>
    <n v="41.048000000000002"/>
    <s v="Beltrami"/>
    <m/>
    <m/>
    <s v="D2-BEMIDJI"/>
    <s v="Thief River Falls"/>
    <m/>
    <n v="20321445"/>
    <n v="202780120"/>
    <d v="2023-10-10T00:00:00"/>
    <n v="4"/>
    <x v="0"/>
    <s v="01-Sun"/>
    <n v="13"/>
    <m/>
    <x v="0"/>
    <n v="0"/>
    <n v="1"/>
    <m/>
    <s v="Standing Tree/Shrubbery"/>
    <s v="Not at Intersection or Interch"/>
    <s v="Daylight"/>
    <s v="Clear"/>
    <m/>
    <s v="Dry"/>
    <s v="NOT APPLICABLE"/>
    <s v="MNTH 72"/>
    <m/>
    <s v="0300000000000072-I"/>
    <s v="Single Vehicle Run Off Road"/>
    <s v="Motor Vehicle in Transport"/>
    <s v="Pickup"/>
    <s v="Southbound"/>
    <s v="Moving Forward"/>
    <n v="48"/>
    <s v="Female"/>
    <s v="Asleep or Fatigued"/>
    <s v="Other Contributing Action"/>
    <m/>
    <m/>
    <m/>
    <s v="Two-Way, Not Divided"/>
    <s v="No Controls"/>
    <n v="60"/>
    <s v="Straight"/>
    <s v="Level"/>
    <m/>
    <m/>
    <m/>
    <m/>
    <m/>
    <m/>
    <m/>
    <m/>
    <m/>
    <m/>
    <m/>
    <m/>
    <m/>
    <m/>
    <m/>
    <m/>
    <m/>
    <m/>
    <m/>
    <m/>
    <m/>
    <m/>
    <m/>
    <m/>
    <m/>
    <m/>
    <m/>
    <m/>
    <m/>
    <m/>
    <m/>
    <m/>
    <m/>
    <m/>
    <m/>
    <m/>
    <m/>
    <m/>
    <m/>
    <m/>
    <m/>
    <m/>
    <m/>
    <m/>
    <m/>
    <m/>
    <m/>
    <m/>
    <n v="384616.5649"/>
    <n v="5342702.3817999996"/>
    <n v="48.22705079"/>
    <n v="-94.553646979999996"/>
    <d v="2020-10-04T13:48:00"/>
    <s v="Accepted"/>
    <s v="Reportable"/>
    <s v="MN State Patrol District 3200 - Thief River Falls"/>
    <s v="State Patrol"/>
    <s v="V1 SB on MNTH 72, just north of MP 41.  V1 went off road to the left and came to rest in the ditch water and brush.  D1 said she thinks she fell asleep."/>
  </r>
  <r>
    <n v="324134"/>
    <s v="03-MNTH"/>
    <n v="72"/>
    <n v="41.969000000000001"/>
    <s v="Beltrami"/>
    <m/>
    <m/>
    <s v="D2-BEMIDJI"/>
    <s v="Thief River Falls"/>
    <m/>
    <n v="16320163"/>
    <n v="160280037"/>
    <d v="2023-01-01T00:00:00"/>
    <n v="28"/>
    <x v="7"/>
    <s v="05-Thu"/>
    <n v="9"/>
    <s v="South"/>
    <x v="0"/>
    <n v="0"/>
    <n v="2"/>
    <s v="Sideswipe - Same Direction"/>
    <s v="Motor Vehicle In Transport"/>
    <s v="Not at Intersection or Interch"/>
    <s v="Daylight"/>
    <s v="Cloudy"/>
    <m/>
    <s v="Ice/Frost"/>
    <s v="NOT APPLICABLE"/>
    <s v="MNTH 72"/>
    <m/>
    <s v="0300000000000072-I"/>
    <s v="Sideswipe Same Direction"/>
    <s v="Motor Vehicle in Transport"/>
    <s v="Pickup"/>
    <s v="Southbound"/>
    <s v="Moving Forward"/>
    <n v="55"/>
    <s v="Male"/>
    <s v="Apparently Normal"/>
    <s v="No Clear Contributing Action"/>
    <m/>
    <m/>
    <m/>
    <s v="Two-Way, Not Divided"/>
    <s v="No Controls"/>
    <n v="55"/>
    <s v="Straight"/>
    <s v="Level"/>
    <s v="Hit-And-Run Vehicle"/>
    <m/>
    <s v="Southbound"/>
    <s v="Overtaking/Passing"/>
    <m/>
    <m/>
    <m/>
    <m/>
    <m/>
    <m/>
    <m/>
    <s v="Two-Way, Not Divided"/>
    <s v="No Controls"/>
    <n v="55"/>
    <s v="Straight"/>
    <s v="Level"/>
    <m/>
    <m/>
    <m/>
    <m/>
    <m/>
    <m/>
    <m/>
    <m/>
    <m/>
    <m/>
    <m/>
    <m/>
    <m/>
    <m/>
    <m/>
    <m/>
    <m/>
    <m/>
    <m/>
    <m/>
    <m/>
    <m/>
    <m/>
    <m/>
    <m/>
    <m/>
    <m/>
    <m/>
    <m/>
    <m/>
    <m/>
    <m/>
    <n v="384654.97989999998"/>
    <n v="5344183.9484000001"/>
    <n v="48.240382259999997"/>
    <n v="-94.55353332"/>
    <d v="2016-01-28T09:18:00"/>
    <s v="Accepted"/>
    <s v="Reportable"/>
    <s v="MN State Patrol District 3200 - Thief River Falls"/>
    <s v="State Patrol"/>
    <s v="V1 was traveling south on MNTH 72. V2 (hit and run vehicle) was traveling south on MNTH 72 passing vehicle V1. V2 was pulling a fish house. V2 fish tailed on the icy roadway causing the fish house to side swipe V1 in the front driver's side door and fender. Driver of V1 stated he was traveling at approximately 50 mph when the crash occurred because the roads were icy. V2 proceeded south bound and did not stop. Driver of V1 was unable to get a license plate number. V1 had one front seat passenger. V1 was driven from the scene. Photographs were taken. No one was injured. Belts were worn and no airbags were deployed."/>
  </r>
  <r>
    <n v="338049"/>
    <s v="03-MNTH"/>
    <n v="72"/>
    <n v="41.973999999999997"/>
    <s v="Beltrami"/>
    <m/>
    <m/>
    <s v="D2-BEMIDJI"/>
    <s v="Thief River Falls"/>
    <m/>
    <n v="16320444"/>
    <n v="160800146"/>
    <d v="2023-03-03T00:00:00"/>
    <n v="20"/>
    <x v="7"/>
    <s v="01-Sun"/>
    <n v="17"/>
    <s v="Not Applicable"/>
    <x v="0"/>
    <n v="0"/>
    <n v="1"/>
    <m/>
    <s v="Ditch"/>
    <s v="Not at Intersection or Interch"/>
    <s v="Daylight"/>
    <s v="Clear"/>
    <m/>
    <s v="Dry"/>
    <s v="NOT APPLICABLE"/>
    <s v="MNTH 72"/>
    <m/>
    <s v="0300000000000072-I"/>
    <s v="Single Vehicle Run Off Road"/>
    <s v="Motor Vehicle in Transport"/>
    <s v="Pickup"/>
    <s v="Southbound"/>
    <s v="Moving Forward"/>
    <n v="33"/>
    <s v="Male"/>
    <s v="Apparently Normal"/>
    <s v="Driver Distracted"/>
    <m/>
    <m/>
    <m/>
    <s v="Two-Way, Not Divided"/>
    <s v="No Controls"/>
    <n v="55"/>
    <s v="Straight"/>
    <s v="Level"/>
    <m/>
    <m/>
    <m/>
    <m/>
    <m/>
    <m/>
    <m/>
    <m/>
    <m/>
    <m/>
    <m/>
    <m/>
    <m/>
    <m/>
    <m/>
    <m/>
    <m/>
    <m/>
    <m/>
    <m/>
    <m/>
    <m/>
    <m/>
    <m/>
    <m/>
    <m/>
    <m/>
    <m/>
    <m/>
    <m/>
    <m/>
    <m/>
    <m/>
    <m/>
    <m/>
    <m/>
    <m/>
    <m/>
    <m/>
    <m/>
    <m/>
    <m/>
    <m/>
    <m/>
    <m/>
    <m/>
    <m/>
    <m/>
    <n v="384655.17680000002"/>
    <n v="5344192.6500000004"/>
    <n v="48.240460560000002"/>
    <n v="-94.553533040000005"/>
    <d v="2016-03-20T17:03:00"/>
    <s v="Accepted"/>
    <s v="Reportable"/>
    <s v="MN State Patrol District 3200 - Thief River Falls"/>
    <s v="State Patrol"/>
    <s v="VEH1 650TVN SILVER GMC PU TRAVELING SB HWY72 NEAR MP 42 AT APPROX 55-60 MPH. VEH PULLING BOAT AND TRLR. VEH CROSSED NB LANE ENTERED EAST DITCH, GETTING STUCK IN DITCH. DITCH VERY STEEP AND WATER FILLED. BOAT DISCONNECTED WITH TRAILER AND IS FLOATING IN DITCH WATER. TRAILER DAMAGED AND UNUSABLE.  DRIVER VEH1 JASON ZIMMER DOB 3/27/1982 UNINJURED, WEARING SEATBELT, NO AIRBAG DEPLOYED, STATED WAS CHECKING TEXT MESSAGES ON HIS CELL PHONE WHICH CAUSED HIM TO ENTER DITCH. JASON CITED FOR TEXTING/ USE OF AN ELECTRONIC DEVICE. PASSENGER MIKAL MARION DOB 1/20/1992, UNINJURED, WEARING SEAT BELT, NO AIR BAGS DEPLOYED.  PICK UP, BOAT TRAILER, AND BOAT PULLED, PU DRIVEABLE.... BOGARTS TOWING, 3 TRUCKS USED"/>
  </r>
  <r>
    <n v="887508"/>
    <s v="03-MNTH"/>
    <n v="72"/>
    <n v="43.384999999999998"/>
    <s v="Beltrami"/>
    <m/>
    <m/>
    <s v="D2-BEMIDJI"/>
    <s v="Thief River Falls"/>
    <m/>
    <n v="21320190"/>
    <n v="210310079"/>
    <d v="2023-01-01T00:00:00"/>
    <n v="31"/>
    <x v="8"/>
    <s v="01-Sun"/>
    <n v="13"/>
    <s v="Not Applicable"/>
    <x v="0"/>
    <n v="0"/>
    <n v="1"/>
    <m/>
    <s v="Overturn/Rollover"/>
    <s v="Not at Intersection or Interch"/>
    <s v="Daylight"/>
    <s v="Cloudy"/>
    <s v="Sleet, Hail (Freezing Rain/Drizzle)"/>
    <s v="Ice/Frost"/>
    <s v="NOT APPLICABLE"/>
    <s v="MNTH 72"/>
    <m/>
    <s v="0300000000000072-I"/>
    <s v="Single Vehicle Run Off Road"/>
    <s v="Motor Vehicle in Transport"/>
    <s v="Pickup"/>
    <s v="Southbound"/>
    <s v="Moving Forward"/>
    <n v="37"/>
    <s v="Male"/>
    <s v="Apparently Normal"/>
    <s v="No Clear Contributing Action"/>
    <m/>
    <m/>
    <m/>
    <s v="Two-Way, Not Divided"/>
    <s v="No Controls"/>
    <n v="60"/>
    <s v="Straight"/>
    <s v="Level"/>
    <m/>
    <m/>
    <m/>
    <m/>
    <m/>
    <m/>
    <m/>
    <m/>
    <m/>
    <m/>
    <m/>
    <m/>
    <m/>
    <m/>
    <m/>
    <m/>
    <m/>
    <m/>
    <m/>
    <m/>
    <m/>
    <m/>
    <m/>
    <m/>
    <m/>
    <m/>
    <m/>
    <m/>
    <m/>
    <m/>
    <m/>
    <m/>
    <m/>
    <m/>
    <m/>
    <m/>
    <m/>
    <m/>
    <m/>
    <m/>
    <m/>
    <m/>
    <m/>
    <m/>
    <m/>
    <m/>
    <m/>
    <m/>
    <n v="384706.51929999999"/>
    <n v="5346462.0442000004"/>
    <n v="48.260879660000001"/>
    <n v="-94.553459989999993"/>
    <d v="2021-01-31T13:00:00"/>
    <s v="Accepted"/>
    <s v="Reportable"/>
    <s v="MN State Patrol District 3200 - Thief River Falls"/>
    <s v="State Patrol"/>
    <s v="V1 (Ford F-150) was traveling south on MNTH 72, lost control on the icy roadway, went off the right side of the roadway into the west ditch and rolled onto its driver's side. The driver and front seat passenger of the vehicle were wearing their seat belts and were not injured. V1 received severe damage to multiple areas. No airbags were deployed. V1 was towed from the scene by Lake of the Woods Towing. Photographs were taken. There were no witnesses to the crash."/>
  </r>
  <r>
    <n v="1038896"/>
    <s v="03-MNTH"/>
    <n v="72"/>
    <n v="43.442"/>
    <s v="Beltrami"/>
    <m/>
    <m/>
    <s v="D2-BEMIDJI"/>
    <s v="Thief River Falls"/>
    <m/>
    <n v="22321266"/>
    <n v="222180158"/>
    <d v="2023-08-08T00:00:00"/>
    <n v="6"/>
    <x v="2"/>
    <s v="07-Sat"/>
    <n v="18"/>
    <m/>
    <x v="2"/>
    <n v="0"/>
    <n v="1"/>
    <m/>
    <s v="Overturn/Rollover"/>
    <s v="Not at Intersection or Interch"/>
    <s v="Daylight"/>
    <s v="Cloudy"/>
    <m/>
    <s v="Dry"/>
    <s v="NOT APPLICABLE"/>
    <s v="MNTH 72"/>
    <m/>
    <s v="0300000000000072-I"/>
    <s v="Single Vehicle Run Off Road"/>
    <s v="Motor Vehicle in Transport"/>
    <s v="Passenger Car"/>
    <s v="Northbound"/>
    <s v="Moving Forward"/>
    <n v="47"/>
    <s v="Male"/>
    <s v="Has Been Drinking Alcohol"/>
    <s v="Driver Distracted"/>
    <s v="Other Contributing Action"/>
    <m/>
    <m/>
    <s v="Two-Way, Not Divided"/>
    <s v="No Controls"/>
    <n v="60"/>
    <s v="Straight"/>
    <s v="Level"/>
    <m/>
    <m/>
    <m/>
    <m/>
    <m/>
    <m/>
    <m/>
    <m/>
    <m/>
    <m/>
    <m/>
    <m/>
    <m/>
    <m/>
    <m/>
    <m/>
    <m/>
    <m/>
    <m/>
    <m/>
    <m/>
    <m/>
    <m/>
    <m/>
    <m/>
    <m/>
    <m/>
    <m/>
    <m/>
    <m/>
    <m/>
    <m/>
    <m/>
    <m/>
    <m/>
    <m/>
    <m/>
    <m/>
    <m/>
    <m/>
    <m/>
    <m/>
    <m/>
    <m/>
    <m/>
    <m/>
    <m/>
    <m/>
    <n v="384708.61660000001"/>
    <n v="5346554.7471000003"/>
    <n v="48.261713759999999"/>
    <n v="-94.553457010000002"/>
    <d v="2022-08-06T18:31:00"/>
    <s v="Accepted"/>
    <s v="Reportable"/>
    <s v="MN State Patrol District 3200 - Thief River Falls"/>
    <s v="State Patrol"/>
    <s v="This was a one vehicle crash.  Vehicle 1 (V1) was traveling northbound on MNTH 72.  V1 lost control and entered the dirt shoulder on the northbound lane.  The vehicle then steered over the center line and into the southbound lane.  V1 then rolled multiple times and came to a final rest on tires with the front facing EB.  The vehicle had severe damage with one occupant being tended to by EMS.  Alcohol is a factor with a PBT of .113.  A blood draw search warrant was drafted and obtained."/>
  </r>
  <r>
    <n v="340398"/>
    <s v="03-MNTH"/>
    <n v="72"/>
    <n v="43.936999999999998"/>
    <s v="Beltrami"/>
    <m/>
    <m/>
    <s v="D2-BEMIDJI"/>
    <s v="Thief River Falls"/>
    <m/>
    <n v="16320522"/>
    <n v="160960185"/>
    <d v="2023-04-04T00:00:00"/>
    <n v="5"/>
    <x v="7"/>
    <s v="03-Tues"/>
    <n v="14"/>
    <m/>
    <x v="0"/>
    <n v="0"/>
    <n v="1"/>
    <m/>
    <s v="Immersion (Full or Partial)"/>
    <s v="Not at Intersection or Interch"/>
    <s v="Daylight"/>
    <s v="Snow"/>
    <s v="Cloudy"/>
    <s v="Slush"/>
    <s v="NOT APPLICABLE"/>
    <s v="MNTH 72"/>
    <m/>
    <s v="0300000000000072-I"/>
    <s v="Single Vehicle Run Off Road"/>
    <s v="Motor Vehicle in Transport"/>
    <s v="Sport Utility Vehicle"/>
    <s v="Northbound"/>
    <s v="Moving Forward"/>
    <n v="52"/>
    <s v="Female"/>
    <s v="Apparently Normal"/>
    <s v="Operated Motor Vehicle: Careless/Negligent/Erratic"/>
    <m/>
    <m/>
    <m/>
    <s v="Two-Way, Not Divided"/>
    <s v="No Controls"/>
    <n v="55"/>
    <s v="Straight"/>
    <s v="Level"/>
    <m/>
    <m/>
    <m/>
    <m/>
    <m/>
    <m/>
    <m/>
    <m/>
    <m/>
    <m/>
    <m/>
    <m/>
    <m/>
    <m/>
    <m/>
    <m/>
    <m/>
    <m/>
    <m/>
    <m/>
    <m/>
    <m/>
    <m/>
    <m/>
    <m/>
    <m/>
    <m/>
    <m/>
    <m/>
    <m/>
    <m/>
    <m/>
    <m/>
    <m/>
    <m/>
    <m/>
    <m/>
    <m/>
    <m/>
    <m/>
    <m/>
    <m/>
    <m/>
    <m/>
    <m/>
    <m/>
    <m/>
    <m/>
    <n v="384726.62599999999"/>
    <n v="5347350.7825999996"/>
    <n v="48.268876149999997"/>
    <n v="-94.553431419999995"/>
    <d v="2016-04-05T14:41:00"/>
    <s v="Accepted"/>
    <s v="Reportable"/>
    <s v="MN State Patrol District 3200 - Thief River Falls"/>
    <s v="State Patrol"/>
    <s v="VEHICLE, RED SUBARU PASSENGER CAR TRAVELING NB HWY 72 NEAR MP 44 AT APPROX 60 MPH, VEH/DRIVER LOST CONTROL CROSSING SB LANE INTO WEST DITCH. VEHICLE SLID INTO DITCH HALFWAY SUBMERGED IN 4 FT OF WATER FACING NORTH, NO ROLLOVER.  ROAD CONDITION WET SNOW/SLUSH COVERED BLACKTOP, OVERCAST DAYLIGHT, MODERATE SNOW FALL.  POOR TIRE TREAD 3-4 32NDS ON ALL 4 TIRES.  LIGHT BODY DAMAGE TO DRIVER'S SIDE OF VEHICLE, VEHICLE WAS OVER HEAD LIGHTS IN WATER, CAB OF VEHICLE FULL OF WATER, POSSIBLE TOTAL DUE TO HEAVY WATER DAMAGE."/>
  </r>
  <r>
    <n v="416375"/>
    <s v="03-MNTH"/>
    <n v="72"/>
    <n v="45.283999999999999"/>
    <s v="Beltrami"/>
    <m/>
    <m/>
    <s v="D2-BEMIDJI"/>
    <s v="Thief River Falls"/>
    <m/>
    <n v="17320080"/>
    <n v="170120439"/>
    <d v="2023-01-01T00:00:00"/>
    <n v="12"/>
    <x v="4"/>
    <s v="05-Thu"/>
    <n v="12"/>
    <s v="Not Applicable"/>
    <x v="0"/>
    <n v="0"/>
    <n v="1"/>
    <m/>
    <s v="Standing Tree/Shrubbery"/>
    <s v="Not at Intersection or Interch"/>
    <s v="Daylight"/>
    <s v="Clear"/>
    <m/>
    <s v="Ice/Frost"/>
    <s v="NOT APPLICABLE"/>
    <s v="MNTH 72"/>
    <m/>
    <s v="0300000000000072-I"/>
    <s v="Single Vehicle Run Off Road"/>
    <s v="Motor Vehicle in Transport"/>
    <s v="Pickup"/>
    <s v="Southbound"/>
    <s v="Moving Forward"/>
    <n v="76"/>
    <s v="Male"/>
    <s v="Apparently Normal"/>
    <s v="No Clear Contributing Action"/>
    <m/>
    <m/>
    <m/>
    <s v="Two-Way, Not Divided"/>
    <s v="No Controls"/>
    <n v="55"/>
    <s v="Straight"/>
    <s v="Level"/>
    <m/>
    <m/>
    <m/>
    <m/>
    <m/>
    <m/>
    <m/>
    <m/>
    <m/>
    <m/>
    <m/>
    <m/>
    <m/>
    <m/>
    <m/>
    <m/>
    <m/>
    <m/>
    <m/>
    <m/>
    <m/>
    <m/>
    <m/>
    <m/>
    <m/>
    <m/>
    <m/>
    <m/>
    <m/>
    <m/>
    <m/>
    <m/>
    <m/>
    <m/>
    <m/>
    <m/>
    <m/>
    <m/>
    <m/>
    <m/>
    <m/>
    <m/>
    <m/>
    <m/>
    <m/>
    <m/>
    <m/>
    <m/>
    <n v="384763.5503"/>
    <n v="5349518.0943999998"/>
    <n v="48.28837446"/>
    <n v="-94.553525010000001"/>
    <d v="2017-01-12T12:42:00"/>
    <s v="Accepted"/>
    <s v="Reportable"/>
    <s v="MN State Patrol District 3200 - Thief River Falls"/>
    <s v="State Patrol"/>
    <s v="Crash occurred on SB MNTH 72 in the area of mile post 45.  Ford pickup, pulling a trailer, SB on MNTH 72.  Vehicle went off road to the right and sideswiped some trees.  I was not at the crash scene.  Information gathered from Deputy Tim Bender and phone conversation with Mr. Walker.  Deputy Bender provided the photos."/>
  </r>
  <r>
    <n v="10935179"/>
    <s v="03-MNTH"/>
    <n v="72"/>
    <n v="49.796999999999997"/>
    <s v="Beltrami"/>
    <m/>
    <m/>
    <s v="D2-BEMIDJI"/>
    <s v="Thief River Falls"/>
    <m/>
    <n v="14320579"/>
    <n v="141340156"/>
    <d v="2023-04-04T00:00:00"/>
    <n v="18"/>
    <x v="6"/>
    <s v="06-Fri"/>
    <n v="23"/>
    <m/>
    <x v="0"/>
    <n v="0"/>
    <n v="1"/>
    <s v="HEAD-ON"/>
    <s v="COL ANML NOT DER"/>
    <s v="Not at Intersection or Interch"/>
    <s v="Dark (No Str Lights)"/>
    <s v="Cloudy"/>
    <m/>
    <s v="Dry"/>
    <s v="NOT APPLICABLE"/>
    <s v="72 HWY NE"/>
    <n v="49"/>
    <s v="0300000000000072-I"/>
    <s v="Single Vehicle Other"/>
    <s v="Motor Vehicle in Transport"/>
    <s v="Passenger Car"/>
    <s v="Northbound"/>
    <s v="Moving Forward"/>
    <n v="26"/>
    <s v="Male"/>
    <s v="Apparently Normal"/>
    <s v="No Clear Contributing Action"/>
    <m/>
    <m/>
    <m/>
    <s v="2-LANES 1-ECH-WY"/>
    <s v="Not Applicable"/>
    <n v="55"/>
    <s v="Straight"/>
    <s v="Level"/>
    <m/>
    <m/>
    <m/>
    <m/>
    <m/>
    <m/>
    <m/>
    <m/>
    <m/>
    <m/>
    <m/>
    <m/>
    <m/>
    <m/>
    <m/>
    <m/>
    <m/>
    <m/>
    <m/>
    <m/>
    <m/>
    <m/>
    <m/>
    <m/>
    <m/>
    <m/>
    <m/>
    <m/>
    <m/>
    <m/>
    <m/>
    <m/>
    <m/>
    <m/>
    <m/>
    <m/>
    <m/>
    <m/>
    <m/>
    <m/>
    <m/>
    <m/>
    <m/>
    <m/>
    <m/>
    <m/>
    <m/>
    <m/>
    <n v="384869.23269999999"/>
    <n v="5356780.1157"/>
    <n v="48.353703770000003"/>
    <n v="-94.554083869999999"/>
    <d v="2014-04-18T23:55:00"/>
    <s v="Accepted"/>
    <s v="Reportable"/>
    <s v="Unknown"/>
    <s v="Unknown"/>
    <s v="Unit 1 traveling north on MNTh 72.  Unit 1 colliede with bear that attempted to cross roadway."/>
  </r>
  <r>
    <n v="888905"/>
    <s v="03-MNTH"/>
    <n v="72"/>
    <n v="50.142000000000003"/>
    <s v="Beltrami"/>
    <m/>
    <m/>
    <s v="D2-BEMIDJI"/>
    <s v="Thief River Falls"/>
    <m/>
    <n v="21320223"/>
    <n v="210370136"/>
    <d v="2023-02-02T00:00:00"/>
    <n v="6"/>
    <x v="8"/>
    <s v="07-Sat"/>
    <n v="4"/>
    <s v="Not Applicable"/>
    <x v="3"/>
    <n v="0"/>
    <n v="1"/>
    <m/>
    <s v="Overturn/Rollover"/>
    <s v="Not at Intersection or Interch"/>
    <s v="Dark (No Str Lights)"/>
    <s v="Clear"/>
    <m/>
    <s v="Dry"/>
    <s v="NOT APPLICABLE"/>
    <s v="MNTH 72"/>
    <m/>
    <s v="0300000000000072-I"/>
    <s v="Single Vehicle Run Off Road"/>
    <s v="Motor Vehicle in Transport"/>
    <s v="Sport Utility Vehicle"/>
    <s v="Northbound"/>
    <s v="Negotiating a Curve"/>
    <n v="25"/>
    <s v="Male"/>
    <s v="Has Been Drinking Alcohol"/>
    <s v="Operated Motor Vehicle: Careless/Negligent/Erratic"/>
    <m/>
    <m/>
    <m/>
    <s v="Two-Way, Not Divided"/>
    <s v="No Controls"/>
    <n v="60"/>
    <s v="Curve Left"/>
    <s v="Level"/>
    <m/>
    <m/>
    <m/>
    <m/>
    <m/>
    <m/>
    <m/>
    <m/>
    <m/>
    <m/>
    <m/>
    <m/>
    <m/>
    <m/>
    <m/>
    <m/>
    <m/>
    <m/>
    <m/>
    <m/>
    <m/>
    <m/>
    <m/>
    <m/>
    <m/>
    <m/>
    <m/>
    <m/>
    <m/>
    <m/>
    <m/>
    <m/>
    <m/>
    <m/>
    <m/>
    <m/>
    <m/>
    <m/>
    <m/>
    <m/>
    <m/>
    <m/>
    <m/>
    <m/>
    <m/>
    <m/>
    <m/>
    <m/>
    <n v="384885.29950000002"/>
    <n v="5357333.4151999997"/>
    <n v="48.358682690000002"/>
    <n v="-94.554018429999999"/>
    <d v="2021-02-06T04:00:00"/>
    <s v="Accepted"/>
    <s v="Reportable"/>
    <s v="MN State Patrol District 3200 - Thief River Falls"/>
    <s v="State Patrol"/>
    <s v="V1 NB on MNTH 71.  V1 failed to negotiate a curve, went straight and rolled.  D1 ejected.  Right front seat passenger injured.  D1 charged with CVO."/>
  </r>
  <r>
    <n v="898652"/>
    <s v="03-MNTH"/>
    <n v="72"/>
    <n v="53.951000000000001"/>
    <s v="Lake of the Woods"/>
    <m/>
    <m/>
    <s v="D2-BEMIDJI"/>
    <s v="Thief River Falls"/>
    <m/>
    <n v="21320460"/>
    <n v="210840163"/>
    <d v="2023-03-03T00:00:00"/>
    <n v="25"/>
    <x v="8"/>
    <s v="05-Thu"/>
    <n v="10"/>
    <s v="South"/>
    <x v="1"/>
    <n v="0"/>
    <n v="2"/>
    <m/>
    <s v="Parked Motor Vehicle"/>
    <s v="Not at Intersection or Interch"/>
    <s v="Daylight"/>
    <s v="Clear"/>
    <m/>
    <s v="Dry"/>
    <s v="Lane Closure"/>
    <s v="MNTH 72"/>
    <m/>
    <s v="0300000000000072-I"/>
    <s v="Other"/>
    <s v="Motor Vehicle in Transport"/>
    <s v="Pickup"/>
    <s v="Southbound"/>
    <s v="Moving Forward"/>
    <n v="84"/>
    <s v="Male"/>
    <s v="Apparently Normal"/>
    <s v="Disregard Other Road Markings"/>
    <m/>
    <m/>
    <m/>
    <s v="Two-Way, Not Divided"/>
    <s v="Person (Flagger, Police, etc.)"/>
    <n v="60"/>
    <s v="Straight"/>
    <s v="Level"/>
    <s v="Working Vehicle / Equipment"/>
    <s v="Medium / Heavy Trucks (More than 10,000lbs)"/>
    <s v="Southbound"/>
    <s v="Parked or Entering or Leaving"/>
    <n v="36"/>
    <s v="Male"/>
    <s v="Apparently Normal"/>
    <s v="No Clear Contributing Action"/>
    <m/>
    <m/>
    <m/>
    <s v="Two-Way, Not Divided"/>
    <s v="Person (Flagger, Police, etc.)"/>
    <n v="60"/>
    <s v="Straight"/>
    <s v="Level"/>
    <m/>
    <m/>
    <m/>
    <m/>
    <m/>
    <m/>
    <m/>
    <m/>
    <m/>
    <m/>
    <m/>
    <m/>
    <m/>
    <m/>
    <m/>
    <m/>
    <m/>
    <m/>
    <m/>
    <m/>
    <m/>
    <m/>
    <m/>
    <m/>
    <m/>
    <m/>
    <m/>
    <m/>
    <m/>
    <m/>
    <m/>
    <m/>
    <n v="384605.52679999999"/>
    <n v="5363378.0817999998"/>
    <n v="48.412992809999999"/>
    <n v="-94.559454070000001"/>
    <d v="2021-03-25T10:20:00"/>
    <s v="Accepted"/>
    <s v="Reportable"/>
    <s v="MN State Patrol District 3200 - Thief River Falls"/>
    <s v="State Patrol"/>
    <s v="V#1 was south bound on MNTH 72 in a construction zone with workers present. V1 never slowed speed after passing three orange construction zone flags. V1 impacted a crash attenuator attached to V2 at highway speeds. V1 came to a rest in the west ditch facing south with moderate damage. V2 was pushed about 40' in its lane. V2 was parked in the south bound lane with emergency lights activated. No one was inside V2 at time of crash. Driver of V2 was outside flagging and ran to the opposite ditch just prior to crash. No damage to V2."/>
  </r>
  <r>
    <n v="1018620"/>
    <s v="03-MNTH"/>
    <n v="72"/>
    <n v="54.134999999999998"/>
    <s v="Lake of the Woods"/>
    <m/>
    <m/>
    <s v="D2-BEMIDJI"/>
    <s v="Thief River Falls"/>
    <m/>
    <n v="22320692"/>
    <n v="221100133"/>
    <d v="2023-04-04T00:00:00"/>
    <n v="20"/>
    <x v="2"/>
    <s v="04-Wed"/>
    <n v="14"/>
    <m/>
    <x v="0"/>
    <n v="0"/>
    <n v="1"/>
    <m/>
    <s v="Jackknife"/>
    <s v="Not at Intersection or Interch"/>
    <s v="Daylight"/>
    <s v="Cloudy"/>
    <m/>
    <s v="Slush"/>
    <s v="NOT APPLICABLE"/>
    <s v="MNTH 72"/>
    <m/>
    <s v="0300000000000072-I"/>
    <s v="Single Vehicle Other"/>
    <s v="Motor Vehicle in Transport"/>
    <s v="Medium / Heavy Trucks (More than 10,000lbs)"/>
    <s v="Southbound"/>
    <s v="Moving Forward"/>
    <n v="31"/>
    <s v="Male"/>
    <s v="Apparently Normal"/>
    <s v="Other Contributing Action"/>
    <m/>
    <m/>
    <m/>
    <s v="Two-Way, Not Divided"/>
    <s v="No Controls"/>
    <n v="60"/>
    <s v="Straight"/>
    <s v="Level"/>
    <m/>
    <m/>
    <m/>
    <m/>
    <m/>
    <m/>
    <m/>
    <m/>
    <m/>
    <m/>
    <m/>
    <m/>
    <m/>
    <m/>
    <m/>
    <m/>
    <m/>
    <m/>
    <m/>
    <m/>
    <m/>
    <m/>
    <m/>
    <m/>
    <m/>
    <m/>
    <m/>
    <m/>
    <m/>
    <m/>
    <m/>
    <m/>
    <m/>
    <m/>
    <m/>
    <m/>
    <m/>
    <m/>
    <m/>
    <m/>
    <m/>
    <m/>
    <m/>
    <m/>
    <m/>
    <m/>
    <m/>
    <m/>
    <n v="384610.08500000002"/>
    <n v="5363674.3607999999"/>
    <n v="48.415658139999998"/>
    <n v="-94.559473999999994"/>
    <d v="2022-04-20T14:29:00"/>
    <s v="Accepted"/>
    <s v="Reportable"/>
    <s v="MN State Patrol District 3200 - Thief River Falls"/>
    <s v="State Patrol"/>
    <s v="Unit 1 was driving Southbound on MNTH 72 at MP54. The road conditions were slick and slushy after a recent snowfall. Unit 1 was driving too fast for the conditions and the driver lost control, exiting the roadway left into the East ditch. The ditch was filled with snow and water. As Unit 1 entered the ditch, the tractor rotated counter-clockwise and came to final rest facing Northeasterly. The tractor struck sediments of dirt hard packed snow, causing disabling damage to the front end."/>
  </r>
  <r>
    <n v="11079384"/>
    <s v="03-MNTH"/>
    <n v="72"/>
    <n v="54.814999999999998"/>
    <s v="Lake of the Woods"/>
    <m/>
    <m/>
    <s v="D2-BEMIDJI"/>
    <s v="Thief River Falls"/>
    <m/>
    <n v="15321598"/>
    <n v="153150251"/>
    <d v="2023-11-11T00:00:00"/>
    <n v="9"/>
    <x v="1"/>
    <s v="02-Mon"/>
    <n v="22"/>
    <s v="North"/>
    <x v="0"/>
    <n v="0"/>
    <n v="1"/>
    <s v="RAN OFF RD-LEFT"/>
    <s v="Standing Tree/Shrubbery"/>
    <s v="Not at Intersection or Interch"/>
    <s v="Dark (No Str Lights)"/>
    <s v="Clear"/>
    <m/>
    <s v="Dry"/>
    <s v="NOT APPLICABLE"/>
    <s v="72 HWY"/>
    <n v="55"/>
    <s v="0300000000000072-I"/>
    <s v="Single Vehicle Run Off Road"/>
    <s v="Motor Vehicle in Transport"/>
    <s v="Passenger Car"/>
    <s v="Northbound"/>
    <s v="Moving Forward"/>
    <m/>
    <m/>
    <s v="Unknown"/>
    <m/>
    <m/>
    <m/>
    <m/>
    <s v="2-LANES 1-ECH-WY"/>
    <s v="Not Applicable"/>
    <n v="55"/>
    <s v="Straight"/>
    <s v="Level"/>
    <m/>
    <m/>
    <m/>
    <m/>
    <m/>
    <m/>
    <m/>
    <m/>
    <m/>
    <m/>
    <m/>
    <m/>
    <m/>
    <m/>
    <m/>
    <m/>
    <m/>
    <m/>
    <m/>
    <m/>
    <m/>
    <m/>
    <m/>
    <m/>
    <m/>
    <m/>
    <m/>
    <m/>
    <m/>
    <m/>
    <m/>
    <m/>
    <m/>
    <m/>
    <m/>
    <m/>
    <m/>
    <m/>
    <m/>
    <m/>
    <m/>
    <m/>
    <m/>
    <m/>
    <m/>
    <m/>
    <m/>
    <m/>
    <n v="384644.57150000002"/>
    <n v="5364768.1156000001"/>
    <n v="48.425500800000002"/>
    <n v="-94.559308990000005"/>
    <d v="2015-11-09T22:22:00"/>
    <s v="Accepted"/>
    <s v="Reportable"/>
    <s v="Unknown"/>
    <s v="Unknown"/>
    <s v="VEHICLE #1 WAS NORTH BOUND ON MNTH 72._x000a__x000a_VEHICLE #1 DROVE ONTO THE NORTH BOUND SHOULDER, OVER CORRECTED,  AND RAN OFF THE ROAD TO THE LEFT._x000a__x000a_VEHICLE #1 ENTERED THE DITCH BACKWARDS._x000a__x000a_VEHICLE #1 COLLIDED WITH A TREE AT THE BOTTOM OF THE DITCH AREA._x000a__x000a_CRASH WAS NOT REPORTED BY THE UNKNOWN DRIVER._x000a__x000a_REGISTERED OWNER OF VEHICLE #1 DID NOT REPORT THIS CRASH._x000a__x000a_IT IS UNKNOWN WHO THE DRIVER WAS.  IT IS UNKNOWN WHERE THE  REGISTERED OWNER IS LIVING AT THIS TIME."/>
  </r>
  <r>
    <n v="622694"/>
    <s v="03-MNTH"/>
    <n v="72"/>
    <n v="54.908999999999999"/>
    <s v="Lake of the Woods"/>
    <m/>
    <m/>
    <s v="D2-BEMIDJI"/>
    <s v="Thief River Falls"/>
    <m/>
    <n v="18000723"/>
    <n v="182030099"/>
    <d v="2023-07-07T00:00:00"/>
    <n v="17"/>
    <x v="10"/>
    <s v="03-Tues"/>
    <n v="16"/>
    <s v="North"/>
    <x v="0"/>
    <n v="0"/>
    <n v="1"/>
    <m/>
    <s v="Ditch"/>
    <s v="Not at Intersection or Interch"/>
    <s v="Daylight"/>
    <s v="Clear"/>
    <m/>
    <s v="Dry"/>
    <s v="NOT APPLICABLE"/>
    <s v="MNTH 72"/>
    <m/>
    <s v="0300000000000072-I"/>
    <s v="Single Vehicle Run Off Road"/>
    <s v="Motor Vehicle in Transport"/>
    <s v="Passenger Car"/>
    <s v="Northbound"/>
    <s v="Moving Forward"/>
    <n v="75"/>
    <s v="Male"/>
    <s v="Asleep or Fatigued"/>
    <s v="Ran Off Road"/>
    <m/>
    <m/>
    <m/>
    <s v="Two-Way, Not Divided"/>
    <s v="No Controls"/>
    <n v="55"/>
    <s v="Straight"/>
    <s v="Level"/>
    <m/>
    <m/>
    <m/>
    <m/>
    <m/>
    <m/>
    <m/>
    <m/>
    <m/>
    <m/>
    <m/>
    <m/>
    <m/>
    <m/>
    <m/>
    <m/>
    <m/>
    <m/>
    <m/>
    <m/>
    <m/>
    <m/>
    <m/>
    <m/>
    <m/>
    <m/>
    <m/>
    <m/>
    <m/>
    <m/>
    <m/>
    <m/>
    <m/>
    <m/>
    <m/>
    <m/>
    <m/>
    <m/>
    <m/>
    <m/>
    <m/>
    <m/>
    <m/>
    <m/>
    <m/>
    <m/>
    <m/>
    <m/>
    <n v="384647.12819999998"/>
    <n v="5364919.5384"/>
    <n v="48.426863040000001"/>
    <n v="-94.559316109999997"/>
    <d v="2018-07-17T16:15:00"/>
    <s v="Accepted"/>
    <s v="Reportable"/>
    <s v="Lake of the Woods County Sheriff"/>
    <s v="Sheriff"/>
    <s v="John Rice was traveling North On HWY 172 in Lake of the Woods County. Near mile marker 55 John Fell asleep at the wheel. The 2018 Toyota Camry crossed the centerline in to the southbound lane. The vehicle travelled through the lane and entered the southbound ditch coming to a stop in 2-3 feet of water. The vehicle suffered front and rear damage from entering the ditch."/>
  </r>
  <r>
    <n v="747760"/>
    <s v="03-MNTH"/>
    <n v="72"/>
    <n v="55.411000000000001"/>
    <s v="Lake of the Woods"/>
    <m/>
    <m/>
    <s v="D2-BEMIDJI"/>
    <s v="Thief River Falls"/>
    <m/>
    <n v="19321481"/>
    <n v="192590085"/>
    <d v="2023-09-09T00:00:00"/>
    <n v="16"/>
    <x v="5"/>
    <s v="02-Mon"/>
    <n v="6"/>
    <m/>
    <x v="2"/>
    <n v="0"/>
    <n v="2"/>
    <s v="Sideswipe - Opposing"/>
    <s v="Motor Vehicle In Transport"/>
    <s v="Not at Intersection or Interch"/>
    <s v="Sunrise"/>
    <s v="Clear"/>
    <m/>
    <s v="Dry"/>
    <s v="NOT APPLICABLE"/>
    <s v="MNTH 72"/>
    <m/>
    <s v="0300000000000072-I"/>
    <s v="Sideswipe Opposing"/>
    <s v="Motor Vehicle in Transport"/>
    <s v="Passenger Car"/>
    <s v="Northbound"/>
    <s v="Moving Forward"/>
    <n v="39"/>
    <s v="Male"/>
    <s v="Asleep or Fatigued"/>
    <s v="Failed to Keep in Proper Lane"/>
    <m/>
    <m/>
    <m/>
    <s v="Two-Way, Not Divided"/>
    <s v="No Controls"/>
    <n v="60"/>
    <s v="Straight"/>
    <s v="Level"/>
    <s v="Motor Vehicle in Transport"/>
    <s v="Passenger Car"/>
    <s v="Southbound"/>
    <s v="Moving Forward"/>
    <n v="59"/>
    <s v="Male"/>
    <s v="Apparently Normal"/>
    <s v="No Clear Contributing Action"/>
    <m/>
    <m/>
    <m/>
    <s v="Two-Way, Not Divided"/>
    <s v="No Controls"/>
    <n v="60"/>
    <s v="Straight"/>
    <s v="Level"/>
    <m/>
    <m/>
    <m/>
    <m/>
    <m/>
    <m/>
    <m/>
    <m/>
    <m/>
    <m/>
    <m/>
    <m/>
    <m/>
    <m/>
    <m/>
    <m/>
    <m/>
    <m/>
    <m/>
    <m/>
    <m/>
    <m/>
    <m/>
    <m/>
    <m/>
    <m/>
    <m/>
    <m/>
    <m/>
    <m/>
    <m/>
    <m/>
    <n v="384660.77389999997"/>
    <n v="5365727.7172999997"/>
    <n v="48.434133639999999"/>
    <n v="-94.559354130000003"/>
    <d v="2019-09-16T06:49:00"/>
    <s v="Accepted"/>
    <s v="Reportable"/>
    <s v="MN State Patrol District 3200 - Thief River Falls"/>
    <s v="State Patrol"/>
    <s v="Unit 1 traveling northbound on MNTH 72 at mile post 56. Unit 2 traveling south on MNTH 72. Unit 1 crossed over the center line and collided with Unit 2 in the southbound lane. Collision was a sideswipe type maneuver. sever damage to both vehicles. Both vehicles towed by Gary's. Airbags activated in both vehicles. Seat belts worn by all occupants in both vehicles."/>
  </r>
  <r>
    <n v="769916"/>
    <s v="03-MNTH"/>
    <n v="72"/>
    <n v="59.564"/>
    <s v="Lake of the Woods"/>
    <m/>
    <m/>
    <s v="D2-BEMIDJI"/>
    <s v="Thief River Falls"/>
    <m/>
    <n v="19001260"/>
    <n v="193430535"/>
    <d v="2023-12-12T00:00:00"/>
    <n v="9"/>
    <x v="5"/>
    <s v="02-Mon"/>
    <n v="22"/>
    <s v="North"/>
    <x v="0"/>
    <n v="0"/>
    <n v="1"/>
    <m/>
    <s v="Overturn/Rollover"/>
    <s v="Other"/>
    <s v="Dark (No Str Lights)"/>
    <s v="Clear"/>
    <m/>
    <s v="Ice/Frost"/>
    <s v="NOT APPLICABLE"/>
    <s v="MNTH 72"/>
    <m/>
    <s v="0300000000000072-I"/>
    <s v="Single Vehicle Run Off Road"/>
    <s v="Motor Vehicle in Transport"/>
    <s v="Sport Utility Vehicle"/>
    <s v="Northbound"/>
    <s v="Moving Forward"/>
    <n v="22"/>
    <s v="Female"/>
    <s v="Asleep or Fatigued"/>
    <s v="Driver Distracted"/>
    <m/>
    <m/>
    <m/>
    <s v="Two-Way, Not Divided, Continous LTL"/>
    <s v="No Controls"/>
    <n v="60"/>
    <s v="Straight"/>
    <s v="Level"/>
    <m/>
    <m/>
    <m/>
    <m/>
    <m/>
    <m/>
    <m/>
    <m/>
    <m/>
    <m/>
    <m/>
    <m/>
    <m/>
    <m/>
    <m/>
    <m/>
    <m/>
    <m/>
    <m/>
    <m/>
    <m/>
    <m/>
    <m/>
    <m/>
    <m/>
    <m/>
    <m/>
    <m/>
    <m/>
    <m/>
    <m/>
    <m/>
    <m/>
    <m/>
    <m/>
    <m/>
    <m/>
    <m/>
    <m/>
    <m/>
    <m/>
    <m/>
    <m/>
    <m/>
    <m/>
    <m/>
    <m/>
    <m/>
    <n v="384716.5625"/>
    <n v="5372408.0628000004"/>
    <n v="48.494221009999997"/>
    <n v="-94.560441150000003"/>
    <d v="2019-12-09T22:01:00"/>
    <s v="Accepted"/>
    <s v="Reportable"/>
    <s v="Lake of the Woods County Sheriff"/>
    <s v="Sheriff"/>
    <s v="Vehicle WAS TRAVELING NORTH ON highway 72. Driver fell asleep. Vehicle drifted towards the west road ditch. Vehicle drove into road ditch and rolled on its side. Driver had no injuries."/>
  </r>
  <r>
    <n v="351723"/>
    <s v="03-MNTH"/>
    <n v="72"/>
    <n v="62.518000000000001"/>
    <s v="Lake of the Woods"/>
    <m/>
    <m/>
    <s v="D2-BEMIDJI"/>
    <s v="Thief River Falls"/>
    <m/>
    <n v="16320740"/>
    <n v="161410274"/>
    <d v="2023-05-05T00:00:00"/>
    <n v="20"/>
    <x v="7"/>
    <s v="06-Fri"/>
    <n v="21"/>
    <m/>
    <x v="0"/>
    <n v="0"/>
    <n v="1"/>
    <m/>
    <s v="Deer"/>
    <s v="Not at Intersection or Interch"/>
    <s v="Dark (No Str Lights)"/>
    <s v="Clear"/>
    <m/>
    <s v="Dry"/>
    <s v="NOT APPLICABLE"/>
    <s v="MNTH 72"/>
    <m/>
    <s v="0300000000000072-I"/>
    <s v="Single Vehicle Other"/>
    <s v="Motor Vehicle in Transport"/>
    <s v="Passenger Car"/>
    <s v="Southbound"/>
    <s v="Moving Forward"/>
    <n v="23"/>
    <s v="Male"/>
    <s v="Apparently Normal"/>
    <s v="No Clear Contributing Action"/>
    <m/>
    <m/>
    <m/>
    <s v="Two-Way, Not Divided"/>
    <s v="No Controls"/>
    <n v="55"/>
    <s v="Straight"/>
    <s v="Downhill"/>
    <m/>
    <m/>
    <m/>
    <m/>
    <m/>
    <m/>
    <m/>
    <m/>
    <m/>
    <m/>
    <m/>
    <m/>
    <m/>
    <m/>
    <m/>
    <m/>
    <m/>
    <m/>
    <m/>
    <m/>
    <m/>
    <m/>
    <m/>
    <m/>
    <m/>
    <m/>
    <m/>
    <m/>
    <m/>
    <m/>
    <m/>
    <m/>
    <m/>
    <m/>
    <m/>
    <m/>
    <m/>
    <m/>
    <m/>
    <m/>
    <m/>
    <m/>
    <m/>
    <m/>
    <m/>
    <m/>
    <m/>
    <m/>
    <n v="384794.84110000002"/>
    <n v="5377161.8722999999"/>
    <n v="48.536986560000003"/>
    <n v="-94.560694859999998"/>
    <d v="2016-05-20T21:47:00"/>
    <s v="Accepted"/>
    <s v="Reportable"/>
    <s v="MN State Patrol District 3200 - Thief River Falls"/>
    <s v="State Patrol"/>
    <s v="This was a single vehicle crash.  V1 had two occupants in the vehicle.  V1 was SB on MNTH 72.  V1 struck a deer that disabled the vehicle.  V1 was stopped in the lane of traffic when I arrived.  V1 was towed by Bogart's Towing.  No apparent injuries to driver or passenger."/>
  </r>
  <r>
    <n v="10972003"/>
    <s v="03-MNTH"/>
    <n v="72"/>
    <n v="63.912999999999997"/>
    <s v="Lake of the Woods"/>
    <m/>
    <m/>
    <s v="D2-BEMIDJI"/>
    <s v="Thief River Falls"/>
    <m/>
    <n v="14320332"/>
    <n v="140940314"/>
    <d v="2023-03-03T00:00:00"/>
    <n v="24"/>
    <x v="6"/>
    <s v="02-Mon"/>
    <n v="13"/>
    <m/>
    <x v="1"/>
    <n v="0"/>
    <n v="1"/>
    <s v="RAN OFF RD-RIGHT"/>
    <s v="Overturn/Rollover"/>
    <s v="Not at Intersection or Interch"/>
    <s v="Daylight"/>
    <s v="Blowing Sand/Soil/Dirt/Snow"/>
    <m/>
    <s v="Ice/Frost"/>
    <s v="NOT APPLICABLE"/>
    <s v="72 HWY"/>
    <n v="64"/>
    <s v="0300000000000072-I"/>
    <s v="Single Vehicle Run Off Road"/>
    <s v="Motor Vehicle in Transport"/>
    <s v="Pickup"/>
    <s v="Northbound"/>
    <s v="Moving Forward"/>
    <n v="52"/>
    <s v="Male"/>
    <s v="Apparently Normal"/>
    <s v="ILLEGAL/UNSAF SP"/>
    <s v="Inattentive/Distraction (Talking, Eating)"/>
    <m/>
    <m/>
    <s v="2-LANES 1-ECH-WY"/>
    <s v="Not Applicable"/>
    <n v="55"/>
    <s v="Straight"/>
    <s v="Level"/>
    <m/>
    <m/>
    <m/>
    <m/>
    <m/>
    <m/>
    <m/>
    <m/>
    <m/>
    <m/>
    <m/>
    <m/>
    <m/>
    <m/>
    <m/>
    <m/>
    <m/>
    <m/>
    <m/>
    <m/>
    <m/>
    <m/>
    <m/>
    <m/>
    <m/>
    <m/>
    <m/>
    <m/>
    <m/>
    <m/>
    <m/>
    <m/>
    <m/>
    <m/>
    <m/>
    <m/>
    <m/>
    <m/>
    <m/>
    <m/>
    <m/>
    <m/>
    <m/>
    <m/>
    <m/>
    <m/>
    <m/>
    <m/>
    <n v="384841.02389999997"/>
    <n v="5379405.7021000003"/>
    <n v="48.557173779999999"/>
    <n v="-94.560689960000005"/>
    <d v="2014-03-24T13:36:00"/>
    <s v="Accepted"/>
    <s v="Reportable"/>
    <s v="Unknown"/>
    <s v="Unknown"/>
    <s v="UNIT 1 TRAVELING NORTH ON MNTH 72 NEAR MILE POST 64. DRIVER INDICATES THAT HE LOST CONTORL ON THE ICY ROADWAY. UNIT 1 THEN TRAVELED INTO EAST DITCH AND ROLLED OVER. UNIT 1 WAS PULLING A SNOWMOBILE TRAILER THAT CAME UNHOOKED AND RECIEVED NO DAMAGE."/>
  </r>
  <r>
    <n v="707205"/>
    <s v="03-MNTH"/>
    <n v="72"/>
    <n v="65.356999999999999"/>
    <s v="Lake of the Woods"/>
    <m/>
    <m/>
    <s v="D2-BEMIDJI"/>
    <s v="Thief River Falls"/>
    <m/>
    <n v="1900"/>
    <n v="190790216"/>
    <d v="2023-04-04T00:00:00"/>
    <n v="6"/>
    <x v="5"/>
    <s v="07-Sat"/>
    <n v="8"/>
    <s v="North"/>
    <x v="3"/>
    <n v="0"/>
    <n v="1"/>
    <m/>
    <s v="Ditch"/>
    <s v="Not at Intersection or Interch"/>
    <s v="Sunrise"/>
    <s v="Clear"/>
    <m/>
    <s v="Dry"/>
    <s v="NOT APPLICABLE"/>
    <s v="MNTH 72"/>
    <m/>
    <s v="0300000000000072-I"/>
    <s v="Single Vehicle Run Off Road"/>
    <s v="Motor Vehicle in Transport"/>
    <s v="Passenger Car"/>
    <s v="Northbound"/>
    <s v="Moving Forward"/>
    <n v="16"/>
    <s v="Male"/>
    <s v="Apparently Normal"/>
    <s v="Over Correcting / Over Steering"/>
    <s v="Ran Off Road"/>
    <m/>
    <m/>
    <s v="Two-Way, Divided, No Median Barrier"/>
    <s v="No Controls"/>
    <n v="60"/>
    <s v="Straight"/>
    <s v="Level"/>
    <m/>
    <m/>
    <m/>
    <m/>
    <m/>
    <m/>
    <m/>
    <m/>
    <m/>
    <m/>
    <m/>
    <m/>
    <m/>
    <m/>
    <m/>
    <m/>
    <m/>
    <m/>
    <m/>
    <m/>
    <m/>
    <m/>
    <m/>
    <m/>
    <m/>
    <m/>
    <m/>
    <m/>
    <m/>
    <m/>
    <m/>
    <m/>
    <m/>
    <m/>
    <m/>
    <m/>
    <m/>
    <m/>
    <m/>
    <m/>
    <m/>
    <m/>
    <m/>
    <m/>
    <m/>
    <m/>
    <m/>
    <m/>
    <n v="384910.10840000003"/>
    <n v="5381729.0603999998"/>
    <n v="48.578080319999998"/>
    <n v="-94.560396890000007"/>
    <d v="2019-04-06T08:55:00"/>
    <s v="Accepted"/>
    <s v="Reportable"/>
    <s v="Lake of the Woods County Sheriff"/>
    <s v="Sheriff"/>
    <s v="Vehicle o had one sole Occupant the driver Jarod Baker. Jarod informed me that he hit a bump and lost control hitting the ditch of HWY 72. Jarod's vehicle entered the ditch rolling once stopping in a plowed Field. Jarod had a wrist injury where he was treated and released. Jarod only had his license less than two weeks. I believe his lack of experience along with over correcting was a factor in the crash. Jarod was traveling north approximately 10 miles south of Baudette on HWY 72."/>
  </r>
  <r>
    <n v="892543"/>
    <s v="03-MNTH"/>
    <n v="72"/>
    <n v="66.206999999999994"/>
    <s v="Lake of the Woods"/>
    <m/>
    <m/>
    <s v="D2-BEMIDJI"/>
    <s v="Thief River Falls"/>
    <m/>
    <n v="21320291"/>
    <n v="210520265"/>
    <d v="2023-02-02T00:00:00"/>
    <n v="21"/>
    <x v="8"/>
    <s v="01-Sun"/>
    <n v="13"/>
    <s v="North"/>
    <x v="0"/>
    <n v="0"/>
    <n v="1"/>
    <m/>
    <s v="Ditch"/>
    <s v="Not at Intersection or Interch"/>
    <s v="Dark (Str Lights Off)"/>
    <s v="Clear"/>
    <m/>
    <s v="Dry"/>
    <s v="NOT APPLICABLE"/>
    <s v="MNTH 72"/>
    <m/>
    <s v="0300000000000072-I"/>
    <s v="Single Vehicle Run Off Road"/>
    <s v="Motor Vehicle in Transport"/>
    <s v="Sport Utility Vehicle"/>
    <s v="Northbound"/>
    <s v="Moving Forward"/>
    <n v="60"/>
    <s v="Female"/>
    <s v="Apparently Normal"/>
    <s v="Swerved or Avoided Due to Wind"/>
    <m/>
    <m/>
    <m/>
    <s v="Two-Way, Not Divided"/>
    <s v="No Controls"/>
    <n v="60"/>
    <s v="Straight"/>
    <s v="Hillcrest"/>
    <m/>
    <m/>
    <m/>
    <m/>
    <m/>
    <m/>
    <m/>
    <m/>
    <m/>
    <m/>
    <m/>
    <m/>
    <m/>
    <m/>
    <m/>
    <m/>
    <m/>
    <m/>
    <m/>
    <m/>
    <m/>
    <m/>
    <m/>
    <m/>
    <m/>
    <m/>
    <m/>
    <m/>
    <m/>
    <m/>
    <m/>
    <m/>
    <m/>
    <m/>
    <m/>
    <m/>
    <m/>
    <m/>
    <m/>
    <m/>
    <m/>
    <m/>
    <m/>
    <m/>
    <m/>
    <m/>
    <m/>
    <m/>
    <n v="384919.08850000001"/>
    <n v="5383096.9999000002"/>
    <n v="48.590383760000002"/>
    <n v="-94.560653979999998"/>
    <d v="2021-02-21T13:05:00"/>
    <s v="Accepted"/>
    <s v="Reportable"/>
    <s v="MN State Patrol District 3200 - Thief River Falls"/>
    <s v="State Patrol"/>
    <s v="V #1 was NB on MNTH 72 travelling approx 60-65mph when Mary swerved to miss a deer. Vehicle entered east ditch hit a crossing went air born landing approx 25' north of the crossing. After landing vehicle continued northbound in the ditch about 100' before it got stuck in the snow. Air bags deployed, cracks in front and rear bumpers."/>
  </r>
  <r>
    <n v="10966970"/>
    <s v="03-MNTH"/>
    <n v="72"/>
    <n v="74.028000000000006"/>
    <s v="Lake of the Woods"/>
    <s v="Baudette"/>
    <m/>
    <s v="D2-BEMIDJI"/>
    <s v="Thief River Falls"/>
    <m/>
    <m/>
    <n v="140650047"/>
    <d v="2023-01-01T00:00:00"/>
    <n v="31"/>
    <x v="6"/>
    <s v="06-Fri"/>
    <n v="18"/>
    <m/>
    <x v="1"/>
    <n v="0"/>
    <n v="1"/>
    <s v="NOT APPLICABLE"/>
    <s v="Deer"/>
    <m/>
    <s v="Sunset"/>
    <s v="Clear"/>
    <m/>
    <s v="Dry"/>
    <s v="NOT APPLICABLE"/>
    <m/>
    <m/>
    <s v="0300000000000072-I"/>
    <s v="Single Vehicle Other"/>
    <s v="Motor Vehicle in Transport"/>
    <s v="Pickup"/>
    <s v="Northbound"/>
    <s v="Moving Forward"/>
    <n v="46"/>
    <s v="Female"/>
    <m/>
    <m/>
    <m/>
    <m/>
    <m/>
    <m/>
    <s v="Not Applicable"/>
    <n v="50"/>
    <m/>
    <m/>
    <m/>
    <m/>
    <m/>
    <m/>
    <m/>
    <m/>
    <m/>
    <m/>
    <m/>
    <m/>
    <m/>
    <m/>
    <m/>
    <m/>
    <m/>
    <m/>
    <m/>
    <m/>
    <m/>
    <m/>
    <m/>
    <m/>
    <m/>
    <m/>
    <m/>
    <m/>
    <m/>
    <m/>
    <m/>
    <m/>
    <m/>
    <m/>
    <m/>
    <m/>
    <m/>
    <m/>
    <m/>
    <m/>
    <m/>
    <m/>
    <m/>
    <m/>
    <m/>
    <m/>
    <m/>
    <m/>
    <m/>
    <m/>
    <n v="385115.87290000002"/>
    <n v="5395678.9742000001"/>
    <n v="48.703567489999998"/>
    <n v="-94.561476490000004"/>
    <d v="2014-01-31T18:45:00"/>
    <s v="Accepted"/>
    <s v="Reportable"/>
    <s v="Unknown"/>
    <s v="Unknown"/>
    <m/>
  </r>
  <r>
    <n v="10976876"/>
    <s v="04-CSAH"/>
    <n v="15"/>
    <n v="7.0000000000000007E-2"/>
    <s v="Koochiching"/>
    <m/>
    <m/>
    <s v="D2-BEMIDJI"/>
    <s v="Virginia"/>
    <m/>
    <m/>
    <n v="141890089"/>
    <d v="2023-06-06T00:00:00"/>
    <n v="2"/>
    <x v="6"/>
    <s v="02-Mon"/>
    <n v="0"/>
    <m/>
    <x v="0"/>
    <n v="0"/>
    <n v="2"/>
    <s v="Sideswipe - Same Direction"/>
    <s v="Motor Vehicle In Transport"/>
    <m/>
    <s v="Daylight"/>
    <s v="Rain"/>
    <m/>
    <s v="Wet"/>
    <s v="NOT APPLICABLE"/>
    <m/>
    <m/>
    <s v="0400006594810015-I"/>
    <s v="Sideswipe Same Direction"/>
    <s v="Motor Vehicle in Transport"/>
    <s v="Pickup"/>
    <s v="Southbound"/>
    <s v="Moving Forward"/>
    <n v="21"/>
    <s v="Male"/>
    <m/>
    <m/>
    <m/>
    <m/>
    <m/>
    <m/>
    <s v="Not Applicable"/>
    <n v="55"/>
    <m/>
    <m/>
    <s v="Motor Vehicle in Transport"/>
    <s v="VAN OR MINIVAN"/>
    <s v="Southbound"/>
    <s v="Turning Left"/>
    <n v="28"/>
    <s v="Female"/>
    <m/>
    <m/>
    <m/>
    <m/>
    <m/>
    <m/>
    <s v="Not Applicable"/>
    <n v="55"/>
    <m/>
    <m/>
    <m/>
    <m/>
    <m/>
    <m/>
    <m/>
    <m/>
    <m/>
    <m/>
    <m/>
    <m/>
    <m/>
    <m/>
    <m/>
    <m/>
    <m/>
    <m/>
    <m/>
    <m/>
    <m/>
    <m/>
    <m/>
    <m/>
    <m/>
    <m/>
    <m/>
    <m/>
    <m/>
    <m/>
    <m/>
    <m/>
    <m/>
    <m/>
    <n v="397175.6777"/>
    <n v="5302504.1457000002"/>
    <n v="47.867648279999997"/>
    <n v="-94.374933519999999"/>
    <d v="2014-06-02T00:00:00"/>
    <s v="Accepted"/>
    <s v="Reportable"/>
    <s v="Unknown"/>
    <s v="Unknown"/>
    <m/>
  </r>
  <r>
    <n v="412380"/>
    <s v="04-CSAH"/>
    <n v="16"/>
    <n v="3.2000000000000001E-2"/>
    <s v="Koochiching"/>
    <m/>
    <m/>
    <s v="D2-BEMIDJI"/>
    <s v="Virginia"/>
    <m/>
    <n v="17310068"/>
    <n v="170080015"/>
    <d v="2023-01-01T00:00:00"/>
    <n v="8"/>
    <x v="4"/>
    <s v="01-Sun"/>
    <n v="4"/>
    <s v="Not Applicable"/>
    <x v="0"/>
    <n v="0"/>
    <n v="1"/>
    <m/>
    <s v="Overturn/Rollover"/>
    <s v="T Intersection"/>
    <s v="Dark (No Str Lights)"/>
    <s v="Cloudy"/>
    <m/>
    <s v="Snow"/>
    <s v="NOT APPLICABLE"/>
    <s v="COUNTY RD 16"/>
    <m/>
    <s v="0400006594810016-I"/>
    <s v="Single Vehicle Run Off Road"/>
    <s v="Motor Vehicle in Transport"/>
    <s v="Pickup"/>
    <s v="Eastbound"/>
    <s v="Moving Forward"/>
    <n v="24"/>
    <s v="Male"/>
    <s v="Apparently Normal"/>
    <s v="Swerved or Avoided Due to Wind"/>
    <m/>
    <m/>
    <m/>
    <s v="Two-Way, Not Divided"/>
    <s v="Stop Sign"/>
    <m/>
    <s v="Straight"/>
    <s v="Level"/>
    <m/>
    <m/>
    <m/>
    <m/>
    <m/>
    <m/>
    <m/>
    <m/>
    <m/>
    <m/>
    <m/>
    <m/>
    <m/>
    <m/>
    <m/>
    <m/>
    <m/>
    <m/>
    <m/>
    <m/>
    <m/>
    <m/>
    <m/>
    <m/>
    <m/>
    <m/>
    <m/>
    <m/>
    <m/>
    <m/>
    <m/>
    <m/>
    <m/>
    <m/>
    <m/>
    <m/>
    <m/>
    <m/>
    <m/>
    <m/>
    <m/>
    <m/>
    <m/>
    <m/>
    <m/>
    <m/>
    <m/>
    <m/>
    <n v="406388.91830000002"/>
    <n v="5305944.3783"/>
    <n v="47.900002960000002"/>
    <n v="-94.252515590000002"/>
    <d v="2017-01-08T04:30:00"/>
    <s v="Accepted"/>
    <s v="Reportable"/>
    <s v="MN State Patrol District 3100 - Virginia"/>
    <s v="State Patrol"/>
    <s v="I, Trooper Alan Ryan responded to a single vehicle rollover in the area of Hwy 71 and Koochiching County Rd. 16.  I arrived to find the driver had left the scene and called the tow truck.  The vehicle was traveling East on CR 16 when tire marks show it drifting slowly off of the road to the right.  The truck then spun nearly 180 degrees and rolled onto the roof coming to a stop.  The driver's seatbelt was locked in the doorjam indicating it was not worn during the crash.  The driver later arrived and stated he swerved to miss a deer.  Earlier I had walked the roadway looking for deer footprints in the snow on the shoulder/roadside and found none near the area the truck went off the roadway.  I had Olafson also look for them and he was unable to find any, but continued to say that is what happened.  There has been no recent snow to cover any tracks overnight.  _x000a__x000a_Olafson stated he forgot to wear his seatbelt and was going to work.  I took photos of the scene.  Olafson denied any injuries.  Olafson was cited for No seatbelt._x000a__x000a_END OF REPORT"/>
  </r>
  <r>
    <n v="11070828"/>
    <s v="04-CSAH"/>
    <n v="33"/>
    <n v="0"/>
    <s v="Koochiching"/>
    <m/>
    <m/>
    <s v="D1-DULUTH"/>
    <s v="Virginia"/>
    <m/>
    <n v="15807457"/>
    <n v="152830080"/>
    <d v="2023-09-09T00:00:00"/>
    <n v="19"/>
    <x v="1"/>
    <s v="07-Sat"/>
    <n v="22"/>
    <s v="East"/>
    <x v="3"/>
    <n v="0"/>
    <n v="1"/>
    <s v="RAN OFF RD-LEFT"/>
    <s v="EMBANKMT/DTCH/CB"/>
    <s v="Intersection Related"/>
    <s v="Dark (Str Lights On)"/>
    <s v="Clear"/>
    <s v="Other"/>
    <s v="Dry"/>
    <s v="NOT APPLICABLE"/>
    <s v="CR 33"/>
    <s v="hwy 71"/>
    <s v="0400006594810033-I"/>
    <s v="Single Vehicle Run Off Road"/>
    <s v="Motor Vehicle in Transport"/>
    <s v="Passenger Car"/>
    <s v="Eastbound"/>
    <s v="Moving Forward"/>
    <n v="46"/>
    <s v="Female"/>
    <s v="Has Been Drinking Alcohol"/>
    <s v="Failure to Yield Right-of-Way"/>
    <s v="Following Too Closely"/>
    <m/>
    <m/>
    <s v="2-LANES 1-ECH-WY"/>
    <s v="STOP SIGN ALL WAY"/>
    <n v="60"/>
    <s v="Straight"/>
    <s v="Level"/>
    <m/>
    <m/>
    <m/>
    <m/>
    <m/>
    <m/>
    <m/>
    <m/>
    <m/>
    <m/>
    <m/>
    <m/>
    <m/>
    <m/>
    <m/>
    <m/>
    <m/>
    <m/>
    <m/>
    <m/>
    <m/>
    <m/>
    <m/>
    <m/>
    <m/>
    <m/>
    <m/>
    <m/>
    <m/>
    <m/>
    <m/>
    <m/>
    <m/>
    <m/>
    <m/>
    <m/>
    <m/>
    <m/>
    <m/>
    <m/>
    <m/>
    <m/>
    <m/>
    <m/>
    <m/>
    <m/>
    <m/>
    <m/>
    <n v="457688.125"/>
    <n v="5361264.9989999998"/>
    <n v="48.403130410000003"/>
    <n v="-93.571694949999994"/>
    <d v="2015-09-19T22:11:00"/>
    <s v="Accepted"/>
    <s v="Reportable"/>
    <s v="Unknown"/>
    <s v="Unknown"/>
    <m/>
  </r>
  <r>
    <n v="817395"/>
    <s v="04-CSAH"/>
    <n v="33"/>
    <n v="8.9999999999999993E-3"/>
    <s v="Koochiching"/>
    <m/>
    <m/>
    <s v="D1-DULUTH"/>
    <s v="Virginia"/>
    <m/>
    <n v="20310654"/>
    <n v="201830062"/>
    <d v="2023-07-07T00:00:00"/>
    <n v="1"/>
    <x v="0"/>
    <s v="04-Wed"/>
    <n v="1"/>
    <s v="East"/>
    <x v="3"/>
    <n v="0"/>
    <n v="1"/>
    <m/>
    <s v="Ditch"/>
    <s v="Four-Way Intersection"/>
    <s v="Dark (No Str Lights)"/>
    <s v="Unknown"/>
    <m/>
    <s v="Unknown"/>
    <s v="NOT APPLICABLE"/>
    <s v="FAIRWOOD AVE"/>
    <m/>
    <s v="0400006594810033-I"/>
    <s v="Single Vehicle Run Off Road"/>
    <s v="Motor Vehicle in Transport"/>
    <s v="Sport Utility Vehicle"/>
    <s v="Eastbound"/>
    <s v="Moving Forward"/>
    <n v="17"/>
    <s v="Female"/>
    <s v="Asleep or Fatigued"/>
    <s v="Disregard Other Traffic Signs"/>
    <s v="Ran Stop Sign"/>
    <m/>
    <m/>
    <s v="Two-Way, Not Divided"/>
    <s v="Stop Sign"/>
    <n v="55"/>
    <s v="Straight"/>
    <s v="Level"/>
    <m/>
    <m/>
    <m/>
    <m/>
    <m/>
    <m/>
    <m/>
    <m/>
    <m/>
    <m/>
    <m/>
    <m/>
    <m/>
    <m/>
    <m/>
    <m/>
    <m/>
    <m/>
    <m/>
    <m/>
    <m/>
    <m/>
    <m/>
    <m/>
    <m/>
    <m/>
    <m/>
    <m/>
    <m/>
    <m/>
    <m/>
    <m/>
    <m/>
    <m/>
    <m/>
    <m/>
    <m/>
    <m/>
    <m/>
    <m/>
    <m/>
    <m/>
    <m/>
    <m/>
    <m/>
    <m/>
    <m/>
    <m/>
    <n v="457700.61440000002"/>
    <n v="5361257.4614000004"/>
    <n v="48.403063439999997"/>
    <n v="-93.571525460000004"/>
    <d v="2020-07-01T01:00:00"/>
    <s v="Accepted"/>
    <s v="Reportable"/>
    <s v="MN State Patrol District 3100 - Virginia"/>
    <s v="State Patrol"/>
    <s v="Veh#1 was traveling eastbound on Koochiching County Rd 1 when it failed to stop at the intersection with State Highway 71.  Veh#1 traveled through the intersection hitting an elevated area of State Highway, leaving the ground and impacting the edge of the pavement, before entering the ditch on Koochiching County Rd 33.  Veh#1 traveled down State Highway 71 embankment, before colliding with an approach on Koochiching County Rd 33.  _x000a__x000a_Driver #1 said that she was returning home after dropping friends off. Driver #1 stated that she was tired from working and staying up late at night. Driver #1 said that she remembers waking up hitting the brakes before hitting the ditch.  Driver #1 stated that she doesn't exactly know what happened, however when her vehicle stopped, she exited her vehicle and called her mother.  Driver#1 admitted to not wearing her seatbelt.  _x000a__x000a_RO of vehicle is making private towing arraignments. _x000a__x000a_Driver #1 will be issued a citation for Careless Driving and Failure to wear her seatbelt."/>
  </r>
  <r>
    <n v="897518"/>
    <s v="04-CSAH"/>
    <n v="1"/>
    <n v="1.7999999999999999E-2"/>
    <s v="Lake of the Woods"/>
    <m/>
    <m/>
    <s v="D2-BEMIDJI"/>
    <s v="Thief River Falls"/>
    <m/>
    <n v="21000209"/>
    <n v="210790156"/>
    <d v="2023-03-03T00:00:00"/>
    <n v="20"/>
    <x v="8"/>
    <s v="07-Sat"/>
    <n v="4"/>
    <s v="East"/>
    <x v="3"/>
    <n v="0"/>
    <n v="1"/>
    <m/>
    <s v="Embankment"/>
    <s v="T Intersection"/>
    <s v="Dark (No Str Lights)"/>
    <s v="Cloudy"/>
    <m/>
    <s v="Dry"/>
    <s v="NOT APPLICABLE"/>
    <s v="CSAH 1"/>
    <m/>
    <s v="0400006594830001-I"/>
    <s v="Single Vehicle Run Off Road"/>
    <s v="Motor Vehicle in Transport"/>
    <s v="Pickup"/>
    <s v="Eastbound"/>
    <s v="Moving Forward"/>
    <n v="50"/>
    <s v="Male"/>
    <s v="Has Been Drinking Alcohol"/>
    <s v="Ran Stop Sign"/>
    <m/>
    <m/>
    <m/>
    <s v="Two-Way, Not Divided"/>
    <s v="Stop Sign"/>
    <n v="55"/>
    <s v="Straight"/>
    <s v="Level"/>
    <m/>
    <m/>
    <m/>
    <m/>
    <m/>
    <m/>
    <m/>
    <m/>
    <m/>
    <m/>
    <m/>
    <m/>
    <m/>
    <m/>
    <m/>
    <m/>
    <m/>
    <m/>
    <m/>
    <m/>
    <m/>
    <m/>
    <m/>
    <m/>
    <m/>
    <m/>
    <m/>
    <m/>
    <m/>
    <m/>
    <m/>
    <m/>
    <m/>
    <m/>
    <m/>
    <m/>
    <m/>
    <m/>
    <m/>
    <m/>
    <m/>
    <m/>
    <m/>
    <m/>
    <m/>
    <m/>
    <m/>
    <m/>
    <n v="384692.12109999999"/>
    <n v="5372800.9725000001"/>
    <n v="48.497749990000003"/>
    <n v="-94.560880339999997"/>
    <d v="2021-03-20T04:35:00"/>
    <s v="Accepted"/>
    <s v="Reportable"/>
    <s v="Lake of the Woods County Sheriff"/>
    <s v="Sheriff"/>
    <s v="Vehicle ran stop sign at the intersection of county road 1 and highway 72. vehicle dove down a steep ditch and hit the bank on the other side of the ditch. All air bags were deployed. Driver had injuries to his right wrist."/>
  </r>
  <r>
    <n v="870256"/>
    <s v="07-CR"/>
    <n v="78"/>
    <n v="4.0590000000000002"/>
    <s v="Koochiching"/>
    <m/>
    <m/>
    <s v="D1-DULUTH"/>
    <s v="Virginia"/>
    <m/>
    <n v="20311321"/>
    <n v="203570162"/>
    <d v="2023-12-12T00:00:00"/>
    <n v="22"/>
    <x v="0"/>
    <s v="03-Tues"/>
    <n v="22"/>
    <m/>
    <x v="4"/>
    <n v="1"/>
    <n v="1"/>
    <m/>
    <s v="Overturn/Rollover"/>
    <s v="T Intersection"/>
    <s v="Dark (No Str Lights)"/>
    <s v="Cloudy"/>
    <s v="Snow"/>
    <s v="Snow"/>
    <s v="NOT APPLICABLE"/>
    <s v="COUNTY RD 78"/>
    <m/>
    <s v="0700006594810078-I"/>
    <s v="Single Vehicle Run Off Road"/>
    <s v="Motor Vehicle in Transport"/>
    <s v="Passenger Car"/>
    <s v="Northbound"/>
    <s v="Moving Forward"/>
    <n v="63"/>
    <s v="Male"/>
    <s v="Has Been Drinking Alcohol"/>
    <s v="Other Contributing Action"/>
    <s v="Improper Turn/Merge"/>
    <m/>
    <m/>
    <s v="Two-Way, Not Divided"/>
    <s v="No Controls"/>
    <n v="60"/>
    <s v="Curve Right"/>
    <s v="Level"/>
    <m/>
    <m/>
    <m/>
    <m/>
    <m/>
    <m/>
    <m/>
    <m/>
    <m/>
    <m/>
    <m/>
    <m/>
    <m/>
    <m/>
    <m/>
    <m/>
    <m/>
    <m/>
    <m/>
    <m/>
    <m/>
    <m/>
    <m/>
    <m/>
    <m/>
    <m/>
    <m/>
    <m/>
    <m/>
    <m/>
    <m/>
    <m/>
    <m/>
    <m/>
    <m/>
    <m/>
    <m/>
    <m/>
    <m/>
    <m/>
    <m/>
    <m/>
    <m/>
    <m/>
    <m/>
    <m/>
    <m/>
    <m/>
    <n v="453723.62599999999"/>
    <n v="5358965.8812999995"/>
    <n v="48.382168870000001"/>
    <n v="-93.625003789999994"/>
    <d v="2020-12-22T22:57:00"/>
    <s v="Accepted"/>
    <s v="Reportable"/>
    <s v="MN State Patrol District 3100 - Virginia"/>
    <s v="State Patrol"/>
    <s v="Veh #1 NB on Hwy 71. Veh #1 appeared to be traveling too fast for the conditions, did not negotiate the left curve, left he roadway, and rolled several times. Driver #1 had been drinking, alcohol containers and marijuana found in the vehicle. It appears the driver was not belted and ejected near the final rest of the vehicle. The sunroof had been knocked out by the roll over and may have been the exit point of the lone occupant. The driver had a strong odor of alcoholic beverage coming from his breath. A search warrant was obtained for the DWI process, a blood test was taken. The driver was airlifted to a Duluth hospital after arriving at Rainy Lake Medical Center. The driver was unconscious the whole time and suffered severe injuries, eventually turning into a fatality. Roaches towing towed the vehicle to Int'l falls. All charges were dismissed, due to the fatality. Blood test came back positive for meth/stimulant and some alcohol."/>
  </r>
  <r>
    <n v="1055757"/>
    <s v="08-TWNS"/>
    <n v="505"/>
    <n v="0.313"/>
    <s v="Beltrami"/>
    <m/>
    <s v="Waskish"/>
    <s v="D2-BEMIDJI"/>
    <s v="Thief River Falls"/>
    <m/>
    <s v="ICR# 22019391"/>
    <n v="223080035"/>
    <d v="2023-11-11T00:00:00"/>
    <n v="4"/>
    <x v="2"/>
    <s v="06-Fri"/>
    <n v="8"/>
    <s v="Not Applicable"/>
    <x v="0"/>
    <n v="0"/>
    <n v="1"/>
    <m/>
    <s v="Standing Tree/Shrubbery"/>
    <s v="Not at Intersection or Interch"/>
    <s v="Daylight"/>
    <s v="Clear"/>
    <m/>
    <s v="Mud/Dirt/Gravel"/>
    <s v="NOT APPLICABLE"/>
    <s v="EAGLE NEST DR NE"/>
    <s v="SOUTH SHEEPHEAD ROAD"/>
    <s v="0800006594490505-I"/>
    <s v="Single Vehicle Run Off Road"/>
    <s v="Motor Vehicle in Transport"/>
    <s v="Pickup"/>
    <s v="Northbound"/>
    <s v="Moving Forward"/>
    <n v="65"/>
    <s v="Male"/>
    <s v="Asleep or Fatigued"/>
    <s v="Ran Off Road"/>
    <m/>
    <m/>
    <m/>
    <s v="Two-Way, Not Divided"/>
    <s v="No Controls"/>
    <n v="30"/>
    <s v="Straight"/>
    <s v="Level"/>
    <m/>
    <m/>
    <m/>
    <m/>
    <m/>
    <m/>
    <m/>
    <m/>
    <m/>
    <m/>
    <m/>
    <m/>
    <m/>
    <m/>
    <m/>
    <m/>
    <m/>
    <m/>
    <m/>
    <m/>
    <m/>
    <m/>
    <m/>
    <m/>
    <m/>
    <m/>
    <m/>
    <m/>
    <m/>
    <m/>
    <m/>
    <m/>
    <m/>
    <m/>
    <m/>
    <m/>
    <m/>
    <m/>
    <m/>
    <m/>
    <m/>
    <m/>
    <m/>
    <m/>
    <m/>
    <m/>
    <m/>
    <m/>
    <n v="387210.48580000002"/>
    <n v="5334565.3298000004"/>
    <n v="48.154334949999999"/>
    <n v="-94.516571319999997"/>
    <d v="2022-11-04T08:02:00"/>
    <s v="Accepted"/>
    <s v="Reportable"/>
    <s v="Beltrami County Sheriff"/>
    <s v="Sheriff"/>
    <s v="Vehicle #1 was traveling northbound on Eagle Nest Drive when driver veered off the gravel roadway into some brush and trees.  Driver didn't know if he fell asleep or went into the ditch.  No suspicion of alcohol.  Possible fatigue.  Vehicle sustained severe damage to the front-end area and the under-carriage area. No injuries reported.  Driver was seat belted at the time the accident occurred.  No citations issued."/>
  </r>
  <r>
    <n v="10850401"/>
    <s v="10-MUN"/>
    <n v="17"/>
    <n v="0.38900000000000001"/>
    <s v="Beltrami"/>
    <s v="Kelliher"/>
    <m/>
    <s v="D2-BEMIDJI"/>
    <s v="Thief River Falls"/>
    <m/>
    <n v="13004226"/>
    <n v="130720171"/>
    <d v="2023-03-03T00:00:00"/>
    <n v="13"/>
    <x v="3"/>
    <s v="04-Wed"/>
    <n v="15"/>
    <m/>
    <x v="0"/>
    <n v="0"/>
    <n v="1"/>
    <s v="RAN OFF RD-RIGHT"/>
    <s v="Hydrant"/>
    <s v="Not at Intersection or Interch"/>
    <s v="Daylight"/>
    <s v="Clear"/>
    <m/>
    <s v="Ice/Frost"/>
    <s v="NOT APPLICABLE"/>
    <s v="MAIN ST W"/>
    <s v="SHEVLIN"/>
    <s v="1000023955020017-I"/>
    <s v="Single Vehicle Run Off Road"/>
    <s v="Motor Vehicle in Transport"/>
    <s v="Sport Utility Vehicle"/>
    <s v="Eastbound"/>
    <s v="Moving Forward"/>
    <n v="19"/>
    <s v="Male"/>
    <s v="Apparently Normal"/>
    <m/>
    <m/>
    <m/>
    <m/>
    <s v="2-LANES 1-ECH-WY"/>
    <s v="Not Applicable"/>
    <n v="30"/>
    <s v="Straight"/>
    <s v="Level"/>
    <m/>
    <m/>
    <m/>
    <m/>
    <m/>
    <m/>
    <m/>
    <m/>
    <m/>
    <m/>
    <m/>
    <m/>
    <m/>
    <m/>
    <m/>
    <m/>
    <m/>
    <m/>
    <m/>
    <m/>
    <m/>
    <m/>
    <m/>
    <m/>
    <m/>
    <m/>
    <m/>
    <m/>
    <m/>
    <m/>
    <m/>
    <m/>
    <m/>
    <m/>
    <m/>
    <m/>
    <m/>
    <m/>
    <m/>
    <m/>
    <m/>
    <m/>
    <m/>
    <m/>
    <m/>
    <m/>
    <m/>
    <m/>
    <n v="391753.71389999997"/>
    <n v="5310844.5579000004"/>
    <n v="47.941774840000001"/>
    <n v="-94.449503789999994"/>
    <d v="2013-03-13T15:45:00"/>
    <s v="Accepted"/>
    <s v="Reportable"/>
    <s v="Unknown"/>
    <s v="Unknown"/>
    <s v="DRIVER OF UNIT 1 WAS WESTBOUND ON MAIN ST WEST. HE WAS ATTEMPTING TO PERFORM CONTROLLED SKIDS, LOST CONTROL AND SLID OFF ROAD INTO FIRE HYDRANT."/>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
  <r>
    <n v="493622"/>
    <s v="03-MNTH"/>
    <n v="11"/>
    <n v="132.18100000000001"/>
    <s v="Lake of the Woods"/>
    <m/>
    <m/>
    <s v="D2-BEMIDJI"/>
    <s v="Thief River Falls"/>
    <m/>
    <n v="17321381"/>
    <n v="172240109"/>
    <d v="2023-08-08T00:00:00"/>
    <n v="12"/>
    <x v="0"/>
    <s v="07-Sat"/>
    <n v="20"/>
    <m/>
    <x v="0"/>
    <n v="0"/>
    <n v="2"/>
    <s v="Sideswipe - Same Direction"/>
    <s v="Motor Vehicle In Transport"/>
    <s v="On Roadway (including alley, driveway, etc.)"/>
    <s v="Driveway Access Related"/>
    <s v="Dark (No Str Lights)"/>
    <s v="Cloudy"/>
    <m/>
    <s v="Dry"/>
    <s v="NOT APPLICABLE"/>
    <n v="11"/>
    <m/>
    <s v="0300000000000011-I"/>
    <s v="Sideswipe Same Direction"/>
    <s v="Motor Vehicle in Transport"/>
    <s v="Sport Utility Vehicle"/>
    <s v="Westbound"/>
    <s v="Turning Left"/>
    <n v="62"/>
    <s v="Male"/>
    <s v="Apparently Normal"/>
    <s v="Improper Turn/Merge"/>
    <s v="Other Contributing Action"/>
    <m/>
    <m/>
    <s v="Two-Way, Not Divided"/>
    <s v="No Controls"/>
    <n v="60"/>
    <s v="Straight"/>
    <s v="Level"/>
    <s v="Motor Vehicle in Transport"/>
    <s v="Sport Utility Vehicle"/>
    <s v="Westbound"/>
    <s v="Overtaking/Passing"/>
    <n v="26"/>
    <s v="Female"/>
    <s v="Apparently Normal"/>
    <s v="No Clear Contributing Action"/>
    <m/>
    <m/>
    <m/>
    <s v="Two-Way, Not Divided"/>
    <s v="No Controls"/>
    <n v="60"/>
    <s v="Straight"/>
    <s v="Level"/>
    <m/>
    <m/>
    <m/>
    <m/>
    <m/>
    <m/>
    <m/>
    <m/>
    <m/>
    <m/>
    <m/>
    <m/>
    <m/>
    <m/>
    <m/>
    <m/>
    <m/>
    <m/>
    <m/>
    <m/>
    <m/>
    <m/>
    <m/>
    <m/>
    <m/>
    <m/>
    <m/>
    <m/>
    <m/>
    <m/>
    <m/>
    <m/>
    <n v="386569.28269999998"/>
    <n v="5395451.3141000001"/>
    <n v="48.701786179999999"/>
    <n v="-94.541667180000005"/>
    <d v="2017-08-12T20:50:00"/>
    <s v="Accepted"/>
    <s v="Reportable"/>
    <s v="MN State Patrol District 3200 - Thief River Falls"/>
    <s v="State Patrol"/>
    <s v="IN GUDRID TOWNSHIP, HWY 11 .5 MILES WEST OF CR 35, V1 SCHROEDER WAS WB HWY 11.  V2 ROGUS WAS WB HWY 11 BEHIND SCHROEDER.  SCHROEDER SLOWED TO TURN LEFT INTO MOTEL AND WAS PULLING A TRAILER.  THE TRAILER'S LEFT BRAKE AND TURN LIGHT DID NOT WORK.  ROGUS WENT TO PASS SCHROEDER WHEN SCHROEDER SLOWED.  ROGUS SAW THE PULLING VEHICLE'S LEFT TURN SIGNAL WHEN SHE WAS BESIDE THE VEHICLE, AND SHE SWERVED LEFT AND ACCELERATED TO GET PAST SCHROEDER.  SCHROEDER HAD SEEN ROGUS BEHIND HIM EARLIER AND WHEN TURNING, NOTICED ROGUS WAS NO LONGER BEHIND HIM, AND SAW TOO LATE WHEN HE WAS ACTUALLY TURNING, THAT ROGUS WAS BESIDE HIM.  SCHROEDER TURNED HIS VEHICLE INTO ROGUS, WITH THE FRONT END OF HIS VEHICLE STRIKING THE CENTER AND REAR SIDE OF ROGUS' VEHICLE."/>
  </r>
  <r>
    <n v="11035736"/>
    <s v="03-MNTH"/>
    <n v="11"/>
    <n v="132.27799999999999"/>
    <s v="Lake of the Woods"/>
    <m/>
    <m/>
    <s v="D2-BEMIDJI"/>
    <s v="Thief River Falls"/>
    <m/>
    <n v="15310061"/>
    <n v="150120399"/>
    <d v="2023-01-01T00:00:00"/>
    <n v="9"/>
    <x v="1"/>
    <s v="06-Fri"/>
    <n v="7"/>
    <m/>
    <x v="0"/>
    <n v="0"/>
    <n v="1"/>
    <s v="RAN OFF RD-LEFT"/>
    <s v="Overturn/Rollover"/>
    <s v="Outside of Trafficway"/>
    <s v="Not at Intersection or Interch"/>
    <s v="Daylight"/>
    <s v="Cloudy"/>
    <m/>
    <s v="Ice/Frost"/>
    <s v="NOT APPLICABLE"/>
    <s v="11 HWY E"/>
    <s v="132 CR"/>
    <s v="0300000000000011-I"/>
    <s v="Single Vehicle Run Off Road"/>
    <s v="Motor Vehicle in Transport"/>
    <s v="Passenger Car"/>
    <s v="Westbound"/>
    <s v="Moving Forward"/>
    <n v="52"/>
    <s v="Female"/>
    <s v="Apparently Normal"/>
    <m/>
    <m/>
    <m/>
    <m/>
    <s v="2-LANES 1-ECH-WY"/>
    <m/>
    <n v="50"/>
    <s v="CURVE (pre 2016)"/>
    <s v="Level"/>
    <m/>
    <m/>
    <m/>
    <m/>
    <m/>
    <m/>
    <m/>
    <m/>
    <m/>
    <m/>
    <m/>
    <m/>
    <m/>
    <m/>
    <m/>
    <m/>
    <m/>
    <m/>
    <m/>
    <m/>
    <m/>
    <m/>
    <m/>
    <m/>
    <m/>
    <m/>
    <m/>
    <m/>
    <m/>
    <m/>
    <m/>
    <m/>
    <m/>
    <m/>
    <m/>
    <m/>
    <m/>
    <m/>
    <m/>
    <m/>
    <m/>
    <m/>
    <m/>
    <m/>
    <m/>
    <m/>
    <m/>
    <m/>
    <n v="386678.8775"/>
    <n v="5395340.5290000001"/>
    <n v="48.700809820000003"/>
    <n v="-94.540147809999993"/>
    <d v="2015-01-09T07:56:00"/>
    <s v="Accepted"/>
    <s v="Reportable"/>
    <s v="Unknown"/>
    <s v="Unknown"/>
    <s v="Veh #1 Wb on hwy 11 roads icy snow covered. Temps below zero.  Veh lost control just after curve left road to the left and  rolled  onto side. No injury , no citations roaches towed."/>
  </r>
  <r>
    <n v="10883098"/>
    <s v="03-MNTH"/>
    <n v="11"/>
    <n v="132.977"/>
    <s v="Lake of the Woods"/>
    <m/>
    <m/>
    <s v="D2-BEMIDJI"/>
    <s v="Thief River Falls"/>
    <m/>
    <n v="13320233"/>
    <n v="130780439"/>
    <d v="2023-03-03T00:00:00"/>
    <n v="17"/>
    <x v="2"/>
    <s v="01-Sun"/>
    <n v="10"/>
    <s v="East"/>
    <x v="0"/>
    <n v="0"/>
    <n v="1"/>
    <s v="RAN OFF RD-RIGHT"/>
    <s v="Overturn/Rollover"/>
    <s v="On Roadway (including alley, driveway, etc.)"/>
    <s v="Not at Intersection or Interch"/>
    <s v="Daylight"/>
    <s v="Clear"/>
    <m/>
    <s v="Ice/Frost"/>
    <s v="NOT APPLICABLE"/>
    <s v="11 HWY"/>
    <n v="132"/>
    <s v="0300000000000011-I"/>
    <s v="Single Vehicle Run Off Road"/>
    <s v="Motor Vehicle in Transport"/>
    <s v="Sport Utility Vehicle"/>
    <s v="Eastbound"/>
    <s v="Moving Forward"/>
    <n v="64"/>
    <s v="Female"/>
    <s v="Apparently Normal"/>
    <m/>
    <m/>
    <m/>
    <m/>
    <s v="2-LANES 1-ECH-WY"/>
    <s v="Not Applicable"/>
    <n v="55"/>
    <s v="Straight"/>
    <s v="Level"/>
    <m/>
    <m/>
    <m/>
    <m/>
    <m/>
    <m/>
    <m/>
    <m/>
    <m/>
    <m/>
    <m/>
    <m/>
    <m/>
    <m/>
    <m/>
    <m/>
    <m/>
    <m/>
    <m/>
    <m/>
    <m/>
    <m/>
    <m/>
    <m/>
    <m/>
    <m/>
    <m/>
    <m/>
    <m/>
    <m/>
    <m/>
    <m/>
    <m/>
    <m/>
    <m/>
    <m/>
    <m/>
    <m/>
    <m/>
    <m/>
    <m/>
    <m/>
    <m/>
    <m/>
    <m/>
    <m/>
    <m/>
    <m/>
    <n v="387747.78830000001"/>
    <n v="5395013.4495999999"/>
    <n v="48.698061690000003"/>
    <n v="-94.525536819999999"/>
    <d v="2013-03-17T10:08:00"/>
    <s v="Accepted"/>
    <s v="Reportable"/>
    <s v="Unknown"/>
    <s v="Unknown"/>
    <s v="VEHICLE #1 WAS TRAVELING EAST ON MNTH 11._x000a__x000a_VEHICLE #1 DROVE OVER A LARGE AREA OF FROZEN ICE ON THE ROADWAY._x000a__x000a_VEHICLE #1 LOST CONTROL._x000a__x000a_VEHICLE #1 RAN OFF THE ROAD TO THE RIGHT._x000a__x000a_VEHICLE #1 ROLLED OVER UPON ENTERING THE DITCH."/>
  </r>
  <r>
    <n v="11067397"/>
    <s v="03-MNTH"/>
    <n v="11"/>
    <n v="133.81700000000001"/>
    <s v="Lake of the Woods"/>
    <m/>
    <m/>
    <s v="D2-BEMIDJI"/>
    <s v="Thief River Falls"/>
    <m/>
    <m/>
    <n v="152590052"/>
    <d v="2023-08-08T00:00:00"/>
    <n v="15"/>
    <x v="1"/>
    <s v="07-Sat"/>
    <n v="4"/>
    <m/>
    <x v="0"/>
    <n v="0"/>
    <n v="1"/>
    <s v="RAN OFF RD-LEFT"/>
    <s v="Overturn/Rollover"/>
    <m/>
    <m/>
    <s v="Dark (No Str Lights)"/>
    <s v="Clear"/>
    <m/>
    <s v="Dry"/>
    <s v="NOT APPLICABLE"/>
    <m/>
    <m/>
    <s v="0300000000000011-I"/>
    <s v="Single Vehicle Run Off Road"/>
    <n v="0"/>
    <s v="Pickup"/>
    <s v="Eastbound"/>
    <m/>
    <n v="27"/>
    <s v="Male"/>
    <m/>
    <m/>
    <m/>
    <m/>
    <m/>
    <m/>
    <s v="Not Applicable"/>
    <n v="55"/>
    <m/>
    <m/>
    <m/>
    <m/>
    <m/>
    <m/>
    <m/>
    <m/>
    <m/>
    <m/>
    <m/>
    <m/>
    <m/>
    <m/>
    <m/>
    <m/>
    <m/>
    <m/>
    <m/>
    <m/>
    <m/>
    <m/>
    <m/>
    <m/>
    <m/>
    <m/>
    <m/>
    <m/>
    <m/>
    <m/>
    <m/>
    <m/>
    <m/>
    <m/>
    <m/>
    <m/>
    <m/>
    <m/>
    <m/>
    <m/>
    <m/>
    <m/>
    <m/>
    <m/>
    <m/>
    <m/>
    <m/>
    <m/>
    <m/>
    <m/>
    <n v="389054.46509999997"/>
    <n v="5394666.9099000003"/>
    <n v="48.695178990000002"/>
    <n v="-94.507692199999994"/>
    <d v="2015-08-15T04:00:00"/>
    <s v="Accepted"/>
    <s v="Reportable"/>
    <s v="Unknown"/>
    <s v="Unknown"/>
    <m/>
  </r>
  <r>
    <n v="10878074"/>
    <s v="03-MNTH"/>
    <n v="11"/>
    <n v="137.50700000000001"/>
    <s v="Koochiching"/>
    <m/>
    <m/>
    <s v="D2-BEMIDJI"/>
    <s v="Virginia"/>
    <m/>
    <n v="13310072"/>
    <n v="130180208"/>
    <d v="2023-01-01T00:00:00"/>
    <n v="12"/>
    <x v="2"/>
    <s v="07-Sat"/>
    <n v="12"/>
    <s v="West"/>
    <x v="0"/>
    <n v="0"/>
    <n v="2"/>
    <s v="REAR-END"/>
    <s v="Motor Vehicle In Transport"/>
    <s v="On Roadway (including alley, driveway, etc.)"/>
    <s v="Not at Intersection or Interch"/>
    <s v="Daylight"/>
    <s v="Clear"/>
    <m/>
    <s v="Ice/Frost"/>
    <s v="NOT APPLICABLE"/>
    <s v="ST HWY 11 SE"/>
    <n v="90"/>
    <s v="0300000000000011-I"/>
    <s v="Rear End"/>
    <s v="Motor Vehicle in Transport"/>
    <s v="Pickup"/>
    <s v="Westbound"/>
    <s v="Moving Forward"/>
    <n v="42"/>
    <s v="Male"/>
    <s v="Apparently Normal"/>
    <m/>
    <m/>
    <m/>
    <m/>
    <s v="2-LANES 1-ECH-WY"/>
    <s v="Not Applicable"/>
    <n v="55"/>
    <s v="CURVE (pre 2016)"/>
    <s v="Level"/>
    <s v="Motor Vehicle in Transport"/>
    <s v="VAN OR MINIVAN"/>
    <s v="Westbound"/>
    <s v="Moving Forward"/>
    <n v="47"/>
    <s v="Female"/>
    <s v="Apparently Normal"/>
    <m/>
    <m/>
    <m/>
    <m/>
    <s v="2-LANES 1-ECH-WY"/>
    <s v="Not Applicable"/>
    <n v="55"/>
    <s v="CURVE (pre 2016)"/>
    <s v="Level"/>
    <m/>
    <m/>
    <m/>
    <m/>
    <m/>
    <m/>
    <m/>
    <m/>
    <m/>
    <m/>
    <m/>
    <m/>
    <m/>
    <m/>
    <m/>
    <m/>
    <m/>
    <m/>
    <m/>
    <m/>
    <m/>
    <m/>
    <m/>
    <m/>
    <m/>
    <m/>
    <m/>
    <m/>
    <m/>
    <m/>
    <m/>
    <m/>
    <n v="394868.15539999999"/>
    <n v="5394238.1095000003"/>
    <n v="48.69232933"/>
    <n v="-94.428604809999996"/>
    <d v="2013-01-12T12:48:00"/>
    <s v="Accepted"/>
    <s v="Reportable"/>
    <s v="Unknown"/>
    <s v="Unknown"/>
    <s v="Vehicle 1 following snowplow. When snowplow slowed so did vehicle 1. Vehicle 2 unable to stop on ice covered road and struck the rear of vehicle 1.  Both vehicles moved before I arrived.  Passenger of vehicle 2 gone from scene. Mother said she was not injured. Both drivers given victim card. No  injuries in either vehicle."/>
  </r>
  <r>
    <n v="768613"/>
    <s v="03-MNTH"/>
    <n v="11"/>
    <n v="140.96299999999999"/>
    <s v="Koochiching"/>
    <m/>
    <m/>
    <s v="D2-BEMIDJI"/>
    <s v="Virginia"/>
    <m/>
    <n v="19311269"/>
    <n v="193000187"/>
    <d v="2023-10-10T00:00:00"/>
    <n v="27"/>
    <x v="3"/>
    <s v="01-Sun"/>
    <n v="1"/>
    <s v="East"/>
    <x v="0"/>
    <n v="0"/>
    <n v="1"/>
    <m/>
    <s v="Other Animal - Alive at Time of Crash"/>
    <s v="On Roadway (including alley, driveway, etc.)"/>
    <s v="Not at Intersection or Interch"/>
    <s v="Dark (No Str Lights)"/>
    <s v="Cloudy"/>
    <m/>
    <s v="Dry"/>
    <s v="NOT APPLICABLE"/>
    <s v="HWY 11"/>
    <m/>
    <s v="0300000000000011-I"/>
    <s v="Single Vehicle Other"/>
    <s v="Motor Vehicle in Transport"/>
    <s v="Pickup"/>
    <s v="Eastbound"/>
    <s v="Moving Forward"/>
    <n v="25"/>
    <s v="Male"/>
    <s v="Has Been Drinking Alcohol"/>
    <s v="Other Contributing Action"/>
    <s v="Ran Off Road"/>
    <m/>
    <m/>
    <s v="Two-Way, Not Divided"/>
    <s v="No Controls"/>
    <n v="60"/>
    <s v="Straight"/>
    <s v="Level"/>
    <m/>
    <m/>
    <m/>
    <m/>
    <m/>
    <m/>
    <m/>
    <m/>
    <m/>
    <m/>
    <m/>
    <m/>
    <m/>
    <m/>
    <m/>
    <m/>
    <m/>
    <m/>
    <m/>
    <m/>
    <m/>
    <m/>
    <m/>
    <m/>
    <m/>
    <m/>
    <m/>
    <m/>
    <m/>
    <m/>
    <m/>
    <m/>
    <m/>
    <m/>
    <m/>
    <m/>
    <m/>
    <m/>
    <m/>
    <m/>
    <m/>
    <m/>
    <m/>
    <m/>
    <m/>
    <m/>
    <m/>
    <m/>
    <n v="400128.7856"/>
    <n v="5394944.3086000001"/>
    <n v="48.699544719999999"/>
    <n v="-94.357312359999995"/>
    <d v="2019-10-27T01:00:00"/>
    <s v="Accepted"/>
    <s v="Reportable"/>
    <s v="MN State Patrol District 3100 - Virginia"/>
    <s v="State Patrol"/>
    <s v="Veh#1 was traveling eastbound on  State Highway 11 near Koochiching County Rd 148. Veh#1 collided with a black Angus cow in  the eastbound lane of travel. No skid marks or de-celleration marks were observed prior to impact.  Veh#1 separated from the cow and skidded 120 feet before colliding with a 9&quot; pine tree causing the pickup to stop. I observed the cow to travel approximately 90' before coming to a rest in the trees.  I observed the cow to be approximately 1200 lbs.  _x000a__x000a_I observed the pickup to be cold to the touch and Busch light beer cans to be lying around in the grass and in the rear box area of the pickup.  _x000a__x000a_At approximately 1600 hrs, I contacted Driver#1 at his parents residence.  Driver #1 stated that he was traveling eastbound on State Highway 11 when he collided with the cow.  Driver #1 said that he never seen the cow prior to impact. Driver#1 admitted to consuming alcohol the night prior and didn't contact law enforcement because he didn't want to get arrested for DWI.  Driver #1 stated that he waited until he was sober before notifying law enforcement. _x000a__x000a_I observed owner of the Black Angus Cow, Ralph Lewis' insurance information:  North Star Mutual Insurance Policy #523-P-22145.  _x000a__x000a_Roaches towing responded for the vehicle.  _x000a__x000a_Driver#1 was reported to be wearing his seatbelt and alcohol was a factor._x000a__x000a_Cited for Hit and Run and Inattentive Driving."/>
  </r>
  <r>
    <n v="875006"/>
    <s v="03-MNTH"/>
    <n v="11"/>
    <n v="141.322"/>
    <s v="Koochiching"/>
    <m/>
    <m/>
    <s v="D2-BEMIDJI"/>
    <s v="Virginia"/>
    <m/>
    <n v="21310054"/>
    <n v="210170064"/>
    <d v="2023-01-01T00:00:00"/>
    <n v="17"/>
    <x v="4"/>
    <s v="01-Sun"/>
    <n v="16"/>
    <s v="Not Applicable"/>
    <x v="1"/>
    <n v="0"/>
    <n v="1"/>
    <m/>
    <s v="Ditch"/>
    <s v="On Roadside"/>
    <s v="Not at Intersection or Interch"/>
    <s v="Dark (No Str Lights)"/>
    <s v="Cloudy"/>
    <m/>
    <s v="Ice/Frost"/>
    <s v="NOT APPLICABLE"/>
    <s v="HWY 11"/>
    <m/>
    <s v="0300000000000011-I"/>
    <s v="Single Vehicle Run Off Road"/>
    <s v="Motor Vehicle in Transport"/>
    <s v="Passenger Car"/>
    <s v="Westbound"/>
    <s v="Moving Forward"/>
    <n v="24"/>
    <s v="Female"/>
    <s v="Medical Issue (Ill, Sick or Fainted)"/>
    <s v="Ran Off Road"/>
    <m/>
    <m/>
    <m/>
    <s v="Two-Way, Not Divided"/>
    <s v="Unknown"/>
    <n v="60"/>
    <s v="Straight"/>
    <s v="Level"/>
    <m/>
    <m/>
    <m/>
    <m/>
    <m/>
    <m/>
    <m/>
    <m/>
    <m/>
    <m/>
    <m/>
    <m/>
    <m/>
    <m/>
    <m/>
    <m/>
    <m/>
    <m/>
    <m/>
    <m/>
    <m/>
    <m/>
    <m/>
    <m/>
    <m/>
    <m/>
    <m/>
    <m/>
    <m/>
    <m/>
    <m/>
    <m/>
    <m/>
    <m/>
    <m/>
    <m/>
    <m/>
    <m/>
    <m/>
    <m/>
    <m/>
    <m/>
    <m/>
    <m/>
    <m/>
    <m/>
    <m/>
    <m/>
    <n v="400707.1274"/>
    <n v="5394932.0506999996"/>
    <n v="48.69952679"/>
    <n v="-94.349451709999997"/>
    <d v="2021-01-17T16:15:00"/>
    <s v="Accepted"/>
    <s v="Reportable"/>
    <s v="MN State Patrol District 3200 - Thief River Falls"/>
    <s v="State Patrol"/>
    <s v="V1 westbound Hwy 11, drove off road left side into ditch full of snow.  Driver was unresponsive for several minutes.  Hospital staff believes she suffered a seizure."/>
  </r>
  <r>
    <n v="11070131"/>
    <s v="03-MNTH"/>
    <n v="11"/>
    <n v="143.11199999999999"/>
    <s v="Koochiching"/>
    <m/>
    <m/>
    <s v="D2-BEMIDJI"/>
    <s v="Virginia"/>
    <m/>
    <n v="15311664"/>
    <n v="152780211"/>
    <d v="2023-08-08T00:00:00"/>
    <n v="15"/>
    <x v="1"/>
    <s v="07-Sat"/>
    <n v="3"/>
    <s v="East"/>
    <x v="0"/>
    <n v="0"/>
    <n v="1"/>
    <s v="RAN OFF RD-LEFT"/>
    <s v="Overturn/Rollover"/>
    <s v="On Roadway (including alley, driveway, etc.)"/>
    <s v="Not at Intersection or Interch"/>
    <s v="Dark (No Str Lights)"/>
    <s v="Fog/Smog/Smoke"/>
    <m/>
    <s v="Dry"/>
    <s v="NOT APPLICABLE"/>
    <s v="HWY 11 EB MP 143"/>
    <n v="136"/>
    <s v="0300000000000011-I"/>
    <s v="Single Vehicle Run Off Road"/>
    <s v="Motor Vehicle in Transport"/>
    <s v="Pickup"/>
    <s v="Eastbound"/>
    <s v="Moving Forward"/>
    <n v="27"/>
    <s v="Male"/>
    <s v="Apparently Normal"/>
    <s v="Over Correcting / Over Steering"/>
    <m/>
    <m/>
    <m/>
    <s v="2-LANES 1-ECH-WY"/>
    <s v="Not Applicable"/>
    <n v="55"/>
    <s v="Straight"/>
    <s v="Level"/>
    <m/>
    <m/>
    <m/>
    <m/>
    <m/>
    <m/>
    <m/>
    <m/>
    <m/>
    <m/>
    <m/>
    <m/>
    <m/>
    <m/>
    <m/>
    <m/>
    <m/>
    <m/>
    <m/>
    <m/>
    <m/>
    <m/>
    <m/>
    <m/>
    <m/>
    <m/>
    <m/>
    <m/>
    <m/>
    <m/>
    <m/>
    <m/>
    <m/>
    <m/>
    <m/>
    <m/>
    <m/>
    <m/>
    <m/>
    <m/>
    <m/>
    <m/>
    <m/>
    <m/>
    <m/>
    <m/>
    <m/>
    <m/>
    <n v="403587.01059999998"/>
    <n v="5394862.4880999997"/>
    <n v="48.69935289"/>
    <n v="-94.31030715"/>
    <d v="2015-08-15T03:58:00"/>
    <s v="Accepted"/>
    <s v="Reportable"/>
    <s v="Unknown"/>
    <s v="Unknown"/>
    <s v="VEHICLE 1 TRAVELING EASTBOUND ON HWY 11 NEAR MP 143. VEHICLE 1 TURNS LEFT TO AVOID A DEER OFF TO THE RIGHT. VEHICLE ONE OVER CORRECTS TRYING TO STEER BACK INTO THE LANE, THEN OVER CORRECTS AGAIN. VEHICLE 1 SLID INTO THE DITCH ON THE LEFT AND OVERTURNED ONE TIME, LANDING UPRIGHT. DRIVER SUSTAINED NO APPARENT INJURIES. END."/>
  </r>
  <r>
    <n v="811328"/>
    <s v="03-MNTH"/>
    <n v="11"/>
    <n v="145.989"/>
    <s v="Koochiching"/>
    <m/>
    <m/>
    <s v="D2-BEMIDJI"/>
    <s v="Virginia"/>
    <m/>
    <n v="20310552"/>
    <n v="201420114"/>
    <d v="2023-05-05T00:00:00"/>
    <n v="21"/>
    <x v="5"/>
    <s v="05-Thu"/>
    <n v="16"/>
    <s v="West"/>
    <x v="2"/>
    <n v="1"/>
    <n v="1"/>
    <m/>
    <s v="Embankment"/>
    <s v="On Roadway (including alley, driveway, etc.)"/>
    <s v="Not at Intersection or Interch"/>
    <s v="Daylight"/>
    <s v="Clear"/>
    <m/>
    <s v="Dry"/>
    <s v="NOT APPLICABLE"/>
    <s v="HWY 11"/>
    <m/>
    <s v="0300000000000011-I"/>
    <s v="Single Vehicle Run Off Road"/>
    <s v="Motor Vehicle in Transport"/>
    <s v="Motorcycle"/>
    <s v="Westbound"/>
    <s v="Moving Forward"/>
    <n v="53"/>
    <s v="Male"/>
    <s v="Has Been Taking Illicit Drugs"/>
    <s v="Ran Off Road"/>
    <s v="Driver Speeding"/>
    <m/>
    <m/>
    <s v="Two-Way, Not Divided"/>
    <s v="Warning Sign"/>
    <n v="60"/>
    <s v="Curve Left"/>
    <s v="Level"/>
    <m/>
    <m/>
    <m/>
    <m/>
    <m/>
    <m/>
    <m/>
    <m/>
    <m/>
    <m/>
    <m/>
    <m/>
    <m/>
    <m/>
    <m/>
    <m/>
    <m/>
    <m/>
    <m/>
    <m/>
    <m/>
    <m/>
    <m/>
    <m/>
    <m/>
    <m/>
    <m/>
    <m/>
    <m/>
    <m/>
    <m/>
    <m/>
    <m/>
    <m/>
    <m/>
    <m/>
    <m/>
    <m/>
    <m/>
    <m/>
    <m/>
    <m/>
    <m/>
    <m/>
    <m/>
    <m/>
    <m/>
    <m/>
    <n v="407509.32510000002"/>
    <n v="5393035.8405999998"/>
    <n v="48.683517999999999"/>
    <n v="-94.256605739999998"/>
    <d v="2020-05-21T16:21:00"/>
    <s v="Accepted"/>
    <s v="Reportable"/>
    <s v="MN State Patrol District 3100 - Virginia"/>
    <s v="State Patrol"/>
    <s v="Veh#1 was traveling westbound on State Highway 11 near Mile Post 146.  Veh#1 traveled off the right hand side of the roadway between two corner marker signs before colliding with an embankment on the other side of the ditch. Veh#1 overturned several times before coming to a rest on the throttle side facing southeast.  Driver#1 was located lying on his stomach facing south. _x000a__x000a_Driver was not reported to be wearing a helmet or protective clothing.  A pair of goggles were located on scene, however unknown if they were in use. _x000a__x000a_Alcohol was not suspected, however drug paraphernalia was located on the driver, however it is being sent to the BCA for testing. Blood kit #B421481."/>
  </r>
  <r>
    <n v="1075107"/>
    <s v="03-MNTH"/>
    <n v="11"/>
    <n v="149.965"/>
    <s v="Koochiching"/>
    <m/>
    <m/>
    <s v="D2-BEMIDJI"/>
    <s v="Virginia"/>
    <m/>
    <n v="23310055"/>
    <n v="230150013"/>
    <d v="2023-01-01T00:00:00"/>
    <n v="15"/>
    <x v="6"/>
    <s v="01-Sun"/>
    <n v="8"/>
    <m/>
    <x v="3"/>
    <n v="0"/>
    <n v="1"/>
    <m/>
    <s v="Overturn/Rollover"/>
    <s v="On Roadway (including alley, driveway, etc.)"/>
    <s v="Not at Intersection or Interch"/>
    <s v="Daylight"/>
    <s v="Sleet, Hail (Freezing Rain/Drizzle)"/>
    <m/>
    <s v="Ice/Frost"/>
    <s v="NOT APPLICABLE"/>
    <s v="HWY 11"/>
    <m/>
    <s v="0300000000000011-I"/>
    <s v="Single Vehicle Run Off Road"/>
    <s v="Motor Vehicle in Transport"/>
    <s v="Passenger Car"/>
    <s v="Eastbound"/>
    <s v="Moving Forward"/>
    <n v="19"/>
    <s v="Male"/>
    <s v="Apparently Normal"/>
    <s v="Driver Speeding"/>
    <s v="Over Correcting / Over Steering"/>
    <m/>
    <m/>
    <s v="Two-Way, Not Divided"/>
    <s v="No Controls"/>
    <n v="60"/>
    <s v="Straight"/>
    <s v="Level"/>
    <m/>
    <m/>
    <m/>
    <m/>
    <m/>
    <m/>
    <m/>
    <m/>
    <m/>
    <m/>
    <m/>
    <m/>
    <m/>
    <m/>
    <m/>
    <m/>
    <m/>
    <m/>
    <m/>
    <m/>
    <m/>
    <m/>
    <m/>
    <m/>
    <m/>
    <m/>
    <m/>
    <m/>
    <m/>
    <m/>
    <m/>
    <m/>
    <m/>
    <m/>
    <m/>
    <m/>
    <m/>
    <m/>
    <m/>
    <m/>
    <m/>
    <m/>
    <m/>
    <m/>
    <m/>
    <m/>
    <m/>
    <m/>
    <n v="410554.49570000003"/>
    <n v="5388973.3669999996"/>
    <n v="48.647423430000003"/>
    <n v="-94.214364990000007"/>
    <d v="2023-01-15T08:21:00"/>
    <s v="Accepted"/>
    <s v="Reportable"/>
    <s v="MN State Patrol District 3100 - Virginia"/>
    <s v="State Patrol"/>
    <s v="VEH WAS TRAVELING EB ON HWY 11. VEH FISHTAILED ON ROAD DUE TO SLIPPERY ROAD WAY. DRIVER OVER CORRECTED AND ENTERED EB DITCH. THE VEHICLE ROLLED 1 1/12 TIMES LANDING ON ITS PASSENGER SIDE._x000a__x000a_NO AIRBAGS, SEATBELT WORN.  _x000a__x000a_DRIVER ATTEMPTED TO GET OUT OF THE DRIVER SIDE DOOR (FACING UPWARDS). WHEN HE GOT OUT, THE DOOR SLAMMED ON HIS ARM CAUSING INJURY TO ARM. _x000a__x000a_PHOTOS TAKEN ON SCENE. _x000a__x000a_STATEMENTS WERE TAKEN AT HOSPITAL. DRIVER STATED HE WAS NOT DISTRACTED. STATED HE LOST CONTROL OF VEHICLE DUE TO SLIPPERY ROADWAY.  _x000a__x000a_LAKE OF THE WOODS TOWING TOWED VEHICLE. _x000a__x000a_NO CITATIONS."/>
  </r>
  <r>
    <n v="10974725"/>
    <s v="03-MNTH"/>
    <n v="11"/>
    <n v="150.047"/>
    <s v="Koochiching"/>
    <m/>
    <m/>
    <s v="D2-BEMIDJI"/>
    <s v="Virginia"/>
    <m/>
    <n v="14310744"/>
    <n v="141500227"/>
    <d v="2023-04-04T00:00:00"/>
    <n v="30"/>
    <x v="7"/>
    <s v="04-Wed"/>
    <n v="5"/>
    <m/>
    <x v="3"/>
    <n v="0"/>
    <n v="1"/>
    <s v="RAN OFF RD-LEFT"/>
    <s v="Overturn/Rollover"/>
    <s v="On Shoulder"/>
    <s v="Not at Intersection or Interch"/>
    <s v="Sunrise"/>
    <s v="Cloudy"/>
    <m/>
    <s v="Dry"/>
    <s v="NOT APPLICABLE"/>
    <s v="11 HWY"/>
    <s v="11450 HWY 11"/>
    <s v="0300000000000011-I"/>
    <s v="Single Vehicle Run Off Road"/>
    <s v="Motor Vehicle in Transport"/>
    <s v="Passenger Car"/>
    <s v="Westbound"/>
    <s v="Swerved or Attempt to Avoid Object in Roadway"/>
    <n v="51"/>
    <s v="Male"/>
    <s v="Apparently Normal"/>
    <m/>
    <m/>
    <m/>
    <m/>
    <s v="2-LANES 1-ECH-WY"/>
    <s v="Not Applicable"/>
    <n v="55"/>
    <s v="CURVE (pre 2016)"/>
    <s v="Level"/>
    <m/>
    <m/>
    <m/>
    <m/>
    <m/>
    <m/>
    <m/>
    <m/>
    <m/>
    <m/>
    <m/>
    <m/>
    <m/>
    <m/>
    <m/>
    <m/>
    <m/>
    <m/>
    <m/>
    <m/>
    <m/>
    <m/>
    <m/>
    <m/>
    <m/>
    <m/>
    <m/>
    <m/>
    <m/>
    <m/>
    <m/>
    <m/>
    <m/>
    <m/>
    <m/>
    <m/>
    <m/>
    <m/>
    <m/>
    <m/>
    <m/>
    <m/>
    <m/>
    <m/>
    <m/>
    <m/>
    <m/>
    <m/>
    <n v="410685.554"/>
    <n v="5388989.4627"/>
    <n v="48.647586939999997"/>
    <n v="-94.212589559999998"/>
    <d v="2014-04-30T05:30:00"/>
    <s v="Accepted"/>
    <s v="Reportable"/>
    <s v="Unknown"/>
    <s v="Unknown"/>
    <s v="VEH#1 WAS WB HWY 11.  DRIVER SWERVED TO AVOID DEER AND WENT OFF ROAD LEFT WHERE VEHICLE STRUCK APPROACH AND OVERTURNED.  AIRBAGS DEPLOYED.  DRIVER BELTED.   TREATED FOR MINOR INJURIES.   KOOCHICHING COUNTY DEPUTY KALSTAD AT SCENE AND OBTAINED CRASH INFORMATION AND PHOTOGRAPHS.  DRAWING NOT TO SCALE.   DRIVER TREATED FOR MINOR INJURIES AND RELEASED.  NO CITATIONS ISSUED."/>
  </r>
  <r>
    <n v="720076"/>
    <s v="03-MNTH"/>
    <n v="11"/>
    <n v="150.947"/>
    <s v="Koochiching"/>
    <m/>
    <m/>
    <s v="D2-BEMIDJI"/>
    <s v="Virginia"/>
    <m/>
    <n v="19310594"/>
    <n v="191340192"/>
    <d v="2023-05-05T00:00:00"/>
    <n v="14"/>
    <x v="3"/>
    <s v="03-Tues"/>
    <n v="16"/>
    <s v="West"/>
    <x v="0"/>
    <n v="0"/>
    <n v="1"/>
    <m/>
    <s v="Standing Tree/Shrubbery"/>
    <s v="On Roadway (including alley, driveway, etc.)"/>
    <s v="Not at Intersection or Interch"/>
    <s v="Daylight"/>
    <s v="Clear"/>
    <m/>
    <s v="Dry"/>
    <s v="NOT APPLICABLE"/>
    <s v="HWY 11"/>
    <m/>
    <s v="0300000000000011-I"/>
    <s v="Single Vehicle Run Off Road"/>
    <s v="Motor Vehicle in Transport"/>
    <s v="Passenger Car"/>
    <s v="Westbound"/>
    <s v="Moving Forward"/>
    <n v="74"/>
    <s v="Female"/>
    <s v="Apparently Normal"/>
    <s v="Other Contributing Action"/>
    <s v="Over Correcting / Over Steering"/>
    <m/>
    <m/>
    <s v="Two-Way, Not Divided"/>
    <s v="No Controls"/>
    <n v="60"/>
    <s v="Straight"/>
    <s v="Level"/>
    <m/>
    <m/>
    <m/>
    <m/>
    <m/>
    <m/>
    <m/>
    <m/>
    <m/>
    <m/>
    <m/>
    <m/>
    <m/>
    <m/>
    <m/>
    <m/>
    <m/>
    <m/>
    <m/>
    <m/>
    <m/>
    <m/>
    <m/>
    <m/>
    <m/>
    <m/>
    <m/>
    <m/>
    <m/>
    <m/>
    <m/>
    <m/>
    <m/>
    <m/>
    <m/>
    <m/>
    <m/>
    <m/>
    <m/>
    <m/>
    <m/>
    <m/>
    <m/>
    <m/>
    <m/>
    <m/>
    <m/>
    <m/>
    <n v="412121.2316"/>
    <n v="5389125.1930999998"/>
    <n v="48.649011250000001"/>
    <n v="-94.193131269999995"/>
    <d v="2019-05-14T16:16:00"/>
    <s v="Accepted"/>
    <s v="Reportable"/>
    <s v="MN State Patrol District 3100 - Virginia"/>
    <s v="State Patrol"/>
    <s v="VEH1 WAS TRAVELING WB ON HWY 11, AT APPROXIMATELY MILE POST 151. DRIVER OF VEH 1 (JANET FAE MART DOB: 05/23/1944) STATED THAT THE VEHICLE JERKED LEFT INTO THE EAST BOUND LANE. MART STATED THAT SHE PULLED THE VEHICLE BACK TO THE RIGHT, WHERE SHE OVERCORRECTED AND LOST CONTROL.  MART'S VEHICLE ENTERED THE NORTH SIDE DITCH AND TRAVELED APPROXIMATELY 100 FEET, WHERE IT CAME TO A COMPLETE STOP IN WOODS SURROUNDED BY TREES AND BRUSH. MART STATED SHE COULD NOT EXIT THE VEHICLE, DUE TO THE TREES AND BRUSH BLOCKING THE FRONT DOORS. VEH1 THEN BEGAN TO FILL WITH SMOKE.  MART STATED SHE FELT LIKE SHE WAS STUCK IN THE VEHICLE FOR APPROXIMATELY 15 MINUTES, UNTIL A PASSERBY(RYAN DANNEY ALLEN HORNE DOB:07/30/1982) STOPPED TO ASSIST.  HORNE CAME TO THE REAR END OF VEH1 AND OPENED THE REAR TAILGATE HATCH. HORNE PULLED MART AND HER DOG OUT OF VEHICLE THROUGH THE REAR TAILGATE AND ESCORTED THEM UP TO HWY 11. ACCORDING TO MART AND HORNE, THE VEHICLE CAUGHT FIRE AND WAS FULLY ENGULFED SHORTLY AFTER._x000a__x000a_MART STATED SHE WAS NOT DISTRACTED AND SHE WAS WEARING HER SEATBELT. MART STATED SHE WAS NOT INJURED, BUT LATER THAT NIGHT WENT IN AND GOT CHECKED OUT AT THE BAUDETTTE HOSPITAL, WHERE SHE HAD MINOR BRUISING AND SORENESS. _x000a__x000a_HORNE STATED HE WAS TRAVELING EASTBOUND ON HWY 11, AT APPROXIMATELY MILE POST 151. HORNE STATED HE OBSERVED WHAT APPEARED TO BE A SMALL FLAME AND WHITE SMOKE COMING FROM THE DITCH. HORNE STATED HE THOUGHT IT WAS A SMALL GRASS FIRE. HORNE STATED HE TRAVELED PAST THE SMOKE AND DIDN'T SEE A CAR. HE TURNED AROUND TO PUT OUT THE SMALL FLAME OR CALL THE LOCAL FIRE DEPARTMENT.  AFTER HE TURNED AROUND, HE COULD SEE TIRE TRACKS ENTERING THE DITCH AND WOODS. HORNE STATED HE QUICKLY EXITED HIS VEHICLE AND NOTICED A VEHICLE DOWN IN THE DITCH. HORNE QUICKLY RAN UP TO THE VEHICLE, NOTICING THE FRONT DRIVER SIDE TIRE AREA WAS ON FIRE, HOWEVER HE COULD NOT SEE INTO THE VEHICLE. HORNE STATED HE COULD NOT OPEN THE DRIVER OR PASSENGER DOORS, SO HE OPENED THE TRUNK/TAILGATE. HORNE STATED THAT ONCE HE OPENED THE TAILGATE, HE SAW A FEMALE IN THE PASSENGER SEAT. HORNE STATED HE EXTENDED HIS HAND AND PULLED THE FEMALE AND HER DOG OUT FROM THE REAR. HORNE QUICKLY GOT THE FEMALE AND HER DOG TO SAFETY ON THE ROAD.  THE VEHICLE BECAME FULLY ENGULFED SHORTLY AFTER._x000a__x000a_I ARRIVED ON SCENE WHERE K212 LOCATED TEH DRIVER (MART) IN THE BACK SEAT OF HORNE'S TRUCK. K212 GOT HORNES INFORMATION. _x000a__x000a_I MADE SURE MART WAS SAFE AND OKAY. MART GAVE A STATEMENT. _x000a__x000a_BIRCHDALE VOLUNTEER FIRE DEPARTMENT PUT OUT FIRE AND CONTAINED THE AREA._x000a__x000a_I TOOK PHOTOS OF THE SCENE AND NOTICED THAT THERE WERE TIRE MARKINGS CONSISTENT WITH THE STATEMENT OF MART THAT SOMETHING MECHANICAL HAPPENED WITH FRONT DRIVERS SIDE TIRE AREA. _x000a__x000a_GARYS TOWING OUT OF BAUDETTE TOWED THE VEHICLE. _x000a__x000a_NO CITATIONS._x000a__x000a_CASE NUMBER AND MINNESOTA CRASH REPORT WERE GIVEN TO MART ON SCENE."/>
  </r>
  <r>
    <n v="664273"/>
    <s v="03-MNTH"/>
    <n v="11"/>
    <n v="152.45099999999999"/>
    <s v="Koochiching"/>
    <m/>
    <m/>
    <s v="D2-BEMIDJI"/>
    <s v="Virginia"/>
    <m/>
    <n v="18030384"/>
    <n v="183340034"/>
    <d v="2023-11-11T00:00:00"/>
    <n v="30"/>
    <x v="8"/>
    <s v="06-Fri"/>
    <n v="7"/>
    <s v="Not Applicable"/>
    <x v="0"/>
    <n v="0"/>
    <n v="1"/>
    <m/>
    <s v="Other Animal - Alive at Time of Crash"/>
    <s v="On Roadway (including alley, driveway, etc.)"/>
    <s v="Not at Intersection or Interch"/>
    <s v="Dark (No Str Lights)"/>
    <s v="Cloudy"/>
    <m/>
    <s v="Ice/Frost"/>
    <s v="NOT APPLICABLE"/>
    <s v="HWY 11"/>
    <m/>
    <s v="0300000000000011-I"/>
    <s v="Single Vehicle Other"/>
    <s v="Motor Vehicle in Transport"/>
    <s v="Pickup"/>
    <s v="Eastbound"/>
    <s v="Moving Forward"/>
    <n v="31"/>
    <s v="Male"/>
    <s v="Apparently Normal"/>
    <s v="No Clear Contributing Action"/>
    <m/>
    <m/>
    <m/>
    <s v="Two-Way, Not Divided"/>
    <s v="Not Applicable"/>
    <n v="60"/>
    <s v="Straight"/>
    <s v="Level"/>
    <m/>
    <m/>
    <m/>
    <m/>
    <m/>
    <m/>
    <m/>
    <m/>
    <m/>
    <m/>
    <m/>
    <m/>
    <m/>
    <m/>
    <m/>
    <m/>
    <m/>
    <m/>
    <m/>
    <m/>
    <m/>
    <m/>
    <m/>
    <m/>
    <m/>
    <m/>
    <m/>
    <m/>
    <m/>
    <m/>
    <m/>
    <m/>
    <m/>
    <m/>
    <m/>
    <m/>
    <m/>
    <m/>
    <m/>
    <m/>
    <m/>
    <m/>
    <m/>
    <m/>
    <m/>
    <m/>
    <m/>
    <m/>
    <n v="414481.43849999999"/>
    <n v="5388634.5547000002"/>
    <n v="48.644925729999997"/>
    <n v="-94.160992579999998"/>
    <d v="2018-11-30T07:00:00"/>
    <s v="Accepted"/>
    <s v="Reportable"/>
    <s v="Koochiching County Sheriff"/>
    <s v="Sheriff"/>
    <s v="Unit # 1 was traveling eastbound on Hwy 11w when it struck a cow in the roadway. This was in the early morning hours and still dark out. All occupants reported to be wearing seatbelts and uninjured as a result of the crash. The vehicle's front end was damaged severely and had to be later towed from the scene. See ICR for more information."/>
  </r>
  <r>
    <n v="10977388"/>
    <s v="03-MNTH"/>
    <n v="11"/>
    <n v="155.18600000000001"/>
    <s v="Koochiching"/>
    <m/>
    <m/>
    <s v="D2-BEMIDJI"/>
    <s v="Virginia"/>
    <m/>
    <n v="14311196"/>
    <n v="141970188"/>
    <d v="2023-07-07T00:00:00"/>
    <n v="15"/>
    <x v="7"/>
    <s v="03-Tues"/>
    <n v="14"/>
    <m/>
    <x v="1"/>
    <n v="0"/>
    <n v="1"/>
    <s v="Other"/>
    <s v="Deer"/>
    <s v="On Roadway (including alley, driveway, etc.)"/>
    <s v="Not at Intersection or Interch"/>
    <s v="Daylight"/>
    <s v="Clear"/>
    <m/>
    <s v="Dry"/>
    <s v="NOT APPLICABLE"/>
    <s v="HIGHWAY 11"/>
    <s v="MILEPOST 155"/>
    <s v="0300000000000011-I"/>
    <s v="Single Vehicle Other"/>
    <s v="Motor Vehicle in Transport"/>
    <s v="Motorcycle"/>
    <s v="Westbound"/>
    <s v="Moving Forward"/>
    <n v="61"/>
    <s v="Male"/>
    <s v="Apparently Normal"/>
    <m/>
    <m/>
    <m/>
    <m/>
    <s v="2-LANES 1-ECH-WY"/>
    <s v="Not Applicable"/>
    <n v="55"/>
    <s v="Straight"/>
    <s v="Level"/>
    <m/>
    <m/>
    <m/>
    <m/>
    <m/>
    <m/>
    <m/>
    <m/>
    <m/>
    <m/>
    <m/>
    <m/>
    <m/>
    <m/>
    <m/>
    <m/>
    <m/>
    <m/>
    <m/>
    <m/>
    <m/>
    <m/>
    <m/>
    <m/>
    <m/>
    <m/>
    <m/>
    <m/>
    <m/>
    <m/>
    <m/>
    <m/>
    <m/>
    <m/>
    <m/>
    <m/>
    <m/>
    <m/>
    <m/>
    <m/>
    <m/>
    <m/>
    <m/>
    <m/>
    <m/>
    <m/>
    <m/>
    <m/>
    <n v="418187.04210000002"/>
    <n v="5386677.4250999996"/>
    <n v="48.62781837"/>
    <n v="-94.110309650000005"/>
    <d v="2014-07-15T14:21:00"/>
    <s v="Accepted"/>
    <s v="Reportable"/>
    <s v="Unknown"/>
    <s v="Unknown"/>
    <s v="Vehicle #1 was west bound on Highway 11 at milepost 155.2 when 2  deer ran out and were hit by vehicle #1 which was a  motorcycle.Motorcycle operator was thrown off upon impact and  received minor injuries."/>
  </r>
  <r>
    <n v="531683"/>
    <s v="03-MNTH"/>
    <n v="11"/>
    <n v="155.74700000000001"/>
    <s v="Koochiching"/>
    <m/>
    <m/>
    <s v="D2-BEMIDJI"/>
    <s v="Virginia"/>
    <m/>
    <n v="17311661"/>
    <n v="173560423"/>
    <d v="2023-12-12T00:00:00"/>
    <n v="22"/>
    <x v="0"/>
    <s v="06-Fri"/>
    <n v="19"/>
    <m/>
    <x v="0"/>
    <n v="0"/>
    <n v="1"/>
    <m/>
    <s v="Other Non-Collision"/>
    <s v="On Shoulder"/>
    <s v="Not at Intersection or Interch"/>
    <s v="Dark (No Str Lights)"/>
    <s v="Snow"/>
    <s v="Blowing Sand/Soil/Dirt/Snow"/>
    <s v="Snow"/>
    <s v="NOT APPLICABLE"/>
    <s v="HWY 11"/>
    <m/>
    <s v="0300000000000011-I"/>
    <s v="Single Vehicle Other"/>
    <s v="Motor Vehicle in Transport"/>
    <s v="Medium / Heavy Trucks (More than 10,000lbs)"/>
    <s v="Westbound"/>
    <s v="Moving Forward"/>
    <n v="54"/>
    <s v="Male"/>
    <s v="Asleep or Fatigued"/>
    <s v="Ran Off Road"/>
    <s v="Failed to Keep in Proper Lane"/>
    <m/>
    <m/>
    <s v="Two-Way, Not Divided"/>
    <s v="No Controls"/>
    <n v="60"/>
    <s v="Straight"/>
    <s v="Level"/>
    <m/>
    <m/>
    <m/>
    <m/>
    <m/>
    <m/>
    <m/>
    <m/>
    <m/>
    <m/>
    <m/>
    <m/>
    <m/>
    <m/>
    <m/>
    <m/>
    <m/>
    <m/>
    <m/>
    <m/>
    <m/>
    <m/>
    <m/>
    <m/>
    <m/>
    <m/>
    <m/>
    <m/>
    <m/>
    <m/>
    <m/>
    <m/>
    <m/>
    <m/>
    <m/>
    <m/>
    <m/>
    <m/>
    <m/>
    <m/>
    <m/>
    <m/>
    <m/>
    <m/>
    <m/>
    <m/>
    <m/>
    <m/>
    <n v="419071.20270000002"/>
    <n v="5386578.3004000001"/>
    <n v="48.627041830000003"/>
    <n v="-94.098293479999995"/>
    <d v="2017-12-22T19:33:00"/>
    <s v="Accepted"/>
    <s v="Reportable"/>
    <s v="MN State Patrol District 3100 - Virginia"/>
    <s v="State Patrol"/>
    <s v="Veh #1 WB on Hwy 11 just west of Birchdale. The roads where lightly covered in snow, with some slippery spots.  Veh #1 was in the south ditch facing WB. There were tracks from #1 crossing over both lanes of traffic and completely driving off the road to the left. I saw no signs of weaving or swerving or skidding. It appeared that #1 drove straight into the ditch without slowing down or making evasive  maneuvers there were no corrective actions taken before #1 left the road. When I arrived Driver #1 was sleeping in the sleeper birth. #1 seemed to not track well and was very tired. #1 struggled to gather the proper paperwork and seemed lethargic. Driver #1 said he lost control due to slippery roads and went into the ditch. SFST's given road side ,PBT .000. Roaches towed. Driver #1 cited with Fail to drive with Due care."/>
  </r>
  <r>
    <n v="10880541"/>
    <s v="03-MNTH"/>
    <n v="11"/>
    <n v="158.58699999999999"/>
    <s v="Koochiching"/>
    <m/>
    <m/>
    <s v="D2-BEMIDJI"/>
    <s v="Virginia"/>
    <m/>
    <n v="13310235"/>
    <n v="130460382"/>
    <d v="2023-02-02T00:00:00"/>
    <n v="9"/>
    <x v="2"/>
    <s v="07-Sat"/>
    <n v="22"/>
    <s v="East"/>
    <x v="0"/>
    <n v="0"/>
    <n v="1"/>
    <s v="RAN OFF RD-LEFT"/>
    <s v="Overturn/Rollover"/>
    <s v="On Roadway (including alley, driveway, etc.)"/>
    <s v="Not at Intersection or Interch"/>
    <s v="Dark (No Str Lights)"/>
    <s v="Cloudy"/>
    <m/>
    <s v="Ice/Frost"/>
    <s v="NOT APPLICABLE"/>
    <s v="11 HWY"/>
    <n v="85"/>
    <s v="0300000000000011-I"/>
    <s v="Single Vehicle Run Off Road"/>
    <s v="Motor Vehicle in Transport"/>
    <s v="Pickup"/>
    <s v="Eastbound"/>
    <s v="Unknown"/>
    <m/>
    <m/>
    <s v="Unknown"/>
    <m/>
    <m/>
    <s v="Unknown"/>
    <m/>
    <s v="2-LANES 1-ECH-WY"/>
    <s v="Not Applicable"/>
    <n v="55"/>
    <s v="Straight"/>
    <s v="Level"/>
    <m/>
    <m/>
    <m/>
    <m/>
    <m/>
    <m/>
    <m/>
    <m/>
    <m/>
    <m/>
    <m/>
    <m/>
    <m/>
    <m/>
    <m/>
    <m/>
    <m/>
    <m/>
    <m/>
    <m/>
    <m/>
    <m/>
    <m/>
    <m/>
    <m/>
    <m/>
    <m/>
    <m/>
    <m/>
    <m/>
    <m/>
    <m/>
    <m/>
    <m/>
    <m/>
    <m/>
    <m/>
    <m/>
    <m/>
    <m/>
    <m/>
    <m/>
    <m/>
    <m/>
    <m/>
    <m/>
    <m/>
    <m/>
    <n v="423641.69949999999"/>
    <n v="5386599.5538999997"/>
    <n v="48.627807730000001"/>
    <n v="-94.036282049999997"/>
    <d v="2013-02-09T22:59:00"/>
    <s v="Accepted"/>
    <s v="Reportable"/>
    <s v="Unknown"/>
    <s v="Unknown"/>
    <s v="V1 FOUND ON ITS SIDE ABANDONED IN THE NORTH DITCH OF HWY 11. DRIVER DID NOT SHOW OR CALL. NO OTHER INFO AVAILABLE"/>
  </r>
  <r>
    <n v="10977943"/>
    <s v="03-MNTH"/>
    <n v="11"/>
    <n v="159.04499999999999"/>
    <s v="Koochiching"/>
    <m/>
    <m/>
    <s v="D2-BEMIDJI"/>
    <s v="Virginia"/>
    <m/>
    <m/>
    <n v="142090045"/>
    <d v="2023-06-06T00:00:00"/>
    <n v="27"/>
    <x v="7"/>
    <s v="06-Fri"/>
    <n v="15"/>
    <m/>
    <x v="0"/>
    <n v="0"/>
    <n v="1"/>
    <s v="NOT APPLICABLE"/>
    <s v="Deer"/>
    <m/>
    <m/>
    <s v="Daylight"/>
    <s v="Cloudy"/>
    <m/>
    <s v="Dry"/>
    <s v="NOT APPLICABLE"/>
    <m/>
    <m/>
    <s v="0300000000000011-I"/>
    <s v="Single Vehicle Other"/>
    <s v="Motor Vehicle in Transport"/>
    <s v="Pickup"/>
    <s v="Eastbound"/>
    <s v="Moving Forward"/>
    <n v="30"/>
    <s v="Male"/>
    <m/>
    <m/>
    <m/>
    <m/>
    <m/>
    <m/>
    <s v="Not Applicable"/>
    <n v="55"/>
    <m/>
    <m/>
    <m/>
    <m/>
    <m/>
    <m/>
    <m/>
    <m/>
    <m/>
    <m/>
    <m/>
    <m/>
    <m/>
    <m/>
    <m/>
    <m/>
    <m/>
    <m/>
    <m/>
    <m/>
    <m/>
    <m/>
    <m/>
    <m/>
    <m/>
    <m/>
    <m/>
    <m/>
    <m/>
    <m/>
    <m/>
    <m/>
    <m/>
    <m/>
    <m/>
    <m/>
    <m/>
    <m/>
    <m/>
    <m/>
    <m/>
    <m/>
    <m/>
    <m/>
    <m/>
    <m/>
    <m/>
    <m/>
    <m/>
    <m/>
    <n v="424377.60989999998"/>
    <n v="5386640.6962000001"/>
    <n v="48.628267209999997"/>
    <n v="-94.026304039999999"/>
    <d v="2014-06-27T15:00:00"/>
    <s v="Accepted"/>
    <s v="Reportable"/>
    <s v="Unknown"/>
    <s v="Unknown"/>
    <m/>
  </r>
  <r>
    <n v="10994081"/>
    <s v="03-MNTH"/>
    <n v="11"/>
    <n v="163.61199999999999"/>
    <s v="Koochiching"/>
    <m/>
    <m/>
    <s v="D2-BEMIDJI"/>
    <s v="Virginia"/>
    <m/>
    <m/>
    <n v="143090061"/>
    <d v="2023-10-10T00:00:00"/>
    <n v="4"/>
    <x v="7"/>
    <s v="07-Sat"/>
    <n v="2"/>
    <m/>
    <x v="1"/>
    <n v="0"/>
    <n v="1"/>
    <s v="Other"/>
    <s v="Deer"/>
    <m/>
    <m/>
    <s v="Sunrise"/>
    <s v="Rain"/>
    <m/>
    <s v="Wet"/>
    <s v="NOT APPLICABLE"/>
    <m/>
    <m/>
    <s v="0300000000000011-I"/>
    <s v="Single Vehicle Other"/>
    <s v="Motor Vehicle in Transport"/>
    <s v="Pickup"/>
    <s v="Westbound"/>
    <s v="Moving Forward"/>
    <n v="50"/>
    <s v="Female"/>
    <m/>
    <m/>
    <m/>
    <m/>
    <m/>
    <m/>
    <m/>
    <n v="50"/>
    <m/>
    <m/>
    <m/>
    <m/>
    <m/>
    <m/>
    <m/>
    <m/>
    <m/>
    <m/>
    <m/>
    <m/>
    <m/>
    <m/>
    <m/>
    <m/>
    <m/>
    <m/>
    <m/>
    <m/>
    <m/>
    <m/>
    <m/>
    <m/>
    <m/>
    <m/>
    <m/>
    <m/>
    <m/>
    <m/>
    <m/>
    <m/>
    <m/>
    <m/>
    <m/>
    <m/>
    <m/>
    <m/>
    <m/>
    <m/>
    <m/>
    <m/>
    <m/>
    <m/>
    <m/>
    <m/>
    <m/>
    <m/>
    <m/>
    <m/>
    <n v="431654.24839999998"/>
    <n v="5386693.5586999999"/>
    <n v="48.629580300000001"/>
    <n v="-93.927573370000005"/>
    <d v="2014-10-04T02:05:00"/>
    <s v="Accepted"/>
    <s v="Reportable"/>
    <s v="Unknown"/>
    <s v="Unknown"/>
    <m/>
  </r>
  <r>
    <n v="418594"/>
    <s v="03-MNTH"/>
    <n v="11"/>
    <n v="164.524"/>
    <s v="Koochiching"/>
    <m/>
    <m/>
    <s v="D2-BEMIDJI"/>
    <s v="Virginia"/>
    <m/>
    <n v="17310212"/>
    <n v="170260089"/>
    <d v="2023-01-01T00:00:00"/>
    <n v="26"/>
    <x v="0"/>
    <s v="05-Thu"/>
    <n v="9"/>
    <s v="West"/>
    <x v="0"/>
    <n v="0"/>
    <n v="1"/>
    <m/>
    <s v="Standing Tree/Shrubbery"/>
    <s v="Other"/>
    <s v="Not at Intersection or Interch"/>
    <s v="Daylight"/>
    <s v="Clear"/>
    <m/>
    <s v="Dry"/>
    <s v="NOT APPLICABLE"/>
    <s v="HWY 11"/>
    <m/>
    <s v="0300000000000011-I"/>
    <s v="Single Vehicle Run Off Road"/>
    <s v="Motor Vehicle in Transport"/>
    <s v="Pickup"/>
    <s v="Westbound"/>
    <s v="Other"/>
    <n v="71"/>
    <s v="Male"/>
    <s v="Medical Issue (Ill, Sick or Fainted)"/>
    <s v="Ran Off Road"/>
    <m/>
    <m/>
    <m/>
    <s v="Two-Way, Not Divided"/>
    <s v="No Controls"/>
    <n v="60"/>
    <s v="Curve Left"/>
    <s v="Uphill"/>
    <m/>
    <m/>
    <m/>
    <m/>
    <m/>
    <m/>
    <m/>
    <m/>
    <m/>
    <m/>
    <m/>
    <m/>
    <m/>
    <m/>
    <m/>
    <m/>
    <m/>
    <m/>
    <m/>
    <m/>
    <m/>
    <m/>
    <m/>
    <m/>
    <m/>
    <m/>
    <m/>
    <m/>
    <m/>
    <m/>
    <m/>
    <m/>
    <m/>
    <m/>
    <m/>
    <m/>
    <m/>
    <m/>
    <m/>
    <m/>
    <m/>
    <m/>
    <m/>
    <m/>
    <m/>
    <m/>
    <m/>
    <m/>
    <n v="433091.91110000003"/>
    <n v="5386941.8825000003"/>
    <n v="48.631969460000001"/>
    <n v="-93.908104570000006"/>
    <d v="2017-01-26T09:13:00"/>
    <s v="Accepted"/>
    <s v="Reportable"/>
    <s v="MN State Patrol District 3100 - Virginia"/>
    <s v="State Patrol"/>
    <s v="DRIVER WAS SICK WITH A STOMACH BUG OPENED HIS DOOR TO THROW UP. VEHICLE WAS WEST BOUND ON HWY 11 NEAR MP 165. DRIVER WAS  GOING AROUND THE CORNER AND WENT ON TO THE SHOULDER WHERE HE GOT SUCKED INTO THE DEEP SNOW, RESULTING IN THE VEHICLE TO GO DOWN INTO THE DITCH, HITTING SOME SMALL  TREES WITH THE FRONT OF THE VEHICLE AND BECAME STUCK IN THE SNOW. DRIVER WAS GIVEN CASE NUMBER AND CRASH SHEET AT THE SCENE. NO CITATION WAS ISSUED. ROCHES TOWING RECOVERED THE VEH FROM THE DITCH AND IT WAS DRIVABLE."/>
  </r>
  <r>
    <n v="762832"/>
    <s v="03-MNTH"/>
    <n v="11"/>
    <n v="164.90899999999999"/>
    <s v="Koochiching"/>
    <m/>
    <m/>
    <s v="D2-BEMIDJI"/>
    <s v="Virginia"/>
    <m/>
    <n v="19311344"/>
    <n v="192990259"/>
    <d v="2023-10-10T00:00:00"/>
    <n v="26"/>
    <x v="3"/>
    <s v="07-Sat"/>
    <n v="15"/>
    <s v="East"/>
    <x v="0"/>
    <n v="0"/>
    <n v="1"/>
    <m/>
    <s v="Deer"/>
    <s v="On Roadway (including alley, driveway, etc.)"/>
    <s v="Not at Intersection or Interch"/>
    <s v="Daylight"/>
    <s v="Clear"/>
    <m/>
    <s v="Dry"/>
    <s v="NOT APPLICABLE"/>
    <s v="HWY 11"/>
    <m/>
    <s v="0300000000000011-I"/>
    <s v="Single Vehicle Other"/>
    <s v="Motor Vehicle in Transport"/>
    <s v="Passenger Car"/>
    <s v="Eastbound"/>
    <s v="Moving Forward"/>
    <n v="59"/>
    <s v="Female"/>
    <s v="Apparently Normal"/>
    <s v="No Clear Contributing Action"/>
    <m/>
    <m/>
    <m/>
    <s v="Two-Way, Not Divided"/>
    <s v="No Controls"/>
    <n v="60"/>
    <s v="Curve Right"/>
    <s v="Downhill"/>
    <m/>
    <m/>
    <m/>
    <m/>
    <m/>
    <m/>
    <m/>
    <m/>
    <m/>
    <m/>
    <m/>
    <m/>
    <m/>
    <m/>
    <m/>
    <m/>
    <m/>
    <m/>
    <m/>
    <m/>
    <m/>
    <m/>
    <m/>
    <m/>
    <m/>
    <m/>
    <m/>
    <m/>
    <m/>
    <m/>
    <m/>
    <m/>
    <m/>
    <m/>
    <m/>
    <m/>
    <m/>
    <m/>
    <m/>
    <m/>
    <m/>
    <m/>
    <m/>
    <m/>
    <m/>
    <m/>
    <m/>
    <m/>
    <n v="433689.25280000002"/>
    <n v="5386804.2216999996"/>
    <n v="48.630794819999998"/>
    <n v="-93.899976300000006"/>
    <d v="2019-10-26T15:27:00"/>
    <s v="Accepted"/>
    <s v="Reportable"/>
    <s v="MN State Patrol District 3100 - Virginia"/>
    <s v="State Patrol"/>
    <s v="Veh#1 was travling eastbound on State Highway 11 near Indus School.  Veh#1 collided with a deer that ran into the roadway.  Driver#1 stated she was an able to avoid the deer.  Veh#1 sustained heavy front end damage. Driver#1 was able to drive the vehicle to the body shop. _x000a__x000a_Driver#1 was reported to be wearing her seatbelt and alcohol was not a factor."/>
  </r>
  <r>
    <n v="10877425"/>
    <s v="03-MNTH"/>
    <n v="11"/>
    <n v="167.58199999999999"/>
    <s v="Koochiching"/>
    <m/>
    <m/>
    <s v="D2-BEMIDJI"/>
    <s v="Virginia"/>
    <m/>
    <n v="13310015"/>
    <n v="130080278"/>
    <d v="2023-01-01T00:00:00"/>
    <n v="2"/>
    <x v="2"/>
    <s v="04-Wed"/>
    <n v="12"/>
    <s v="West"/>
    <x v="4"/>
    <n v="0"/>
    <n v="4"/>
    <s v="REAR-END"/>
    <s v="Motor Vehicle In Transport"/>
    <s v="On Roadway (including alley, driveway, etc.)"/>
    <s v="Not at Intersection or Interch"/>
    <s v="Daylight"/>
    <s v="Snow"/>
    <s v="Blowing Sand/Soil/Dirt/Snow"/>
    <s v="Ice/Frost"/>
    <s v="NOT APPLICABLE"/>
    <s v="11 HWY"/>
    <n v="297"/>
    <s v="0300000000000011-I"/>
    <s v="Rear End"/>
    <s v="Motor Vehicle in Transport"/>
    <s v="Passenger Car"/>
    <s v="Eastbound"/>
    <s v="VEH STOPPED IN TRAFFIC"/>
    <n v="28"/>
    <s v="Female"/>
    <s v="Apparently Normal"/>
    <s v="IMP PKG/STR/STPG"/>
    <m/>
    <m/>
    <m/>
    <s v="2-LANES 1-ECH-WY"/>
    <s v="Not Applicable"/>
    <n v="55"/>
    <s v="Straight"/>
    <s v="Level"/>
    <s v="Motor Vehicle in Transport"/>
    <s v="SG UNT TR W TRLR"/>
    <s v="Eastbound"/>
    <s v="Slowing"/>
    <n v="65"/>
    <s v="Male"/>
    <s v="Apparently Normal"/>
    <s v="No Clear Contributing Action"/>
    <m/>
    <m/>
    <m/>
    <s v="2-LANES 1-ECH-WY"/>
    <s v="Not Applicable"/>
    <n v="55"/>
    <s v="Straight"/>
    <s v="Level"/>
    <s v="Motor Vehicle in Transport"/>
    <s v="SG UNT TR W TRLR"/>
    <s v="Eastbound"/>
    <s v="Moving Forward"/>
    <n v="64"/>
    <s v="Male"/>
    <s v="Apparently Normal"/>
    <s v="Failure to Obey Traffic Signs, Signals, Officer"/>
    <m/>
    <m/>
    <m/>
    <s v="2-LANES 1-ECH-WY"/>
    <s v="Not Applicable"/>
    <n v="55"/>
    <s v="Straight"/>
    <s v="Level"/>
    <s v="Motor Vehicle in Transport"/>
    <s v="Pickup"/>
    <s v="Westbound"/>
    <s v="Moving Forward"/>
    <n v="30"/>
    <s v="Male"/>
    <s v="Apparently Normal"/>
    <s v="No Clear Contributing Action"/>
    <m/>
    <m/>
    <m/>
    <s v="2-LANES 1-ECH-WY"/>
    <s v="Not Applicable"/>
    <n v="55"/>
    <s v="Straight"/>
    <s v="Level"/>
    <n v="437947.86660000001"/>
    <n v="5386342.0411"/>
    <n v="48.627074499999999"/>
    <n v="-93.84211603"/>
    <d v="2013-01-02T12:09:00"/>
    <s v="Accepted"/>
    <s v="Reportable"/>
    <s v="Unknown"/>
    <s v="Unknown"/>
    <s v="DRIVER OF VEH 1 HAD STOPPED ON THE EB SHOULDER TO TRY TO CATCH A  DOG. VEH 2 WAS TRAVELING EB AND WAS SLOWING BECAUSE VEH 1 WAS NOT ALL THE WAY OFF THE SHOULDER AND THERE WAS WB TRAFFIC COMING AT  HIM.  JUST BEFORE HE HAD STOPPED VEH 3 WHICH WAS ALSO TRAVELING  EB WAS UNABLE TO STOP FOR VEH 2 AND REAR ENDED IT.  AT THE POINT  OF IMPACT VEH 3 JACK KNIFED LEFT INTO THE WB LANE AND WAS STRUCK  BY VEH 4 WHICH WAS TRAVELING WB.  VEH 4 CAME TO REST IN THE NORTH DITCH.  VEH 2 WAS ABLE TO  MANEUVER AROUND VEH 1 AND CAME TO REST ON EB SHOULDER.  VEH 3 SLID FOR SEVERAL FEET AND CAME TO REST  BEHIND VEHICLE 1.  4 OCCUPANTS OF VEH 4 WERE TRANSPORTED TO FALLS HOSPITAL WITH INJURIES.  BOTH DRIVERS OF VEH 2 AND 3 WERE  TRANSPORTED TO FALLS HOSPITAL.  DRIVER OF VEH 1 NOT INJURED.   DRIVER OF VEHICLE 1 WILL BE CITED FOR NON-EMERGENCY STOP ON A  ROADWAY AND DRIVER OF VEH 3 WILL BE CITED FOR FOLLOWING TO CLOSE.  WEATHER CONDITIONS WERE BLOWING SNOW  WITH LOTS OF SNOW DUST  FROM VEHICLES.  THE ROAD SURFACE WAS ICY.  ROAD WAS STRAIGHT AND  LEVEL.  CRASH RECONSTRUCTION WAS COMPLETED BY SP340.  LR  PASSENGER OF VEH 4 WAS IN CRITICAL CONDITION."/>
  </r>
  <r>
    <n v="761169"/>
    <s v="03-MNTH"/>
    <n v="11"/>
    <n v="168.96899999999999"/>
    <s v="Koochiching"/>
    <m/>
    <m/>
    <s v="D2-BEMIDJI"/>
    <s v="Virginia"/>
    <m/>
    <n v="19311345"/>
    <n v="193120220"/>
    <d v="2023-11-11T00:00:00"/>
    <n v="8"/>
    <x v="3"/>
    <s v="06-Fri"/>
    <n v="18"/>
    <s v="West"/>
    <x v="0"/>
    <n v="0"/>
    <n v="1"/>
    <m/>
    <s v="Deer"/>
    <s v="On Roadway (including alley, driveway, etc.)"/>
    <s v="Not at Intersection or Interch"/>
    <s v="Dark (No Str Lights)"/>
    <s v="Snow"/>
    <s v="Cloudy"/>
    <s v="Snow"/>
    <s v="NOT APPLICABLE"/>
    <s v="HWY 11  S"/>
    <m/>
    <s v="0300000000000011-I"/>
    <s v="Single Vehicle Other"/>
    <s v="Motor Vehicle in Transport"/>
    <s v="Passenger Car"/>
    <s v="Westbound"/>
    <s v="Moving Forward"/>
    <n v="68"/>
    <s v="Male"/>
    <s v="Apparently Normal"/>
    <s v="No Clear Contributing Action"/>
    <m/>
    <m/>
    <m/>
    <s v="Two-Way, Not Divided"/>
    <s v="No Controls"/>
    <n v="60"/>
    <s v="Straight"/>
    <s v="Level"/>
    <m/>
    <m/>
    <m/>
    <m/>
    <m/>
    <m/>
    <m/>
    <m/>
    <m/>
    <m/>
    <m/>
    <m/>
    <m/>
    <m/>
    <m/>
    <m/>
    <m/>
    <m/>
    <m/>
    <m/>
    <m/>
    <m/>
    <m/>
    <m/>
    <m/>
    <m/>
    <m/>
    <m/>
    <m/>
    <m/>
    <m/>
    <m/>
    <m/>
    <m/>
    <m/>
    <m/>
    <m/>
    <m/>
    <m/>
    <m/>
    <m/>
    <m/>
    <m/>
    <m/>
    <m/>
    <m/>
    <m/>
    <m/>
    <n v="438978.91879999998"/>
    <n v="5384478.5664999997"/>
    <n v="48.610413479999998"/>
    <n v="-93.827851030000005"/>
    <d v="2019-11-08T18:10:00"/>
    <s v="Accepted"/>
    <s v="Reportable"/>
    <s v="MN State Patrol District 3100 - Virginia"/>
    <s v="State Patrol"/>
    <s v="Veh#1 traveling westbound on State Highway 11.  Veh#1 collided with a deer that ran out of the ditch.  Driver #1 stated that they didn't see the deer and struck it on the roadway.  _x000a__x000a_Driver was reported to be wearing a seatbelt and alcohol was not a factor. No citations will be issued out of this event."/>
  </r>
  <r>
    <n v="668557"/>
    <s v="03-MNTH"/>
    <n v="11"/>
    <n v="169.14"/>
    <s v="Koochiching"/>
    <m/>
    <m/>
    <s v="D2-BEMIDJI"/>
    <s v="Virginia"/>
    <m/>
    <n v="18311442"/>
    <n v="183430146"/>
    <d v="2023-12-12T00:00:00"/>
    <n v="9"/>
    <x v="8"/>
    <s v="01-Sun"/>
    <n v="12"/>
    <s v="West"/>
    <x v="4"/>
    <n v="0"/>
    <n v="1"/>
    <m/>
    <s v="Overturn/Rollover"/>
    <s v="On Roadway (including alley, driveway, etc.)"/>
    <s v="Not at Intersection or Interch"/>
    <s v="Daylight"/>
    <s v="Cloudy"/>
    <m/>
    <s v="Dry"/>
    <s v="NOT APPLICABLE"/>
    <s v="HWY 11  S"/>
    <m/>
    <s v="0300000000000011-I"/>
    <s v="Single Vehicle Run Off Road"/>
    <s v="Motor Vehicle in Transport"/>
    <s v="Pickup"/>
    <s v="Westbound"/>
    <s v="Moving Forward"/>
    <n v="29"/>
    <s v="Male"/>
    <s v="Apparently Normal"/>
    <s v="Failed to Keep in Proper Lane"/>
    <s v="Driver Speeding"/>
    <m/>
    <m/>
    <s v="Two-Way, Not Divided"/>
    <s v="No Controls"/>
    <n v="60"/>
    <s v="Straight"/>
    <s v="Level"/>
    <m/>
    <m/>
    <m/>
    <m/>
    <m/>
    <m/>
    <m/>
    <m/>
    <m/>
    <m/>
    <m/>
    <m/>
    <m/>
    <m/>
    <m/>
    <m/>
    <m/>
    <m/>
    <m/>
    <m/>
    <m/>
    <m/>
    <m/>
    <m/>
    <m/>
    <m/>
    <m/>
    <m/>
    <m/>
    <m/>
    <m/>
    <m/>
    <m/>
    <m/>
    <m/>
    <m/>
    <m/>
    <m/>
    <m/>
    <m/>
    <m/>
    <m/>
    <m/>
    <m/>
    <m/>
    <m/>
    <m/>
    <m/>
    <n v="439115.88"/>
    <n v="5384241.0626999997"/>
    <n v="48.608290410000002"/>
    <n v="-93.825958299999996"/>
    <d v="2018-12-09T12:12:00"/>
    <s v="Accepted"/>
    <s v="Reportable"/>
    <s v="MN State Patrol District 3100 - Virginia"/>
    <s v="State Patrol"/>
    <s v="VEH1 WAS TRAVELING WB HWY 11 AT APPROX MP 169. DRIVER STATED, HE WAS TALKING WITH HIS PASSENGER AND VEERED OFF THE ROAD. VEHICLE TRAVELED SEVERAL HUNDRED FEET AND COLLIDED WITH A CULVERT DITCH. THE VEHICLE BECAME AIR BORN AND FLIPPED OVER LANDING ON TOP PORTION (UPSIDE DOWN) OF VEHICLE. THE VEH1 SLID AND FLIPPED AGAIN LANDED ON ALL FOUR TIRES, WHERE IT SLID INTO THE TREES._x000a__x000a_DRIVER WAS NOT WEARING A SEATBELT AND HAD NO APPARENT INJURIES. PASSENGER WAS ALSO NOT WEARING A SEATBELT WAS THROWN AROUND VEHICLE WHERE SHE WAS LAYING IN-BETWEEN SEATS. DRIVER STATED, HE PULLED HER OUT OF VEHICLE ON DRIVERS SIDE. _x000a__x000a_PASSENGER WAS TRANSPORT BY AMBULANCE TO RAINY LAKE MEDICAL CENTER IN INTERNATIONAL FALLS, MN. THE PASSENGER WAS FLOWN TO ST MARYS IN DULUTH, MN. HER APPARENT INJURIES WHERE POSSIBLE SPINAL TRAUMA AND PARALYSIS IN LOWER EXTREMITIES. _x000a__x000a_STATEMENTS WERE TAKEN FROM DRIVER AND PASSENGER ON SCENE. THE DRIVER STATED HE WAS DISTRACTED FROM TALKING TO HIS PASSENGER AND VEERED OFF ROAD. THE SNOW AND ICE ON SHOULDER PULLED THEM INTO THE DITCH.  HE STATED THEY SLID AND COLLIDED WITH TREES. HE STATED HE WAS NOT WEARING HIS SEATBELT AND NEITHER WAS THE PASSENGER. DRIVER ALSO STATED HE WAS TRAVELING AT AROUND 70MPH IN A 60MPH ZONE.  _x000a__x000a_PASSENGER GAVE BRIEF STATEMENT STATED SHE WAS NOT WEARING HER SEATBELT AND THAT THEY JUST WENT OFF THE ROAD DUE TO THE SNOW AND ICE ON SHOULDER THAT PULLED THEM INTO THE DITCH. _x000a__x000a_PHOTOS AND VIDEO WERE TAKEN ON SCENE. THE SCENE WAS PAINTED IN PINK PAINT._x000a__x000a_ROCHES TOWING TOWED VEHICLE AND WAS PUT ON HOLD FOR FURTHER INVESTIGATION IF CRASH RECON IS NEEDED. _x000a__x000a_DOCUMENTS WILL BE SENT IN  THE MAIL TO DRIVER AND PASSENGER ONCE I CONCLUDE FOLLOW UP WITH THE DRIVER."/>
  </r>
  <r>
    <n v="10892274"/>
    <s v="03-MNTH"/>
    <n v="11"/>
    <n v="170.048"/>
    <s v="Koochiching"/>
    <m/>
    <m/>
    <s v="D2-BEMIDJI"/>
    <s v="Virginia"/>
    <m/>
    <n v="13310765"/>
    <n v="131650239"/>
    <d v="2023-06-06T00:00:00"/>
    <n v="6"/>
    <x v="2"/>
    <s v="05-Thu"/>
    <n v="7"/>
    <m/>
    <x v="3"/>
    <n v="0"/>
    <n v="1"/>
    <s v="RAN OFF RD-LEFT"/>
    <s v="Overturn/Rollover"/>
    <s v="On Roadway (including alley, driveway, etc.)"/>
    <s v="Not at Intersection or Interch"/>
    <s v="Dark (No Str Lights)"/>
    <s v="Clear"/>
    <m/>
    <s v="Dry"/>
    <s v="NOT APPLICABLE"/>
    <s v="11 HWY"/>
    <s v="MM 170"/>
    <s v="0300000000000011-I"/>
    <s v="Single Vehicle Run Off Road"/>
    <s v="Motor Vehicle in Transport"/>
    <s v="Sport Utility Vehicle"/>
    <s v="Eastbound"/>
    <s v="Moving Forward"/>
    <n v="20"/>
    <s v="Female"/>
    <s v="Apparently Normal"/>
    <s v="Over Correcting / Over Steering"/>
    <m/>
    <m/>
    <m/>
    <s v="2-LANES 1-ECH-WY"/>
    <s v="Not Applicable"/>
    <n v="55"/>
    <s v="CURVE (pre 2016)"/>
    <s v="Level"/>
    <m/>
    <m/>
    <m/>
    <m/>
    <m/>
    <m/>
    <m/>
    <m/>
    <m/>
    <m/>
    <m/>
    <m/>
    <m/>
    <m/>
    <m/>
    <m/>
    <m/>
    <m/>
    <m/>
    <m/>
    <m/>
    <m/>
    <m/>
    <m/>
    <m/>
    <m/>
    <m/>
    <m/>
    <m/>
    <m/>
    <m/>
    <m/>
    <m/>
    <m/>
    <m/>
    <m/>
    <m/>
    <m/>
    <m/>
    <m/>
    <m/>
    <m/>
    <m/>
    <m/>
    <m/>
    <m/>
    <m/>
    <m/>
    <n v="439444.70409999997"/>
    <n v="5382841.2324000001"/>
    <n v="48.59573039"/>
    <n v="-93.821293789999999"/>
    <d v="2013-06-06T07:33:00"/>
    <s v="Accepted"/>
    <s v="Reportable"/>
    <s v="Unknown"/>
    <s v="Unknown"/>
    <s v="VEH WAS EB IN HWY 11 NEAR MM 170.  DRIVER SWERVED TO AVOID DEER, OVERCORRECTED AND RAN OFF RIGHT SIDE OF ROAD.  VEH OVERTURNED AND CAME TO REST 10 FEET FROM THE RIVER.  PASSENGER WAS TAKEN TO HOSPITAL LATER.  BOTH WERE WEARING SEATBELTS. ROAD CONDITIONS WERE GOOD."/>
  </r>
  <r>
    <n v="774320"/>
    <s v="03-MNTH"/>
    <n v="11"/>
    <n v="170.697"/>
    <s v="Koochiching"/>
    <m/>
    <m/>
    <s v="D2-BEMIDJI"/>
    <s v="Virginia"/>
    <m/>
    <n v="19311578"/>
    <n v="193590072"/>
    <d v="2023-12-12T00:00:00"/>
    <n v="25"/>
    <x v="3"/>
    <s v="04-Wed"/>
    <n v="11"/>
    <s v="West"/>
    <x v="0"/>
    <n v="0"/>
    <n v="1"/>
    <m/>
    <s v="Mailboxes/Posts"/>
    <s v="On Roadway (including alley, driveway, etc.)"/>
    <s v="Driveway Access Related"/>
    <s v="Daylight"/>
    <s v="Cloudy"/>
    <s v="Sleet, Hail (Freezing Rain/Drizzle)"/>
    <s v="Ice/Frost"/>
    <s v="NOT APPLICABLE"/>
    <s v="HWY 11  S"/>
    <m/>
    <s v="0300000000000011-I"/>
    <s v="Single Vehicle Run Off Road"/>
    <s v="Motor Vehicle in Transport"/>
    <s v="Passenger Car"/>
    <s v="Westbound"/>
    <s v="Moving Forward"/>
    <n v="29"/>
    <s v="Female"/>
    <s v="Apparently Normal"/>
    <s v="Other Contributing Action"/>
    <m/>
    <m/>
    <m/>
    <s v="Two-Way, Not Divided"/>
    <s v="No Controls"/>
    <n v="60"/>
    <s v="Curve Left"/>
    <s v="Level"/>
    <m/>
    <m/>
    <m/>
    <m/>
    <m/>
    <m/>
    <m/>
    <m/>
    <m/>
    <m/>
    <m/>
    <m/>
    <m/>
    <m/>
    <m/>
    <m/>
    <m/>
    <m/>
    <m/>
    <m/>
    <m/>
    <m/>
    <m/>
    <m/>
    <m/>
    <m/>
    <m/>
    <m/>
    <m/>
    <m/>
    <m/>
    <m/>
    <m/>
    <m/>
    <m/>
    <m/>
    <m/>
    <m/>
    <m/>
    <m/>
    <m/>
    <m/>
    <m/>
    <m/>
    <m/>
    <m/>
    <m/>
    <m/>
    <n v="439722.57260000001"/>
    <n v="5381852.1410999997"/>
    <n v="48.586859990000001"/>
    <n v="-93.817382050000006"/>
    <d v="2019-12-25T11:24:00"/>
    <s v="Accepted"/>
    <s v="Reportable"/>
    <s v="MN State Patrol District 3100 - Virginia"/>
    <s v="State Patrol"/>
    <s v="Veh#1 was traveling westbound on State Highway 11 near address 2337 State Highway 11.  Driver #1 was driving too fast for conditions and lost control of her vehicle. Veh#1 crossed into the eastbound lane of travel before hitting an approach then into a mailbox.  Veh#1 collided with the ditch bottom before coming to a stop.  _x000a__x000a_Driver#1 was reported to be wearing her seatbelt and alcohol was not a factor. Passenger#1 was reported to be wearing a seatbelt and no injuries were reported. _x000a__x000a_Roaches Towing responded to the scene to tow the vehicle. _x000a__x000a_Roadway conditions were icy with misting rain._x000a__x000a_Driver was cited for Duty to Drive with Due Care."/>
  </r>
  <r>
    <n v="1117505"/>
    <s v="03-MNTH"/>
    <n v="11"/>
    <n v="170.96"/>
    <s v="Koochiching"/>
    <m/>
    <s v="Unorganized Territory of East Koochiching"/>
    <m/>
    <s v="Virginia"/>
    <m/>
    <n v="23310747"/>
    <n v="231810101"/>
    <d v="2023-06-06T00:00:00"/>
    <n v="30"/>
    <x v="6"/>
    <s v="06-Fri"/>
    <n v="7"/>
    <s v="Not Applicable"/>
    <x v="0"/>
    <n v="0"/>
    <n v="1"/>
    <m/>
    <s v="Fire/Explosion"/>
    <s v="On Roadway (including alley, driveway, etc.)"/>
    <s v="Not at Intersection or Interch"/>
    <s v="Daylight"/>
    <s v="Clear"/>
    <m/>
    <s v="Dry"/>
    <s v="NOT APPLICABLE"/>
    <s v="HWY 11  S"/>
    <m/>
    <s v="0300000000000011-I"/>
    <s v="Single Vehicle Other"/>
    <s v="Motor Vehicle in Transport"/>
    <s v="Medium / Heavy Trucks (More than 10,000lbs)"/>
    <s v="Westbound"/>
    <s v="Moving Forward"/>
    <n v="72"/>
    <s v="Male"/>
    <s v="Apparently Normal"/>
    <s v="No Clear Contributing Action"/>
    <m/>
    <m/>
    <m/>
    <s v="Two-Way, Not Divided"/>
    <s v="No Controls"/>
    <m/>
    <s v="Straight"/>
    <s v="Level"/>
    <m/>
    <m/>
    <m/>
    <m/>
    <m/>
    <m/>
    <m/>
    <m/>
    <m/>
    <m/>
    <m/>
    <m/>
    <m/>
    <m/>
    <m/>
    <m/>
    <m/>
    <m/>
    <m/>
    <m/>
    <m/>
    <m/>
    <m/>
    <m/>
    <m/>
    <m/>
    <m/>
    <m/>
    <m/>
    <m/>
    <m/>
    <m/>
    <m/>
    <m/>
    <m/>
    <m/>
    <m/>
    <m/>
    <m/>
    <m/>
    <m/>
    <m/>
    <m/>
    <m/>
    <m/>
    <m/>
    <m/>
    <m/>
    <n v="439704.52120904002"/>
    <n v="5381429.0999915302"/>
    <n v="48.583044409999999"/>
    <n v="-93.817556949999997"/>
    <d v="2023-06-30T07:10:00"/>
    <s v="Accepted"/>
    <s v="Reportable"/>
    <s v="MN State Patrol District 3100 - Virginia"/>
    <s v="State Patrol"/>
    <s v="On 06/30/2023 at approximately 07:10, unit #1 was traveling West on HWY 11 near mile post 171. Unit #1 was hauling a load of garbage. The garbage inside of the trailer began to smoke and caught fire. The driver of unit #1 noticed the smoke on the trailer. The driver pulled over on the west bound side of HWY 11 and disconnected the truck from the trailer. _x000a__x000a_No injures._x000a_No citations issued._x000a_Loman Fire Dept. and Koochiching County on scene._x000a_No air bags deployed._x000a_No tows._x000a_Damage to paint on the trailer. Mechanically, in good condition."/>
  </r>
  <r>
    <n v="1069676"/>
    <s v="03-MNTH"/>
    <n v="11"/>
    <n v="171.023"/>
    <s v="Koochiching"/>
    <m/>
    <m/>
    <s v="D2-BEMIDJI"/>
    <s v="Virginia"/>
    <m/>
    <n v="22311507"/>
    <n v="223550462"/>
    <d v="2023-12-12T00:00:00"/>
    <n v="21"/>
    <x v="9"/>
    <s v="04-Wed"/>
    <n v="15"/>
    <m/>
    <x v="0"/>
    <n v="0"/>
    <n v="2"/>
    <s v="Front to Rear"/>
    <s v="Motor Vehicle In Transport"/>
    <s v="On Roadway (including alley, driveway, etc.)"/>
    <s v="Not at Intersection or Interch"/>
    <s v="Daylight"/>
    <s v="Blowing Sand/Soil/Dirt/Snow"/>
    <s v="Snow"/>
    <s v="Snow"/>
    <s v="NOT APPLICABLE"/>
    <s v="HWY 11  S"/>
    <m/>
    <s v="0300000000000011-I"/>
    <s v="Rear End"/>
    <s v="Motor Vehicle in Transport"/>
    <s v="Medium / Heavy Trucks (More than 10,000lbs)"/>
    <s v="Eastbound"/>
    <s v="Moving Forward"/>
    <n v="20"/>
    <s v="Male"/>
    <s v="Apparently Normal"/>
    <s v="Following Too Closely"/>
    <s v="Swerved or Avoided Due to Wind"/>
    <m/>
    <m/>
    <s v="Two-Way, Not Divided"/>
    <s v="No Controls"/>
    <n v="60"/>
    <s v="Straight"/>
    <s v="Level"/>
    <s v="Motor Vehicle in Transport"/>
    <s v="Pickup"/>
    <s v="Eastbound"/>
    <s v="Slowing"/>
    <n v="48"/>
    <s v="Male"/>
    <s v="Apparently Normal"/>
    <s v="No Clear Contributing Action"/>
    <m/>
    <m/>
    <m/>
    <s v="Two-Way, Not Divided"/>
    <s v="No Controls"/>
    <n v="60"/>
    <s v="Straight"/>
    <s v="Level"/>
    <m/>
    <m/>
    <m/>
    <m/>
    <m/>
    <m/>
    <m/>
    <m/>
    <m/>
    <m/>
    <m/>
    <m/>
    <m/>
    <m/>
    <m/>
    <m/>
    <m/>
    <m/>
    <m/>
    <m/>
    <m/>
    <m/>
    <m/>
    <m/>
    <m/>
    <m/>
    <m/>
    <m/>
    <m/>
    <m/>
    <m/>
    <m/>
    <n v="439706.52679999999"/>
    <n v="5381327.4385000002"/>
    <n v="48.582138559999997"/>
    <n v="-93.817523489999999"/>
    <d v="2022-12-21T15:35:00"/>
    <s v="Accepted"/>
    <s v="Reportable"/>
    <s v="MN State Patrol District 3100 - Virginia"/>
    <s v="State Patrol"/>
    <s v="VEH1 WAS FOLLOWING VEH2. VEH2 SLOWED FOR SEMI IN FRONT OF THEM. VISIBILITY WAS BAD DUE TO POWDERY SNOW AND WIND. VEH1 WAS NOT ABLE TO SLOW OR STOP AND COLLIDED WITH VEH2 IN THE REAR. VEH2 WAS PULLING A TRAILER (ADVP054) WITH A 2023 POLARIS ASSAULT 850 (SN1TLC8R4PC247942). THE COLLISION BROKE THE TRAILER AND SENT THE SNOWMOBILE ROLLING DOWN THE ROAD. _x000a__x000a_COLLISION CAUSED DAMAGE TO FRONT END OF VEH1 (DISABLING). CAUSED REAR END DAMAGE TO VEH2. TRAILER AND SNOWMOBILE WERE TOTALED AND TOWED BY HOOK AND BOOK. VEH1 WAS TOWED BY ROCHES. _x000a__x000a_DRIVER1 WAS WEARING SEATBELT, NO DISTRACTION, NO INJURIES, AND NO AIRBAGS DEPLOYED. _x000a__x000a_DRIVER2 WAS WEARING SEATBELT, NO DISTRACTION, NO INJURIES AND NO AIRBAGS DEPLOYED. _x000a__x000a_PASSENGER OF VEH2 WAS WEARING SEATBELT, NO INJURIES AND NO AIRBAGS DEPLOYED. _x000a__x000a_STATEMENTS WERE TAKEN FROM ALL INVOLVED. ALL STATED THAT THE SEMI SLAMMED ON THE BRAKES, CAUSING VEH2 TO HIT BRAKES, WHICH CAUSED VEH1 TO HIT BRAKES, BUT COULDN'T STOP IN TIME AND COLLIDED. ALL STATED VISIBILITY WAS BAD DUE TO POWDERY SNOW AND WIND BLOWING._x000a__x000a_NO CITATIONS."/>
  </r>
  <r>
    <n v="10977640"/>
    <s v="03-MNTH"/>
    <n v="11"/>
    <n v="171.63800000000001"/>
    <s v="Koochiching"/>
    <m/>
    <m/>
    <s v="D2-BEMIDJI"/>
    <s v="Virginia"/>
    <m/>
    <n v="14311218"/>
    <n v="142020218"/>
    <d v="2023-07-07T00:00:00"/>
    <n v="18"/>
    <x v="7"/>
    <s v="06-Fri"/>
    <n v="16"/>
    <s v="North"/>
    <x v="0"/>
    <n v="0"/>
    <n v="1"/>
    <s v="Other"/>
    <s v="Deer"/>
    <s v="On Roadway (including alley, driveway, etc.)"/>
    <s v="Not at Intersection or Interch"/>
    <s v="Daylight"/>
    <s v="Clear"/>
    <s v="Cloudy"/>
    <s v="Dry"/>
    <s v="NOT APPLICABLE"/>
    <s v="11 HWY"/>
    <n v="171"/>
    <s v="0300000000000011-I"/>
    <s v="Single Vehicle Other"/>
    <s v="Motor Vehicle in Transport"/>
    <s v="Pickup"/>
    <s v="Northbound"/>
    <s v="Moving Forward"/>
    <n v="59"/>
    <s v="Male"/>
    <s v="Apparently Normal"/>
    <s v="No Clear Contributing Action"/>
    <m/>
    <m/>
    <m/>
    <s v="2-LANES 1-ECH-WY"/>
    <s v="Not Applicable"/>
    <n v="55"/>
    <s v="Straight"/>
    <s v="Level"/>
    <m/>
    <m/>
    <m/>
    <m/>
    <m/>
    <m/>
    <m/>
    <m/>
    <m/>
    <m/>
    <m/>
    <m/>
    <m/>
    <m/>
    <m/>
    <m/>
    <m/>
    <m/>
    <m/>
    <m/>
    <m/>
    <m/>
    <m/>
    <m/>
    <m/>
    <m/>
    <m/>
    <m/>
    <m/>
    <m/>
    <m/>
    <m/>
    <m/>
    <m/>
    <m/>
    <m/>
    <m/>
    <m/>
    <m/>
    <m/>
    <m/>
    <m/>
    <m/>
    <m/>
    <m/>
    <m/>
    <m/>
    <m/>
    <n v="439676.30119999999"/>
    <n v="5380339.0554"/>
    <n v="48.573244789999997"/>
    <n v="-93.817789840000003"/>
    <d v="2014-07-18T16:57:00"/>
    <s v="Accepted"/>
    <s v="Reportable"/>
    <s v="Unknown"/>
    <s v="Unknown"/>
    <s v="Vehicle #1 was WB Hwy 11 pulling a boat for a fishing trip in northern Minnesota._x000a__x000a_Deer came into the lane of traffic and vehicle #1 struck the deer on the front passenger side._x000a_Deer was dead on arrival._x000a__x000a_Vehicle was towed from the scene via Johnson`s Auto in Baudette._x000a__x000a_No airbags deployed AND Seatbelts worn._x000a__x000a_Boat pulled with WI registration WS 3901EZ_x000a__x000a_Driver given victim rights card; MN Crash Report, and a copy of the Crash Report Info Sheet."/>
  </r>
  <r>
    <n v="11047224"/>
    <s v="03-MNTH"/>
    <n v="11"/>
    <n v="171.738"/>
    <s v="Koochiching"/>
    <m/>
    <m/>
    <s v="D2-BEMIDJI"/>
    <s v="Virginia"/>
    <m/>
    <n v="15310379"/>
    <n v="150540221"/>
    <d v="2023-02-02T00:00:00"/>
    <n v="21"/>
    <x v="1"/>
    <s v="07-Sat"/>
    <n v="7"/>
    <m/>
    <x v="0"/>
    <n v="0"/>
    <n v="1"/>
    <s v="RAN OFF RD-RIGHT"/>
    <s v="Standing Tree/Shrubbery"/>
    <s v="Outside of Trafficway"/>
    <s v="Not at Intersection or Interch"/>
    <s v="Daylight"/>
    <s v="Cloudy"/>
    <m/>
    <s v="Ice/Frost"/>
    <s v="NOT APPLICABLE"/>
    <s v="11 HWY"/>
    <s v="UT 107"/>
    <s v="0300000000000011-I"/>
    <s v="Single Vehicle Run Off Road"/>
    <s v="Motor Vehicle in Transport"/>
    <s v="Passenger Car"/>
    <s v="Westbound"/>
    <s v="Moving Forward"/>
    <n v="59"/>
    <s v="Male"/>
    <s v="Medical Issue (Ill, Sick or Fainted)"/>
    <s v="OTH HMN CNTR FCT"/>
    <m/>
    <m/>
    <m/>
    <s v="2-LANES 1-ECH-WY"/>
    <s v="Not Applicable"/>
    <n v="55"/>
    <s v="Straight"/>
    <s v="Level"/>
    <m/>
    <m/>
    <m/>
    <m/>
    <m/>
    <m/>
    <m/>
    <m/>
    <m/>
    <m/>
    <m/>
    <m/>
    <m/>
    <m/>
    <m/>
    <m/>
    <m/>
    <m/>
    <m/>
    <m/>
    <m/>
    <m/>
    <m/>
    <m/>
    <m/>
    <m/>
    <m/>
    <m/>
    <m/>
    <m/>
    <m/>
    <m/>
    <m/>
    <m/>
    <m/>
    <m/>
    <m/>
    <m/>
    <m/>
    <m/>
    <m/>
    <m/>
    <m/>
    <m/>
    <m/>
    <m/>
    <m/>
    <m/>
    <n v="439671.38199999998"/>
    <n v="5380178.1957999999"/>
    <n v="48.571797320000002"/>
    <n v="-93.817833179999994"/>
    <d v="2015-02-21T07:09:00"/>
    <s v="Accepted"/>
    <s v="Reportable"/>
    <s v="Unknown"/>
    <s v="Unknown"/>
    <s v="Veh #1 wb on hwy 11. Driver drove in to ditch and side swiped tree. Driver had diabetic reaction had no memory of last 2 hours or how he got in the crash. Driver woke up in snow bank. Driver has serious medical issues. Driver eval sent. citation for careless and no proof of insurance."/>
  </r>
  <r>
    <n v="860770"/>
    <s v="03-MNTH"/>
    <n v="11"/>
    <n v="173.756"/>
    <s v="Koochiching"/>
    <m/>
    <m/>
    <s v="D2-BEMIDJI"/>
    <s v="Virginia"/>
    <m/>
    <n v="20000355"/>
    <n v="203070035"/>
    <d v="2023-11-11T00:00:00"/>
    <n v="2"/>
    <x v="5"/>
    <s v="02-Mon"/>
    <n v="6"/>
    <s v="Not Applicable"/>
    <x v="0"/>
    <n v="0"/>
    <n v="1"/>
    <m/>
    <s v="Other Animal - Alive at Time of Crash"/>
    <s v="On Roadway (including alley, driveway, etc.)"/>
    <s v="Not at Intersection or Interch"/>
    <s v="Dark (No Str Lights)"/>
    <s v="Clear"/>
    <m/>
    <s v="Ice/Frost"/>
    <s v="NOT APPLICABLE"/>
    <s v="HWY 11  S"/>
    <m/>
    <s v="0300000000000011-I"/>
    <s v="Single Vehicle Other"/>
    <s v="Motor Vehicle in Transport"/>
    <s v="Pickup"/>
    <s v="Westbound"/>
    <s v="Moving Forward"/>
    <n v="55"/>
    <s v="Male"/>
    <s v="Apparently Normal"/>
    <s v="No Clear Contributing Action"/>
    <m/>
    <m/>
    <m/>
    <s v="Two-Way, Not Divided"/>
    <s v="Not Applicable"/>
    <n v="60"/>
    <s v="Straight"/>
    <s v="Level"/>
    <m/>
    <m/>
    <m/>
    <m/>
    <m/>
    <m/>
    <m/>
    <m/>
    <m/>
    <m/>
    <m/>
    <m/>
    <m/>
    <m/>
    <m/>
    <m/>
    <m/>
    <m/>
    <m/>
    <m/>
    <m/>
    <m/>
    <m/>
    <m/>
    <m/>
    <m/>
    <m/>
    <m/>
    <m/>
    <m/>
    <m/>
    <m/>
    <m/>
    <m/>
    <m/>
    <m/>
    <m/>
    <m/>
    <m/>
    <m/>
    <m/>
    <m/>
    <m/>
    <m/>
    <m/>
    <m/>
    <m/>
    <m/>
    <n v="439595.04879999999"/>
    <n v="5376930.9846999999"/>
    <n v="48.542580030000003"/>
    <n v="-93.818396539999995"/>
    <d v="2020-11-02T06:18:00"/>
    <s v="Accepted"/>
    <s v="Reportable"/>
    <s v="Koochiching County Sheriff"/>
    <s v="Sheriff"/>
    <s v="The vehicle hit a horse while traveling west on Hwy 11W. No injuries reported by the driver (lone occupant). See ICR for more information."/>
  </r>
  <r>
    <n v="814604"/>
    <s v="03-MNTH"/>
    <n v="11"/>
    <n v="173.95099999999999"/>
    <s v="Koochiching"/>
    <m/>
    <m/>
    <s v="D2-BEMIDJI"/>
    <s v="Virginia"/>
    <m/>
    <s v="KO20000162"/>
    <n v="201660104"/>
    <d v="2023-06-06T00:00:00"/>
    <n v="14"/>
    <x v="5"/>
    <s v="01-Sun"/>
    <n v="17"/>
    <s v="East"/>
    <x v="4"/>
    <n v="0"/>
    <n v="1"/>
    <m/>
    <s v="Ditch"/>
    <s v="On Roadway (including alley, driveway, etc.)"/>
    <s v="Not at Intersection or Interch"/>
    <s v="Daylight"/>
    <s v="Clear"/>
    <m/>
    <s v="Dry"/>
    <s v="NOT APPLICABLE"/>
    <s v="HWY 11"/>
    <m/>
    <s v="0300000000000011-I"/>
    <s v="Single Vehicle Run Off Road"/>
    <s v="Motor Vehicle in Transport"/>
    <s v="Passenger Car"/>
    <s v="Eastbound"/>
    <s v="Moving Forward"/>
    <n v="32"/>
    <s v="Male"/>
    <s v="Has Been Drinking Alcohol"/>
    <s v="Operated Motor Vehicle: Careless/Negligent/Erratic"/>
    <s v="Over Correcting / Over Steering"/>
    <m/>
    <m/>
    <s v="Two-Way, Not Divided"/>
    <s v="No Controls"/>
    <n v="60"/>
    <s v="Curve Right"/>
    <s v="Level"/>
    <m/>
    <m/>
    <m/>
    <m/>
    <m/>
    <m/>
    <m/>
    <m/>
    <m/>
    <m/>
    <m/>
    <m/>
    <m/>
    <m/>
    <m/>
    <m/>
    <m/>
    <m/>
    <m/>
    <m/>
    <m/>
    <m/>
    <m/>
    <m/>
    <m/>
    <m/>
    <m/>
    <m/>
    <m/>
    <m/>
    <m/>
    <m/>
    <m/>
    <m/>
    <m/>
    <m/>
    <m/>
    <m/>
    <m/>
    <m/>
    <m/>
    <m/>
    <m/>
    <m/>
    <m/>
    <m/>
    <m/>
    <m/>
    <n v="439597.90360000002"/>
    <n v="5376616.8792000003"/>
    <n v="48.539754799999997"/>
    <n v="-93.818312320000004"/>
    <d v="2020-06-14T17:16:00"/>
    <s v="Accepted"/>
    <s v="Reportable"/>
    <s v="Koochiching County Sheriff"/>
    <s v="Sheriff"/>
    <s v="Called to a vehicle in the ditch on highway 11, west of Loman.  Marty was driving east bound on Hwy 11 and appeared to over correct and went into the ditch.  Marty then struck a few trees on the rear drivers side of the car.  A PBT was given to Marty which came back .25 BAC.  Marty was transported to Rainy Lake Medical Center and a blood draw was taken.  Marty was shipped out to Duluth with a preliminary report of a broken back."/>
  </r>
  <r>
    <n v="11054749"/>
    <s v="03-MNTH"/>
    <n v="11"/>
    <n v="175.81"/>
    <s v="Koochiching"/>
    <m/>
    <m/>
    <s v="D2-BEMIDJI"/>
    <s v="Virginia"/>
    <m/>
    <n v="15310707"/>
    <n v="151020124"/>
    <d v="2023-04-04T00:00:00"/>
    <n v="3"/>
    <x v="1"/>
    <s v="06-Fri"/>
    <n v="7"/>
    <m/>
    <x v="0"/>
    <n v="0"/>
    <n v="1"/>
    <s v="RAN OFF RD-RIGHT"/>
    <s v="Standing Tree/Shrubbery"/>
    <s v="Outside of Trafficway"/>
    <s v="Not at Intersection or Interch"/>
    <s v="Daylight"/>
    <s v="Snow"/>
    <m/>
    <s v="Snow"/>
    <s v="NOT APPLICABLE"/>
    <s v="11 HWY"/>
    <s v="UT 495"/>
    <s v="0300000000000011-I"/>
    <s v="Single Vehicle Run Off Road"/>
    <s v="Motor Vehicle in Transport"/>
    <s v="Passenger Car"/>
    <s v="Eastbound"/>
    <s v="Swerved or Attempt to Avoid Object in Roadway"/>
    <n v="44"/>
    <m/>
    <s v="Asleep or Fatigued"/>
    <s v="ILLEGAL/UNSAF SP"/>
    <s v="No Clear Contributing Action"/>
    <m/>
    <m/>
    <s v="2-LANES 1-ECH-WY"/>
    <s v="NO PASSING ZONE"/>
    <n v="30"/>
    <s v="CURVE (pre 2016)"/>
    <s v="GRADE (pre 2016)"/>
    <m/>
    <m/>
    <m/>
    <m/>
    <m/>
    <m/>
    <m/>
    <m/>
    <m/>
    <m/>
    <m/>
    <m/>
    <m/>
    <m/>
    <m/>
    <m/>
    <m/>
    <m/>
    <m/>
    <m/>
    <m/>
    <m/>
    <m/>
    <m/>
    <m/>
    <m/>
    <m/>
    <m/>
    <m/>
    <m/>
    <m/>
    <m/>
    <m/>
    <m/>
    <m/>
    <m/>
    <m/>
    <m/>
    <m/>
    <m/>
    <m/>
    <m/>
    <m/>
    <m/>
    <m/>
    <m/>
    <m/>
    <m/>
    <n v="440113.27490000002"/>
    <n v="5373843.2923999997"/>
    <n v="48.514854530000001"/>
    <n v="-93.810932539999996"/>
    <d v="2015-04-03T07:27:00"/>
    <s v="Accepted"/>
    <s v="Reportable"/>
    <s v="Unknown"/>
    <s v="Unknown"/>
    <s v="Veh #1 EB on hwy 11. #1 says she swerved to miss deer.  There  was light snow on the ground. #1 never reported the crash. It  looked like veh #1 was traveling too fast for the conditions and  lost control leaving the rd to the right. After #1 left the road  it spun 180 and hit a tree. #1 hit the tree with enough force to  spin it 180 again. The drivers seat collapsed upon impact.  # 1  refused medical, #1 said the crash happened around 2 or 3 am. Veh #1 was towed by Roaches out of I falls. #1 was cited for due  care , expired proof and no MN D/L after 60 days of resd. #1 also ran over a corner marker sign. Yellow tag."/>
  </r>
  <r>
    <n v="331790"/>
    <s v="03-MNTH"/>
    <n v="11"/>
    <n v="176.601"/>
    <s v="Koochiching"/>
    <m/>
    <m/>
    <s v="D2-BEMIDJI"/>
    <s v="Virginia"/>
    <m/>
    <n v="16310272"/>
    <n v="160500307"/>
    <d v="2023-02-02T00:00:00"/>
    <n v="19"/>
    <x v="10"/>
    <s v="06-Fri"/>
    <n v="7"/>
    <m/>
    <x v="3"/>
    <n v="0"/>
    <n v="1"/>
    <m/>
    <s v="Overturn/Rollover"/>
    <s v="On Roadside"/>
    <s v="Not at Intersection or Interch"/>
    <s v="Sunrise"/>
    <s v="Sleet, Hail (Freezing Rain/Drizzle)"/>
    <m/>
    <s v="Ice/Frost"/>
    <s v="NOT APPLICABLE"/>
    <s v="HWY 11"/>
    <m/>
    <s v="0300000000000011-I"/>
    <s v="Single Vehicle Run Off Road"/>
    <s v="Motor Vehicle in Transport"/>
    <s v="Passenger Car"/>
    <s v="Eastbound"/>
    <s v="Moving Forward"/>
    <n v="30"/>
    <s v="Male"/>
    <s v="Apparently Normal"/>
    <s v="Over Correcting / Over Steering"/>
    <m/>
    <m/>
    <m/>
    <s v="Two-Way, Not Divided"/>
    <s v="No Controls"/>
    <n v="60"/>
    <s v="Straight"/>
    <s v="Level"/>
    <m/>
    <m/>
    <m/>
    <m/>
    <m/>
    <m/>
    <m/>
    <m/>
    <m/>
    <m/>
    <m/>
    <m/>
    <m/>
    <m/>
    <m/>
    <m/>
    <m/>
    <m/>
    <m/>
    <m/>
    <m/>
    <m/>
    <m/>
    <m/>
    <m/>
    <m/>
    <m/>
    <m/>
    <m/>
    <m/>
    <m/>
    <m/>
    <m/>
    <m/>
    <m/>
    <m/>
    <m/>
    <m/>
    <m/>
    <m/>
    <m/>
    <m/>
    <m/>
    <m/>
    <m/>
    <m/>
    <m/>
    <m/>
    <n v="441304.11869999999"/>
    <n v="5373604.0592"/>
    <n v="48.51281496"/>
    <n v="-93.794775329999993"/>
    <d v="2016-02-19T07:15:00"/>
    <s v="Accepted"/>
    <s v="Reportable"/>
    <s v="MN State Patrol District 3100 - Virginia"/>
    <s v="State Patrol"/>
    <s v="ROADS ICY, EARLY MORNING SLEET/FREEZING RAIN._x000a__x000a_DRIVER WAS TRAVELING E/B ON HWY 11 HEADING TO WORK IN INTERNATIONAL FALLS. DRIVER STATED WAS DRIVING AROUND 60 MPH, ROAD WAS VERY ICY, BEGAN FISH-TAILING, OVER CORRECTED, WENT THROUGH W/B LANE INTO DITCH WHERE VEH ROLLED.._x000a__x000a_SPOKE WITH DRIVER OVER THE PHONE, LATER THAT MORNING._x000a__x000a_DRIVER REPORTED NO SERIOUS INJURIES, SAID HIS NECK WAS A LITTLE SORE/STIFF FROM THE ROLLOVER, BUT SAID HE WOULD CONTACT ME IF HE DECIDES TO GO TO THE HOSPITAL. CRASH OCCURRED AROUND 07:00 HOURS, I SPOKE WITH DRIVER VIA PHONE AROUND 09:00 HOURS.. I WAS NOT AT THE CRASH SCENE, BUT ROACHES TOWING TOOK PICTURES OF THE VEHICLE BEFORE THEY TOWED IT._x000a__x000a_DRIVER WAS MAILED CRASH REPORT."/>
  </r>
  <r>
    <n v="400197"/>
    <s v="03-MNTH"/>
    <n v="11"/>
    <n v="176.84"/>
    <s v="Koochiching"/>
    <m/>
    <m/>
    <s v="D2-BEMIDJI"/>
    <s v="Virginia"/>
    <m/>
    <n v="16311452"/>
    <n v="163390195"/>
    <d v="2023-12-12T00:00:00"/>
    <n v="4"/>
    <x v="10"/>
    <s v="01-Sun"/>
    <n v="16"/>
    <s v="East"/>
    <x v="0"/>
    <n v="0"/>
    <n v="1"/>
    <m/>
    <s v="Ditch"/>
    <s v="On Roadway (including alley, driveway, etc.)"/>
    <s v="Not at Intersection or Interch"/>
    <s v="Daylight"/>
    <s v="Snow"/>
    <m/>
    <s v="Snow"/>
    <s v="NOT APPLICABLE"/>
    <s v="HWY 11"/>
    <m/>
    <s v="0300000000000011-I"/>
    <s v="Single Vehicle Run Off Road"/>
    <s v="Motor Vehicle in Transport"/>
    <s v="Pickup"/>
    <s v="Eastbound"/>
    <s v="Moving Forward"/>
    <n v="56"/>
    <s v="Male"/>
    <s v="Apparently Normal"/>
    <s v="Other Contributing Action"/>
    <m/>
    <m/>
    <m/>
    <s v="Two-Way, Not Divided"/>
    <s v="No Controls"/>
    <n v="30"/>
    <s v="Straight"/>
    <s v="Level"/>
    <m/>
    <m/>
    <m/>
    <m/>
    <m/>
    <m/>
    <m/>
    <m/>
    <m/>
    <m/>
    <m/>
    <m/>
    <m/>
    <m/>
    <m/>
    <m/>
    <m/>
    <m/>
    <m/>
    <m/>
    <m/>
    <m/>
    <m/>
    <m/>
    <m/>
    <m/>
    <m/>
    <m/>
    <m/>
    <m/>
    <m/>
    <m/>
    <m/>
    <m/>
    <m/>
    <m/>
    <m/>
    <m/>
    <m/>
    <m/>
    <m/>
    <m/>
    <m/>
    <m/>
    <m/>
    <m/>
    <m/>
    <m/>
    <n v="441688.7121"/>
    <n v="5373582.0730999997"/>
    <n v="48.512653020000002"/>
    <n v="-93.78956522"/>
    <d v="2016-12-04T16:06:00"/>
    <s v="Accepted"/>
    <s v="Reportable"/>
    <s v="MN State Patrol District 3100 - Virginia"/>
    <s v="State Patrol"/>
    <s v="Driver of vehicle was east bound on Hwy 11 near Lomen MP 177. Driver accelerated while leaving the 30 mph zone and road was extremely icy and slippery. The vehicle lost traction and the rear end came around sending the vehicle across the center line and into the ditch on the north side of the road, striking a road sign and steep ditch resulting in the vehicle over turning and ending up on its roof.  No citations were issued and crash sheet was given to driver. Vehicle was towed by Roches towing."/>
  </r>
  <r>
    <n v="1026581"/>
    <s v="03-MNTH"/>
    <n v="11"/>
    <n v="176.93299999999999"/>
    <s v="Koochiching"/>
    <m/>
    <m/>
    <s v="D2-BEMIDJI"/>
    <s v="Virginia"/>
    <m/>
    <n v="22310704"/>
    <n v="221460194"/>
    <d v="2023-05-05T00:00:00"/>
    <n v="26"/>
    <x v="9"/>
    <s v="05-Thu"/>
    <n v="22"/>
    <m/>
    <x v="0"/>
    <n v="0"/>
    <n v="2"/>
    <s v="Front to Rear"/>
    <s v="Motor Vehicle In Transport"/>
    <s v="On Roadway (including alley, driveway, etc.)"/>
    <s v="Not at Intersection or Interch"/>
    <s v="Dark (No Str Lights)"/>
    <s v="Cloudy"/>
    <m/>
    <s v="Dry"/>
    <s v="NOT APPLICABLE"/>
    <s v="HWY 11"/>
    <m/>
    <s v="0300000000000011-I"/>
    <s v="Rear End"/>
    <s v="Motor Vehicle in Transport"/>
    <s v="Passenger Car"/>
    <s v="Westbound"/>
    <s v="Moving Forward"/>
    <n v="19"/>
    <s v="Male"/>
    <s v="Apparently Normal"/>
    <s v="Driver Speeding"/>
    <s v="Driver Distracted"/>
    <m/>
    <m/>
    <s v="Two-Way, Not Divided"/>
    <s v="No Controls"/>
    <n v="60"/>
    <s v="Straight"/>
    <s v="Level"/>
    <s v="Motor Vehicle in Transport"/>
    <s v="Pickup"/>
    <s v="Westbound"/>
    <s v="Moving Forward"/>
    <n v="21"/>
    <s v="Male"/>
    <s v="Apparently Normal"/>
    <s v="No Clear Contributing Action"/>
    <m/>
    <m/>
    <m/>
    <s v="Two-Way, Not Divided"/>
    <s v="No Controls"/>
    <n v="60"/>
    <s v="Straight"/>
    <s v="Level"/>
    <m/>
    <m/>
    <m/>
    <m/>
    <m/>
    <m/>
    <m/>
    <m/>
    <m/>
    <m/>
    <m/>
    <m/>
    <m/>
    <m/>
    <m/>
    <m/>
    <m/>
    <m/>
    <m/>
    <m/>
    <m/>
    <m/>
    <m/>
    <m/>
    <m/>
    <m/>
    <m/>
    <m/>
    <m/>
    <m/>
    <m/>
    <m/>
    <n v="441837.52590000001"/>
    <n v="5373575.4592000004"/>
    <n v="48.512607320000001"/>
    <n v="-93.787549499999997"/>
    <d v="2022-05-26T22:40:00"/>
    <s v="Accepted"/>
    <s v="Reportable"/>
    <s v="MN State Patrol District 3100 - Virginia"/>
    <s v="State Patrol"/>
    <s v="Veh #1 was WB on Hwy 11. Veh #2 was also WB on Hwy 11.  #2 was pulling a utility trailer with a skid loader on it ( the trailer has no registration, and the loader is a 80s vintage Case with no vin Info available.) Driver #1 is revoked, and admitted to speeding with cruse control set at 75 MPH. Driver #1 said he heard his phone ring went to pick it up and dropped it.  As he was looking for it, he ran into the rear of #2. Driver #2 said he was rear ended, no belt on. #2 said he rolled after being rear ended and forced off the road into the south ditch. The trailer and skid loader detached and the loader rolled over as well. Driver #1 was cited for careless driving and DAR. No injuries . Roaches towed #1 and assisted #2. #1 was tested for alcohol and SFST's, no impairment."/>
  </r>
  <r>
    <n v="10982137"/>
    <s v="03-MNTH"/>
    <n v="11"/>
    <n v="177.41900000000001"/>
    <s v="Koochiching"/>
    <m/>
    <m/>
    <s v="D2-BEMIDJI"/>
    <s v="Virginia"/>
    <m/>
    <n v="14311536"/>
    <n v="142390208"/>
    <d v="2023-08-08T00:00:00"/>
    <n v="26"/>
    <x v="7"/>
    <s v="03-Tues"/>
    <n v="15"/>
    <m/>
    <x v="3"/>
    <n v="0"/>
    <n v="2"/>
    <s v="REAR-END"/>
    <s v="Motor Vehicle In Transport"/>
    <s v="On Roadway (including alley, driveway, etc.)"/>
    <s v="Not at Intersection or Interch"/>
    <s v="Daylight"/>
    <s v="Clear"/>
    <m/>
    <s v="Dry"/>
    <n v="4"/>
    <s v="MNTH 11"/>
    <s v="CR 1"/>
    <s v="0300000000000011-I"/>
    <s v="Rear End"/>
    <s v="Motor Vehicle in Transport"/>
    <s v="Sport Utility Vehicle"/>
    <s v="Eastbound"/>
    <s v="Moving Forward"/>
    <n v="66"/>
    <s v="Male"/>
    <s v="Apparently Normal"/>
    <s v="Inattentive/Distraction (Talking, Eating)"/>
    <m/>
    <m/>
    <m/>
    <s v="2-LANES 1-ECH-WY"/>
    <s v="Person (Flagger, Police, etc.)"/>
    <n v="55"/>
    <s v="Straight"/>
    <s v="Level"/>
    <s v="Motor Vehicle in Transport"/>
    <s v="TRK TRAC W SEMI"/>
    <s v="Eastbound"/>
    <s v="Moving Forward"/>
    <n v="42"/>
    <s v="Male"/>
    <s v="Apparently Normal"/>
    <s v="No Clear Contributing Action"/>
    <m/>
    <m/>
    <m/>
    <s v="2-LANES 1-ECH-WY"/>
    <s v="Person (Flagger, Police, etc.)"/>
    <n v="55"/>
    <s v="Straight"/>
    <s v="Level"/>
    <m/>
    <m/>
    <m/>
    <m/>
    <m/>
    <m/>
    <m/>
    <m/>
    <m/>
    <m/>
    <m/>
    <m/>
    <m/>
    <m/>
    <m/>
    <m/>
    <m/>
    <m/>
    <m/>
    <m/>
    <m/>
    <m/>
    <m/>
    <m/>
    <m/>
    <m/>
    <m/>
    <m/>
    <m/>
    <m/>
    <m/>
    <m/>
    <n v="442619.87459999998"/>
    <n v="5373565.4491999997"/>
    <n v="48.512589259999999"/>
    <n v="-93.776955849999993"/>
    <d v="2014-08-26T15:21:00"/>
    <s v="Accepted"/>
    <s v="Reportable"/>
    <s v="Unknown"/>
    <s v="Unknown"/>
    <s v="Vehicle 2 was EB on MNTH 11 about 2 miles west of JCT with CR 1. Vehicle 2 was stopped in the EB lane of MNTH 11 for the flag worker who was displaying a stop sign. Vehicle 2 was the third or fourth vehicle in line. When the flag worker displayed the slow sign, vehicle 2 began EB and was rear ended by vehicle 1. The driver of vehicle 1 was eating a hamburger and obviously not paying attention to the slowed traffic ahead. Vehicle 1 left no visible skid marks and the driver of vehicle one did not remember applying any brakes. The driver of vehicle one sustained non life threatening injuries and was taken by ambulance to the Hospital in International Falls. CMV inspection was waived because the CMV was not at fault and a CVI was not available without an unreasonable delay. Driver of vehicle 1 was cited for inattentive driving. Vehicle 1 was towed to Roche`s."/>
  </r>
  <r>
    <n v="697296"/>
    <s v="03-MNTH"/>
    <n v="11"/>
    <n v="180.447"/>
    <s v="Koochiching"/>
    <m/>
    <m/>
    <s v="D2-BEMIDJI"/>
    <s v="Virginia"/>
    <m/>
    <n v="19310366"/>
    <n v="190690279"/>
    <d v="2023-03-03T00:00:00"/>
    <n v="10"/>
    <x v="3"/>
    <s v="01-Sun"/>
    <n v="15"/>
    <m/>
    <x v="0"/>
    <n v="0"/>
    <n v="1"/>
    <m/>
    <s v="Bridge Rail"/>
    <s v="On Roadway (including alley, driveway, etc.)"/>
    <s v="Not at Intersection or Interch"/>
    <s v="Daylight"/>
    <s v="Clear"/>
    <m/>
    <s v="Ice/Frost"/>
    <s v="NOT APPLICABLE"/>
    <s v="HWY 11"/>
    <m/>
    <s v="0300000000000011-I"/>
    <s v="Single Vehicle Run Off Road"/>
    <s v="Motor Vehicle in Transport"/>
    <s v="Pickup"/>
    <s v="Westbound"/>
    <s v="Moving Forward"/>
    <n v="64"/>
    <s v="Male"/>
    <s v="Apparently Normal"/>
    <s v="No Clear Contributing Action"/>
    <m/>
    <m/>
    <m/>
    <s v="Two-Way, Not Divided"/>
    <s v="No Controls"/>
    <n v="60"/>
    <s v="Straight"/>
    <s v="Level"/>
    <m/>
    <m/>
    <m/>
    <m/>
    <m/>
    <m/>
    <m/>
    <m/>
    <m/>
    <m/>
    <m/>
    <m/>
    <m/>
    <m/>
    <m/>
    <m/>
    <m/>
    <m/>
    <m/>
    <m/>
    <m/>
    <m/>
    <m/>
    <m/>
    <m/>
    <m/>
    <m/>
    <m/>
    <m/>
    <m/>
    <m/>
    <m/>
    <m/>
    <m/>
    <m/>
    <m/>
    <m/>
    <m/>
    <m/>
    <m/>
    <m/>
    <m/>
    <m/>
    <m/>
    <m/>
    <m/>
    <m/>
    <m/>
    <n v="447492.76370000001"/>
    <n v="5373509.8794999998"/>
    <n v="48.51251577"/>
    <n v="-93.710973719999998"/>
    <d v="2019-03-10T15:13:00"/>
    <s v="Accepted"/>
    <s v="Reportable"/>
    <s v="MN State Patrol District 3100 - Virginia"/>
    <s v="State Patrol"/>
    <s v="Veh #1 was WB on Hwy 11. The weather was clear and roads were wet and ice/ snow covered.  The bridge was very slippery. Driver #1 said there was a truck EB, he said it was  fishtailing all over making him swerve to avoid a crash, then he lost control at hit the bridge and spun into the ditch on the south side of Hwy 11. No citation, Roaches towed, no injury."/>
  </r>
  <r>
    <n v="11058323"/>
    <s v="03-MNTH"/>
    <n v="11"/>
    <n v="180.80699999999999"/>
    <s v="Koochiching"/>
    <m/>
    <m/>
    <s v="D2-BEMIDJI"/>
    <s v="Virginia"/>
    <m/>
    <n v="15311087"/>
    <n v="151590266"/>
    <d v="2023-05-05T00:00:00"/>
    <n v="30"/>
    <x v="1"/>
    <s v="07-Sat"/>
    <n v="6"/>
    <s v="West"/>
    <x v="0"/>
    <n v="0"/>
    <n v="1"/>
    <s v="RAN OFF RD-LEFT"/>
    <s v="LOSS/SPIL-NONHAZ"/>
    <s v="On Roadside"/>
    <s v="T Intersection"/>
    <s v="Daylight"/>
    <s v="Clear"/>
    <m/>
    <s v="Dry"/>
    <s v="NOT APPLICABLE"/>
    <s v="11 HWY"/>
    <n v="10"/>
    <s v="0300000000000011-I"/>
    <s v="Single Vehicle Run Off Road"/>
    <s v="Motor Vehicle in Transport"/>
    <s v="Pickup"/>
    <s v="Westbound"/>
    <s v="Moving Forward"/>
    <n v="68"/>
    <s v="Male"/>
    <s v="Apparently Normal"/>
    <s v="Inattentive/Distraction (Talking, Eating)"/>
    <s v="Over Correcting / Over Steering"/>
    <m/>
    <m/>
    <s v="2-LANES 1-ECH-WY"/>
    <s v="Not Applicable"/>
    <n v="55"/>
    <s v="CURVE (pre 2016)"/>
    <s v="Level"/>
    <m/>
    <m/>
    <m/>
    <m/>
    <m/>
    <m/>
    <m/>
    <m/>
    <m/>
    <m/>
    <m/>
    <m/>
    <m/>
    <m/>
    <m/>
    <m/>
    <m/>
    <m/>
    <m/>
    <m/>
    <m/>
    <m/>
    <m/>
    <m/>
    <m/>
    <m/>
    <m/>
    <m/>
    <m/>
    <m/>
    <m/>
    <m/>
    <m/>
    <m/>
    <m/>
    <m/>
    <m/>
    <m/>
    <m/>
    <m/>
    <m/>
    <m/>
    <m/>
    <m/>
    <m/>
    <m/>
    <m/>
    <m/>
    <n v="448070.45559999999"/>
    <n v="5373505.4195999997"/>
    <n v="48.512523690000002"/>
    <n v="-93.703151640000002"/>
    <d v="2015-05-30T06:20:00"/>
    <s v="Accepted"/>
    <s v="Reportable"/>
    <s v="Unknown"/>
    <s v="Unknown"/>
    <s v="VEH 1 WAS TRAVELING WB HWY 11 WHEN THE DRIVER ADMITTED THAT HE FELL ASLEEP, RAN OFF THE ROAD TO THE LAFT ACROSS 1 LANE OF TRAFFIC. DRIVER TRIED TO CORRECT AND WAS ABLE TO GET BACK INTO THE WB LANE AFTER GOING OFF THE ROAD COMPLETELY. THE DRIVER`S SIDE REAR TIRE WAS FLATTENED AND THE 16 FOOT BOAT THE VEH WAS HAULING CAME OFF THE TRAILER. THE BOAT FLIPPED AND CAME TO REST IN THE MIDDLE OF HWY 11. BOAT-IL1037JM. ROCHES WAS ABLE TO TAKE BOAT AND FREE THE SPARE TIRE FOR THE TRUCK. DRIVER WAS CITED FOR INATTENTIVE DRIVING."/>
  </r>
  <r>
    <n v="10965024"/>
    <s v="03-MNTH"/>
    <n v="11"/>
    <n v="180.91200000000001"/>
    <s v="Koochiching"/>
    <m/>
    <m/>
    <s v="D2-BEMIDJI"/>
    <s v="Virginia"/>
    <m/>
    <n v="14310324"/>
    <n v="140490453"/>
    <d v="2023-02-02T00:00:00"/>
    <n v="15"/>
    <x v="7"/>
    <s v="07-Sat"/>
    <n v="10"/>
    <s v="East"/>
    <x v="0"/>
    <n v="0"/>
    <n v="2"/>
    <s v="REAR-END"/>
    <s v="Motor Vehicle In Transport"/>
    <s v="On Roadway (including alley, driveway, etc.)"/>
    <s v="T Intersection"/>
    <s v="Daylight"/>
    <s v="Snow"/>
    <s v="Blowing Sand/Soil/Dirt/Snow"/>
    <s v="Ice/Frost"/>
    <s v="NOT APPLICABLE"/>
    <s v="HWY 11"/>
    <n v="10"/>
    <s v="0300000000000011-I"/>
    <s v="Rear End"/>
    <s v="Motor Vehicle in Transport"/>
    <s v="Pickup"/>
    <s v="Westbound"/>
    <s v="Moving Forward"/>
    <n v="56"/>
    <s v="Male"/>
    <s v="Apparently Normal"/>
    <s v="Inattentive/Distraction (Talking, Eating)"/>
    <m/>
    <m/>
    <m/>
    <s v="2-LANES 1-ECH-WY"/>
    <s v="Not Applicable"/>
    <n v="55"/>
    <s v="Straight"/>
    <s v="Level"/>
    <s v="Motor Vehicle in Transport"/>
    <s v="TRK TRAC W SEMI"/>
    <s v="Westbound"/>
    <s v="Turning Left"/>
    <n v="61"/>
    <s v="Male"/>
    <s v="Apparently Normal"/>
    <s v="No Clear Contributing Action"/>
    <m/>
    <m/>
    <m/>
    <s v="2-LANES 1-ECH-WY"/>
    <s v="Not Applicable"/>
    <n v="55"/>
    <s v="Straight"/>
    <s v="Level"/>
    <m/>
    <m/>
    <m/>
    <m/>
    <m/>
    <m/>
    <m/>
    <m/>
    <m/>
    <m/>
    <m/>
    <m/>
    <m/>
    <m/>
    <m/>
    <m/>
    <m/>
    <m/>
    <m/>
    <m/>
    <m/>
    <m/>
    <m/>
    <m/>
    <m/>
    <m/>
    <m/>
    <m/>
    <m/>
    <m/>
    <m/>
    <m/>
    <n v="448238.64569999999"/>
    <n v="5373521.6814999999"/>
    <n v="48.512683869999996"/>
    <n v="-93.700876480000005"/>
    <d v="2014-02-15T10:55:00"/>
    <s v="Accepted"/>
    <s v="Reportable"/>
    <s v="Unknown"/>
    <s v="Unknown"/>
    <s v="Driver # 2 making left turn onto CSAH # 10 when vehicle #1 struck the semi trailer in the rear. Weather was snowing and blowing at the time. The semi was also kicking up snow as it traveled westbound. Driver of # 1 saw the cloud of snow ahead of him, semi appeared as it slowed to make left turn. Vehicle # 1 unable to stop do to road conditions."/>
  </r>
  <r>
    <n v="1025306"/>
    <s v="03-MNTH"/>
    <n v="11"/>
    <n v="180.917"/>
    <s v="Koochiching"/>
    <m/>
    <m/>
    <s v="D2-BEMIDJI"/>
    <s v="Virginia"/>
    <m/>
    <s v="K022000196"/>
    <n v="221480066"/>
    <d v="2023-05-05T00:00:00"/>
    <n v="28"/>
    <x v="9"/>
    <s v="07-Sat"/>
    <n v="16"/>
    <m/>
    <x v="0"/>
    <n v="0"/>
    <n v="2"/>
    <s v="Angle"/>
    <s v="Motor Vehicle In Transport"/>
    <s v="On Roadway (including alley, driveway, etc.)"/>
    <s v="T Intersection"/>
    <s v="Daylight"/>
    <s v="Clear"/>
    <m/>
    <s v="Dry"/>
    <s v="NOT APPLICABLE"/>
    <s v="HWY 11"/>
    <m/>
    <s v="0300000000000011-I"/>
    <s v="Angle"/>
    <s v="Motor Vehicle in Transport"/>
    <s v="Pickup"/>
    <s v="Eastbound"/>
    <s v="Moving Forward"/>
    <n v="68"/>
    <s v="Male"/>
    <s v="Apparently Normal"/>
    <s v="Ran Stop Sign"/>
    <m/>
    <m/>
    <m/>
    <s v="Two-Way, Not Divided"/>
    <s v="Stop Sign"/>
    <n v="60"/>
    <s v="Straight"/>
    <s v="Level"/>
    <s v="Motor Vehicle in Transport"/>
    <s v="Pickup"/>
    <s v="Northbound"/>
    <s v="Moving Forward"/>
    <n v="41"/>
    <s v="Female"/>
    <s v="Apparently Normal"/>
    <s v="Ran Stop Sign"/>
    <m/>
    <m/>
    <m/>
    <s v="Two-Way, Not Divided"/>
    <s v="Stop Sign"/>
    <n v="50"/>
    <s v="Straight"/>
    <s v="Level"/>
    <m/>
    <m/>
    <m/>
    <m/>
    <m/>
    <m/>
    <m/>
    <m/>
    <m/>
    <m/>
    <m/>
    <m/>
    <m/>
    <m/>
    <m/>
    <m/>
    <m/>
    <m/>
    <m/>
    <m/>
    <m/>
    <m/>
    <m/>
    <m/>
    <m/>
    <m/>
    <m/>
    <m/>
    <m/>
    <m/>
    <m/>
    <m/>
    <n v="448247.44130000001"/>
    <n v="5373522.6595999999"/>
    <n v="48.512693390000003"/>
    <n v="-93.700757519999996"/>
    <d v="2022-05-28T16:25:00"/>
    <s v="Accepted"/>
    <s v="Reportable"/>
    <s v="Koochiching County Sheriff"/>
    <s v="Sheriff"/>
    <s v="Vehicle 1 was east bound on 11w. Vehicle 2 was north bound on CR 10.  Vehicle 2 had no brakes_x000a_and struck a trailer pulled by Vehicle 1.  The tow operator confirmed there were no brakes at_x000a_the scene.  No injuries."/>
  </r>
  <r>
    <n v="585148"/>
    <s v="03-MNTH"/>
    <n v="11"/>
    <n v="181.244"/>
    <s v="Koochiching"/>
    <m/>
    <m/>
    <s v="D2-BEMIDJI"/>
    <s v="Virginia"/>
    <m/>
    <n v="18310382"/>
    <n v="180810148"/>
    <d v="2023-03-03T00:00:00"/>
    <n v="22"/>
    <x v="8"/>
    <s v="05-Thu"/>
    <n v="8"/>
    <s v="East"/>
    <x v="1"/>
    <n v="0"/>
    <n v="1"/>
    <m/>
    <s v="Overturn/Rollover"/>
    <s v="On Roadway (including alley, driveway, etc.)"/>
    <s v="Not at Intersection or Interch"/>
    <s v="Daylight"/>
    <s v="Cloudy"/>
    <m/>
    <s v="Dry"/>
    <s v="NOT APPLICABLE"/>
    <s v="HWY 11"/>
    <m/>
    <s v="0300000000000011-I"/>
    <s v="Single Vehicle Run Off Road"/>
    <s v="Motor Vehicle in Transport"/>
    <s v="Passenger Car"/>
    <s v="Eastbound"/>
    <s v="Moving Forward"/>
    <n v="17"/>
    <s v="Female"/>
    <s v="Apparently Normal"/>
    <s v="Driver Distracted"/>
    <s v="Ran Off Road"/>
    <m/>
    <m/>
    <s v="Two-Way, Not Divided"/>
    <s v="No Controls"/>
    <n v="60"/>
    <s v="Straight"/>
    <s v="Level"/>
    <m/>
    <m/>
    <m/>
    <m/>
    <m/>
    <m/>
    <m/>
    <m/>
    <m/>
    <m/>
    <m/>
    <m/>
    <m/>
    <m/>
    <m/>
    <m/>
    <m/>
    <m/>
    <m/>
    <m/>
    <m/>
    <m/>
    <m/>
    <m/>
    <m/>
    <m/>
    <m/>
    <m/>
    <m/>
    <m/>
    <m/>
    <m/>
    <m/>
    <m/>
    <m/>
    <m/>
    <m/>
    <m/>
    <m/>
    <m/>
    <m/>
    <m/>
    <m/>
    <m/>
    <m/>
    <m/>
    <m/>
    <m/>
    <n v="448771.77389999997"/>
    <n v="5373567.2402999997"/>
    <n v="48.51313743"/>
    <n v="-93.693663880000003"/>
    <d v="2018-03-22T08:15:00"/>
    <s v="Accepted"/>
    <s v="Reportable"/>
    <s v="MN State Patrol District 3100 - Virginia"/>
    <s v="State Patrol"/>
    <s v="Veh #1 was EB on hwy 11, the weather was cloudy and dry. Veh #1 hit the EB shoulder over corrected crossed both lanes of traffic and rolled 1x. Driver #1 stated she was using her phone as a music device and looked down to adjust it and ran off the road. Driver #1 had minor cuts and neck pain. #1 was transported by ambulance to Int'l falls hospital. # 1 was cited for fail to use due care, using electronic device while driving, no D/L in possession , and expired proof of insurance. Wimmers was the tow."/>
  </r>
  <r>
    <n v="10970572"/>
    <s v="03-MNTH"/>
    <n v="11"/>
    <n v="182.96100000000001"/>
    <s v="Koochiching"/>
    <m/>
    <m/>
    <s v="D2-BEMIDJI"/>
    <s v="Virginia"/>
    <m/>
    <n v="14310350"/>
    <n v="140700315"/>
    <d v="2023-02-02T00:00:00"/>
    <n v="20"/>
    <x v="7"/>
    <s v="05-Thu"/>
    <n v="18"/>
    <m/>
    <x v="0"/>
    <n v="0"/>
    <n v="1"/>
    <s v="RAN OFF RD-LEFT"/>
    <s v="Overturn/Rollover"/>
    <s v="On Roadway (including alley, driveway, etc.)"/>
    <s v="Not at Intersection or Interch"/>
    <s v="Dark (No Str Lights)"/>
    <s v="Snow"/>
    <m/>
    <s v="Ice/Frost"/>
    <s v="NOT APPLICABLE"/>
    <s v="HWY 11"/>
    <n v="9"/>
    <s v="0300000000000011-I"/>
    <s v="Single Vehicle Run Off Road"/>
    <s v="Motor Vehicle in Transport"/>
    <s v="VAN OR MINIVAN"/>
    <s v="Westbound"/>
    <s v="Moving Forward"/>
    <n v="64"/>
    <s v="Female"/>
    <s v="Apparently Normal"/>
    <m/>
    <m/>
    <m/>
    <m/>
    <s v="2-LANES 1-ECH-WY"/>
    <s v="Not Applicable"/>
    <n v="55"/>
    <s v="Straight"/>
    <s v="Level"/>
    <m/>
    <m/>
    <m/>
    <m/>
    <m/>
    <m/>
    <m/>
    <m/>
    <m/>
    <m/>
    <m/>
    <m/>
    <m/>
    <m/>
    <m/>
    <m/>
    <m/>
    <m/>
    <m/>
    <m/>
    <m/>
    <m/>
    <m/>
    <m/>
    <m/>
    <m/>
    <m/>
    <m/>
    <m/>
    <m/>
    <m/>
    <m/>
    <m/>
    <m/>
    <m/>
    <m/>
    <m/>
    <m/>
    <m/>
    <m/>
    <m/>
    <m/>
    <m/>
    <m/>
    <m/>
    <m/>
    <m/>
    <m/>
    <n v="451522.43300000002"/>
    <n v="5373740.4740000004"/>
    <n v="48.5149142"/>
    <n v="-93.656441330000007"/>
    <d v="2014-02-20T18:45:00"/>
    <s v="Accepted"/>
    <s v="Reportable"/>
    <s v="Unknown"/>
    <s v="Unknown"/>
    <s v="Driver met semi, moved over and was pulled into the soft snow causing her to lose control, enter eastbond ditch and to roll over."/>
  </r>
  <r>
    <n v="1076687"/>
    <s v="03-MNTH"/>
    <n v="11"/>
    <n v="183.869"/>
    <s v="Koochiching"/>
    <m/>
    <m/>
    <s v="D2-BEMIDJI"/>
    <s v="Virginia"/>
    <m/>
    <n v="23310095"/>
    <n v="230190371"/>
    <d v="2023-01-01T00:00:00"/>
    <n v="19"/>
    <x v="6"/>
    <s v="05-Thu"/>
    <n v="9"/>
    <s v="Not Applicable"/>
    <x v="4"/>
    <n v="0"/>
    <n v="1"/>
    <m/>
    <s v="Overturn/Rollover"/>
    <s v="On Roadside"/>
    <s v="Not at Intersection or Interch"/>
    <s v="Daylight"/>
    <s v="Cloudy"/>
    <s v="Sleet, Hail (Freezing Rain/Drizzle)"/>
    <s v="Ice/Frost"/>
    <s v="NOT APPLICABLE"/>
    <s v="HWY 11"/>
    <m/>
    <s v="0300000000000011-I"/>
    <s v="Single Vehicle Run Off Road"/>
    <s v="Motor Vehicle in Transport"/>
    <s v="Sport Utility Vehicle"/>
    <s v="Eastbound"/>
    <s v="Moving Forward"/>
    <n v="75"/>
    <s v="Male"/>
    <s v="Apparently Normal"/>
    <s v="Ran Off Road"/>
    <s v="Failed to Keep in Proper Lane"/>
    <m/>
    <m/>
    <s v="Two-Way, Not Divided"/>
    <s v="No Controls"/>
    <n v="60"/>
    <s v="Straight"/>
    <s v="Level"/>
    <m/>
    <m/>
    <m/>
    <m/>
    <m/>
    <m/>
    <m/>
    <m/>
    <m/>
    <m/>
    <m/>
    <m/>
    <m/>
    <m/>
    <m/>
    <m/>
    <m/>
    <m/>
    <m/>
    <m/>
    <m/>
    <m/>
    <m/>
    <m/>
    <m/>
    <m/>
    <m/>
    <m/>
    <m/>
    <m/>
    <m/>
    <m/>
    <m/>
    <m/>
    <m/>
    <m/>
    <m/>
    <m/>
    <m/>
    <m/>
    <m/>
    <m/>
    <m/>
    <m/>
    <m/>
    <m/>
    <m/>
    <m/>
    <n v="452950.39240000001"/>
    <n v="5374030.3858000003"/>
    <n v="48.517630820000001"/>
    <n v="-93.637139349999998"/>
    <d v="2023-01-19T09:40:00"/>
    <s v="Accepted"/>
    <s v="Reportable"/>
    <s v="MN State Patrol District 3100 - Virginia"/>
    <s v="State Patrol"/>
    <s v="Veh #1 traveling EB on Hwy 11, roads were icy with light freezing rain.  Veh#1 lost control, left the road to the south and rolled 1x. Both occupants not belted. Driver estimated speed  at 45 mph.  Driver #1 had head injury, passenger had chest injury. Roaches towed.  Driver cited for no seatbelt."/>
  </r>
  <r>
    <n v="1026580"/>
    <s v="03-MNTH"/>
    <n v="11"/>
    <n v="184.71899999999999"/>
    <s v="Koochiching"/>
    <m/>
    <s v="Unorganized Territory of East Koochiching"/>
    <m/>
    <s v="Virginia"/>
    <m/>
    <n v="22310697"/>
    <n v="221430205"/>
    <d v="2023-05-05T00:00:00"/>
    <n v="23"/>
    <x v="9"/>
    <s v="02-Mon"/>
    <n v="18"/>
    <s v="Not Applicable"/>
    <x v="3"/>
    <n v="0"/>
    <n v="1"/>
    <m/>
    <s v="Overturn/Rollover"/>
    <s v="On Roadway (including alley, driveway, etc.)"/>
    <s v="Not at Intersection or Interch"/>
    <s v="Daylight"/>
    <s v="Clear"/>
    <m/>
    <s v="Dry"/>
    <s v="NOT APPLICABLE"/>
    <s v="HWY 11"/>
    <m/>
    <s v="0300000000000011-I"/>
    <s v="Single Vehicle Run Off Road"/>
    <s v="Motor Vehicle in Transport"/>
    <s v="Sport Utility Vehicle"/>
    <s v="Eastbound"/>
    <s v="Moving Forward"/>
    <n v="58"/>
    <s v="Male"/>
    <s v="Apparently Normal"/>
    <s v="Failed to Keep in Proper Lane"/>
    <s v="Ran Off Road"/>
    <m/>
    <m/>
    <s v="Two-Way, Not Divided"/>
    <s v="No Controls"/>
    <n v="60"/>
    <s v="Straight"/>
    <s v="Level"/>
    <m/>
    <m/>
    <m/>
    <m/>
    <m/>
    <m/>
    <m/>
    <m/>
    <m/>
    <m/>
    <m/>
    <m/>
    <m/>
    <m/>
    <m/>
    <m/>
    <m/>
    <m/>
    <m/>
    <m/>
    <m/>
    <m/>
    <m/>
    <m/>
    <m/>
    <m/>
    <m/>
    <m/>
    <m/>
    <m/>
    <m/>
    <m/>
    <m/>
    <m/>
    <m/>
    <m/>
    <m/>
    <m/>
    <m/>
    <m/>
    <m/>
    <m/>
    <m/>
    <m/>
    <m/>
    <m/>
    <m/>
    <m/>
    <n v="454309.55041909998"/>
    <n v="5374164.6854627002"/>
    <n v="48.518930900000001"/>
    <n v="-93.618741499999999"/>
    <d v="2022-05-23T18:08:00"/>
    <s v="Accepted"/>
    <s v="Reportable"/>
    <s v="MN State Patrol District 3100 - Virginia"/>
    <s v="State Patrol"/>
    <s v="Driver #1 was EB on Hwy 11. Driver number one stated he lost control and left the road and rolled due to the trailer swaying back and forth. #1 thought he blew a tire he was unsure what happened. Driver number one stated he was not tired and did not fall asleep.  Driver #1 did say he heard the rumble strips on the driver side before the crash. The witness a friend of driver #1 said she saw the trailer sway before the crash. The driver claimed to be going 55 MPH at the time of the crash. Driver #1 said he just got the truck and the trailer a short time before the crash, within the last two weeks. Roaches towed both units. Both driver and passenger went to hospital claiming injury.  Possible head, neck, and back pain for both.  Passenger also had abdomen pain. Falls ambulance transported. Driver number one will be cited for fail to maintain lane and no proof of insurance. There is some confusion as to who owns the truck, the driver said he just bought the truck for the salvation army, he thought they still had insurance on it. It is a fleet insurance. Driver #1 is on several medications for a variety of reasons, he claims to have been on them for several years and they do not affect his driving."/>
  </r>
  <r>
    <n v="741144"/>
    <s v="03-MNTH"/>
    <n v="11"/>
    <n v="184.96600000000001"/>
    <s v="Koochiching"/>
    <m/>
    <m/>
    <s v="D2-BEMIDJI"/>
    <s v="Virginia"/>
    <m/>
    <n v="19310937"/>
    <n v="192230161"/>
    <d v="2023-08-08T00:00:00"/>
    <n v="11"/>
    <x v="3"/>
    <s v="01-Sun"/>
    <n v="17"/>
    <s v="Not Applicable"/>
    <x v="1"/>
    <n v="0"/>
    <n v="2"/>
    <s v="Angle"/>
    <s v="Motor Vehicle In Transport"/>
    <s v="On Roadway (including alley, driveway, etc.)"/>
    <s v="Four-Way Intersection"/>
    <s v="Daylight"/>
    <s v="Clear"/>
    <m/>
    <s v="Dry"/>
    <s v="NOT APPLICABLE"/>
    <s v="HWY 11"/>
    <m/>
    <s v="0300000000000011-I"/>
    <s v="Angle"/>
    <s v="Motor Vehicle in Transport"/>
    <s v="Passenger Van (Seats Installed Behind Driver)"/>
    <s v="Northbound"/>
    <s v="Moving Forward"/>
    <n v="16"/>
    <s v="Male"/>
    <s v="Apparently Normal"/>
    <s v="Ran Stop Sign"/>
    <m/>
    <m/>
    <m/>
    <s v="Two-Way, Not Divided"/>
    <s v="Stop Sign"/>
    <n v="55"/>
    <s v="Straight"/>
    <s v="Level"/>
    <s v="Motor Vehicle in Transport"/>
    <s v="Sport Utility Vehicle"/>
    <s v="Westbound"/>
    <s v="Moving Forward"/>
    <n v="64"/>
    <s v="Male"/>
    <s v="Apparently Normal"/>
    <s v="No Clear Contributing Action"/>
    <m/>
    <m/>
    <m/>
    <s v="Two-Way, Not Divided"/>
    <s v="No Controls"/>
    <n v="60"/>
    <s v="Straight"/>
    <s v="Level"/>
    <m/>
    <m/>
    <m/>
    <m/>
    <m/>
    <m/>
    <m/>
    <m/>
    <m/>
    <m/>
    <m/>
    <m/>
    <m/>
    <m/>
    <m/>
    <m/>
    <m/>
    <m/>
    <m/>
    <m/>
    <m/>
    <m/>
    <m/>
    <m/>
    <m/>
    <m/>
    <m/>
    <m/>
    <m/>
    <m/>
    <m/>
    <m/>
    <n v="454707.64939999999"/>
    <n v="5374145.9698999999"/>
    <n v="48.51879984"/>
    <n v="-93.613357120000003"/>
    <d v="2019-08-11T17:52:00"/>
    <s v="Accepted"/>
    <s v="Reportable"/>
    <s v="MN State Patrol District 3100 - Virginia"/>
    <s v="State Patrol"/>
    <s v="Veh #1 was NB on CO RD 9 approaching Hwy 11. The weather was clear and dry.  Driver #1 said he was going about 50 MPH then he realized he had no brakes. Veh # 2 was WB on Hwy 11 and saw #1 approaching Hwy 11 at a high rate of speed. Driver #1 drove through the intersection at 50 MPH and was struck by Veh #2.  Veh #2 braked and swerved to avoid #1. Veh #2 hit #1 in the right  rear. Veh #1 left the road and hit the livestock fence on the corner. Veh #2 spun around and hit several mailboxes on the same corner of the  intersection on the north side of Hwy 11.  Driver #1 suffered a cut to the head. no injures reported in vehicle #2. Roche's towing of Int'l falls towed Veh #2.  Driver #1 cited for unsafe equipment and fail to stop for stop sign. Veh #1 had personal tow.  Driver #1 transported to hospital by ambulance."/>
  </r>
  <r>
    <n v="11045725"/>
    <s v="03-MNTH"/>
    <n v="11"/>
    <n v="185.45599999999999"/>
    <s v="Koochiching"/>
    <m/>
    <m/>
    <s v="D2-BEMIDJI"/>
    <s v="Virginia"/>
    <m/>
    <n v="15310182"/>
    <n v="150350421"/>
    <d v="2023-01-01T00:00:00"/>
    <n v="28"/>
    <x v="1"/>
    <s v="04-Wed"/>
    <n v="17"/>
    <m/>
    <x v="3"/>
    <n v="0"/>
    <n v="1"/>
    <s v="RAN OFF RD-RIGHT"/>
    <s v="EMBANKMT/DTCH/CB"/>
    <s v="On Shoulder"/>
    <s v="Not at Intersection or Interch"/>
    <s v="Daylight"/>
    <s v="Clear"/>
    <m/>
    <s v="Ice/Frost"/>
    <s v="NOT APPLICABLE"/>
    <s v="11 HWY"/>
    <n v="9"/>
    <s v="0300000000000011-I"/>
    <s v="Single Vehicle Run Off Road"/>
    <s v="Motor Vehicle in Transport"/>
    <s v="Pickup"/>
    <s v="Westbound"/>
    <s v="Moving Forward"/>
    <n v="48"/>
    <s v="Male"/>
    <s v="Apparently Normal"/>
    <s v="ILLEGAL/UNSAF SP"/>
    <m/>
    <m/>
    <m/>
    <s v="2-LANES 1-ECH-WY"/>
    <s v="Not Applicable"/>
    <n v="55"/>
    <s v="Straight"/>
    <s v="Level"/>
    <m/>
    <m/>
    <m/>
    <m/>
    <m/>
    <m/>
    <m/>
    <m/>
    <m/>
    <m/>
    <m/>
    <m/>
    <m/>
    <m/>
    <m/>
    <m/>
    <m/>
    <m/>
    <m/>
    <m/>
    <m/>
    <m/>
    <m/>
    <m/>
    <m/>
    <m/>
    <m/>
    <m/>
    <m/>
    <m/>
    <m/>
    <m/>
    <m/>
    <m/>
    <m/>
    <m/>
    <m/>
    <m/>
    <m/>
    <m/>
    <m/>
    <m/>
    <m/>
    <m/>
    <m/>
    <m/>
    <m/>
    <m/>
    <n v="455495.11540000001"/>
    <n v="5374158.6415999997"/>
    <n v="48.518970160000002"/>
    <n v="-93.602695229999995"/>
    <d v="2015-01-28T17:38:00"/>
    <s v="Accepted"/>
    <s v="Reportable"/>
    <s v="Unknown"/>
    <s v="Unknown"/>
    <s v="V1 WAS WB ON MNTH 11 APPROXIMATELY 1/2 OF A MILE EAST OF THE JCT WITH CR 9.  THE DRIVER OF V1 STATED THAT HE WAS TRAVELLING NORMAL HIGHWAY SPEEDS OF 55 OR HIGHER.  THE DRIVER STATED THAT THE BACK END OF V1 KICKED OUT AND THE DRIVER STATED THAT HE LOST CONTROL OF V1. V1 SPUN OUT AND RAN OFF THE RIGHT SIDE OF THE ROAD AND DOWN INTO THE DITCH.  V1 CONTINUED WB ON MNTH 11 RIGHT / NORTH DITCH UNTIL IT STRUCK AN EMBANKMENT / DRIVEWAY.  WHEN V1 STRUCK THE EMBANKMENT V1 ROLLED OVER. V1 WAS TOTALED. NO AIRBAGS DEPLOYED. THE DRIVER OF V1 SUSTAINED NON-LIFE THREATONING INJURIES INCLUDING SEVERAL FRACTURED BONES. THE DRIVER OF V1 WAS TRANSPORTED BY AMBULANCE TO RAINY LAKE MEDIAL CENTER IN INTERNATIONAL FALLS.  V1 WAS TOWED BY ROACHES TOWING._x000a_DRIVER CITED FOR SPEED TOO FAST FOR CONDITIONS / DUE CARE"/>
  </r>
  <r>
    <n v="10972232"/>
    <s v="03-MNTH"/>
    <n v="11"/>
    <n v="185.49100000000001"/>
    <s v="Koochiching"/>
    <m/>
    <m/>
    <s v="D2-BEMIDJI"/>
    <s v="Virginia"/>
    <m/>
    <m/>
    <n v="140990057"/>
    <d v="2023-03-03T00:00:00"/>
    <n v="8"/>
    <x v="7"/>
    <s v="07-Sat"/>
    <n v="11"/>
    <m/>
    <x v="0"/>
    <n v="0"/>
    <n v="1"/>
    <s v="RAN OFF RD-RIGHT"/>
    <s v="EMBANKMT/DTCH/CB"/>
    <m/>
    <m/>
    <s v="Daylight"/>
    <s v="Clear"/>
    <m/>
    <s v="Slush"/>
    <s v="NOT APPLICABLE"/>
    <m/>
    <m/>
    <s v="0300000000000011-I"/>
    <s v="Single Vehicle Run Off Road"/>
    <s v="Motor Vehicle in Transport"/>
    <s v="Pickup"/>
    <s v="Westbound"/>
    <s v="Moving Forward"/>
    <n v="19"/>
    <s v="Male"/>
    <m/>
    <m/>
    <m/>
    <m/>
    <m/>
    <m/>
    <s v="Not Applicable"/>
    <n v="55"/>
    <m/>
    <m/>
    <m/>
    <m/>
    <m/>
    <m/>
    <m/>
    <m/>
    <m/>
    <m/>
    <m/>
    <m/>
    <m/>
    <m/>
    <m/>
    <m/>
    <m/>
    <m/>
    <m/>
    <m/>
    <m/>
    <m/>
    <m/>
    <m/>
    <m/>
    <m/>
    <m/>
    <m/>
    <m/>
    <m/>
    <m/>
    <m/>
    <m/>
    <m/>
    <m/>
    <m/>
    <m/>
    <m/>
    <m/>
    <m/>
    <m/>
    <m/>
    <m/>
    <m/>
    <m/>
    <m/>
    <m/>
    <m/>
    <m/>
    <m/>
    <n v="455551.43520000001"/>
    <n v="5374159.5477999998"/>
    <n v="48.518982299999998"/>
    <n v="-93.601932689999998"/>
    <d v="2014-03-08T11:00:00"/>
    <s v="Accepted"/>
    <s v="Reportable"/>
    <s v="Unknown"/>
    <s v="Unknown"/>
    <m/>
  </r>
  <r>
    <n v="10897384"/>
    <s v="03-MNTH"/>
    <n v="11"/>
    <n v="185.86500000000001"/>
    <s v="Koochiching"/>
    <m/>
    <m/>
    <s v="D2-BEMIDJI"/>
    <s v="Virginia"/>
    <m/>
    <n v="13311231"/>
    <n v="132440167"/>
    <d v="2023-08-08T00:00:00"/>
    <n v="30"/>
    <x v="2"/>
    <s v="06-Fri"/>
    <n v="7"/>
    <m/>
    <x v="0"/>
    <n v="0"/>
    <n v="2"/>
    <s v="Angle"/>
    <s v="Motor Vehicle In Transport"/>
    <s v="On Roadway (including alley, driveway, etc.)"/>
    <s v="Not at Intersection or Interch"/>
    <s v="Daylight"/>
    <s v="Clear"/>
    <m/>
    <s v="Dry"/>
    <s v="NOT APPLICABLE"/>
    <s v="11 HWY"/>
    <s v="MM 186"/>
    <s v="0300000000000011-I"/>
    <s v="Angle"/>
    <s v="Motor Vehicle in Transport"/>
    <s v="Pickup"/>
    <s v="Southbound"/>
    <s v="Turning Left"/>
    <n v="62"/>
    <s v="Male"/>
    <s v="Apparently Normal"/>
    <s v="Failure to Yield Right-of-Way"/>
    <m/>
    <m/>
    <m/>
    <s v="2-LANES 1-ECH-WY"/>
    <s v="Not Applicable"/>
    <n v="55"/>
    <s v="Straight"/>
    <s v="Level"/>
    <s v="Motor Vehicle in Transport"/>
    <s v="2-AX 6-T SG TR/S"/>
    <s v="Eastbound"/>
    <s v="Moving Forward"/>
    <n v="29"/>
    <s v="Male"/>
    <s v="Apparently Normal"/>
    <s v="No Clear Contributing Action"/>
    <m/>
    <m/>
    <m/>
    <s v="2-LANES 1-ECH-WY"/>
    <s v="Not Applicable"/>
    <n v="55"/>
    <s v="Straight"/>
    <s v="Level"/>
    <m/>
    <m/>
    <m/>
    <m/>
    <m/>
    <m/>
    <m/>
    <m/>
    <m/>
    <m/>
    <m/>
    <m/>
    <m/>
    <m/>
    <m/>
    <m/>
    <m/>
    <m/>
    <m/>
    <m/>
    <m/>
    <m/>
    <m/>
    <m/>
    <m/>
    <m/>
    <m/>
    <m/>
    <m/>
    <m/>
    <m/>
    <m/>
    <n v="456145.46639999998"/>
    <n v="5374236.1448999997"/>
    <n v="48.51971314"/>
    <n v="-93.593896799999996"/>
    <d v="2013-08-30T07:00:00"/>
    <s v="Accepted"/>
    <s v="Reportable"/>
    <s v="Unknown"/>
    <s v="Unknown"/>
    <s v="VEH #2 WAS EASTBOUND ON HWY 11 NEAR MM 186.  VEH #1 PULLED OUT OF A DRIVEWAY ABOUT 300 FT WEST OF MM 186 MAKING A LEFT TURN AND RAN INTO THE LEFT REAR TIRES OF VEH #2.  VEH #2 ONLY HAS SCRATCHES TO THE RIM.  VEH #1 HAD DAMAGE TO THE FRONT.  VEH #1 FAILED TO YIELD RIGHT OF WAY AND WAS CITED.  NO INJURIES.   THERE WAS SOME FOG IN THE AREA THIS MORNING BUT WHEN I ARRIVED THERE WAS NO FOG AT THE SCENE OF THE ACCIDENT."/>
  </r>
  <r>
    <n v="1080430"/>
    <s v="03-MNTH"/>
    <n v="11"/>
    <n v="185.87299999999999"/>
    <s v="Koochiching"/>
    <m/>
    <m/>
    <s v="D2-BEMIDJI"/>
    <s v="Virginia"/>
    <m/>
    <n v="23310176"/>
    <n v="230390154"/>
    <d v="2023-02-02T00:00:00"/>
    <n v="8"/>
    <x v="6"/>
    <s v="04-Wed"/>
    <n v="16"/>
    <s v="Not Applicable"/>
    <x v="0"/>
    <n v="0"/>
    <n v="1"/>
    <m/>
    <s v="Mailboxes/Posts"/>
    <s v="On Shoulder"/>
    <s v="Not at Intersection or Interch"/>
    <s v="Daylight"/>
    <s v="Clear"/>
    <m/>
    <s v="Dry"/>
    <s v="NOT APPLICABLE"/>
    <s v="HWY 11"/>
    <m/>
    <s v="0300000000000011-I"/>
    <s v="Single Vehicle Run Off Road"/>
    <s v="Motor Vehicle in Transport"/>
    <s v="Pickup"/>
    <s v="Eastbound"/>
    <s v="Moving Forward"/>
    <n v="49"/>
    <s v="Male"/>
    <s v="Apparently Normal"/>
    <s v="Swerved or Avoided Due to Wind"/>
    <m/>
    <m/>
    <m/>
    <s v="Two-Way, Not Divided"/>
    <s v="No Controls"/>
    <n v="60"/>
    <s v="Straight"/>
    <s v="Level"/>
    <m/>
    <m/>
    <m/>
    <m/>
    <m/>
    <m/>
    <m/>
    <m/>
    <m/>
    <m/>
    <m/>
    <m/>
    <m/>
    <m/>
    <m/>
    <m/>
    <m/>
    <m/>
    <m/>
    <m/>
    <m/>
    <m/>
    <m/>
    <m/>
    <m/>
    <m/>
    <m/>
    <m/>
    <m/>
    <m/>
    <m/>
    <m/>
    <m/>
    <m/>
    <m/>
    <m/>
    <m/>
    <m/>
    <m/>
    <m/>
    <m/>
    <m/>
    <m/>
    <m/>
    <m/>
    <m/>
    <m/>
    <m/>
    <n v="456158.22529999999"/>
    <n v="5374240.2740000002"/>
    <n v="48.519751169999999"/>
    <n v="-93.593724460000004"/>
    <d v="2023-02-08T16:30:00"/>
    <s v="Accepted"/>
    <s v="Reportable"/>
    <s v="MN State Patrol District 3100 - Virginia"/>
    <s v="State Patrol"/>
    <s v="On 02/08/2022 at approximately 16:30, unit #1 was traveling East on HWY 11 approximately one mile before the intersection of HWY 71 and HWY 11. The driver of unit #1 stated that a deer jumped into the lane of traffic causing him to swerve to avoid collision. Unit #1 swerved left into the West bound lane of traffic and onto the West bound shoulder striking a mail box. The collision caused damage to the driver's side head light and fender of unit #1.  The driver of unit #1 stopped and put the mail box back on its stand. _x000a__x000a_The driver of unit #1 provided a description of the mail box. The driver stated it was painted green and appeared to be a John Deer mail box. _x000a_I searched for the mail box in order to find the property owner. I was unsuccessful in locating the mail box. _x000a_If the property owner calls and reports the broken mail box, the crash report will be updated._x000a_The driver is willing to pay for the damages._x000a__x000a_No injuries._x000a_No tow._x000a_No citation issued."/>
  </r>
  <r>
    <n v="1059338"/>
    <s v="03-MNTH"/>
    <n v="11"/>
    <n v="186.22200000000001"/>
    <s v="Koochiching"/>
    <m/>
    <m/>
    <s v="D2-BEMIDJI"/>
    <s v="Virginia"/>
    <m/>
    <n v="22311268"/>
    <n v="223100158"/>
    <d v="2023-11-11T00:00:00"/>
    <n v="6"/>
    <x v="9"/>
    <s v="01-Sun"/>
    <n v="20"/>
    <m/>
    <x v="0"/>
    <n v="0"/>
    <n v="1"/>
    <m/>
    <s v="Bridge Rail"/>
    <s v="On Roadway (including alley, driveway, etc.)"/>
    <s v="Not at Intersection or Interch"/>
    <s v="Dark (No Str Lights)"/>
    <s v="Cloudy"/>
    <m/>
    <s v="Ice/Frost"/>
    <s v="NOT APPLICABLE"/>
    <s v="HWY 11"/>
    <m/>
    <s v="0300000000000011-I"/>
    <s v="Single Vehicle Run Off Road"/>
    <s v="Motor Vehicle in Transport"/>
    <s v="Passenger Van (Seats Installed Behind Driver)"/>
    <s v="Westbound"/>
    <s v="Moving Forward"/>
    <n v="31"/>
    <s v="Male"/>
    <s v="Apparently Normal"/>
    <s v="Over Correcting / Over Steering"/>
    <s v="Failed to Keep in Proper Lane"/>
    <m/>
    <m/>
    <s v="Two-Way, Not Divided"/>
    <s v="No Controls"/>
    <n v="60"/>
    <s v="Straight"/>
    <s v="Level"/>
    <m/>
    <m/>
    <m/>
    <m/>
    <m/>
    <m/>
    <m/>
    <m/>
    <m/>
    <m/>
    <m/>
    <m/>
    <m/>
    <m/>
    <m/>
    <m/>
    <m/>
    <m/>
    <m/>
    <m/>
    <m/>
    <m/>
    <m/>
    <m/>
    <m/>
    <m/>
    <m/>
    <m/>
    <m/>
    <m/>
    <m/>
    <m/>
    <m/>
    <m/>
    <m/>
    <m/>
    <m/>
    <m/>
    <m/>
    <m/>
    <m/>
    <m/>
    <m/>
    <m/>
    <m/>
    <m/>
    <m/>
    <m/>
    <n v="456693.84269999998"/>
    <n v="5374404.9478000002"/>
    <n v="48.521269740000001"/>
    <n v="-93.586488500000002"/>
    <d v="2022-11-06T20:22:00"/>
    <s v="Accepted"/>
    <s v="Reportable"/>
    <s v="MN State Patrol District 3100 - Virginia"/>
    <s v="State Patrol"/>
    <s v="Veh # 1 was WB on Hwy 11, pulling small homemade trailer. Veh#1 hit ice on the bridge, lost control and hit the bridge. No damage to the bridge.  Veh #1 had minor damage all over and so did trailer. No tows, no injury, no citations."/>
  </r>
  <r>
    <n v="11060423"/>
    <s v="04-CSAH"/>
    <n v="1"/>
    <n v="0"/>
    <s v="Koochiching"/>
    <m/>
    <m/>
    <s v="D2-BEMIDJI"/>
    <s v="Virginia"/>
    <m/>
    <n v="15807024"/>
    <n v="151900162"/>
    <d v="2023-07-07T00:00:00"/>
    <n v="8"/>
    <x v="1"/>
    <s v="04-Wed"/>
    <n v="22"/>
    <s v="North"/>
    <x v="0"/>
    <n v="0"/>
    <n v="1"/>
    <s v="RAN OFF RD-RIGHT"/>
    <s v="Standing Tree/Shrubbery"/>
    <s v="Outside of Trafficway"/>
    <s v="T Intersection"/>
    <s v="Sunset"/>
    <s v="Clear"/>
    <s v="Clear"/>
    <s v="Dry"/>
    <s v="NOT APPLICABLE"/>
    <s v="Co Rd 1"/>
    <s v="Hwy 11"/>
    <s v="0400006594810001-I"/>
    <s v="Single Vehicle Run Off Road"/>
    <s v="Motor Vehicle in Transport"/>
    <s v="Pickup"/>
    <s v="Northbound"/>
    <s v="Moving Forward"/>
    <n v="22"/>
    <s v="Male"/>
    <s v="Unknown"/>
    <s v="Inattentive/Distraction (Talking, Eating)"/>
    <s v="Following Too Closely"/>
    <m/>
    <m/>
    <s v="2-LANES 1-ECH-WY"/>
    <s v="THRU/STOP"/>
    <n v="55"/>
    <s v="Straight"/>
    <s v="Level"/>
    <m/>
    <m/>
    <m/>
    <m/>
    <m/>
    <m/>
    <m/>
    <m/>
    <m/>
    <m/>
    <m/>
    <m/>
    <m/>
    <m/>
    <m/>
    <m/>
    <m/>
    <m/>
    <m/>
    <m/>
    <m/>
    <m/>
    <m/>
    <m/>
    <m/>
    <m/>
    <m/>
    <m/>
    <m/>
    <m/>
    <m/>
    <m/>
    <m/>
    <m/>
    <m/>
    <m/>
    <m/>
    <m/>
    <m/>
    <m/>
    <m/>
    <m/>
    <m/>
    <m/>
    <m/>
    <m/>
    <m/>
    <m/>
    <n v="445841.37599999999"/>
    <n v="5373540.5"/>
    <n v="48.512650960000002"/>
    <n v="-93.733336159999993"/>
    <d v="2015-07-08T22:00:00"/>
    <s v="Accepted"/>
    <s v="Reportable"/>
    <s v="Unknown"/>
    <s v="Unknown"/>
    <s v="The vehicle was traveling north on Co Rd 1 when it crossed Hwy 11W without stopping at the marked intersection. The vehicle then traveled through the ditch and into the woods 50-75 yards before coming to a stop. No injuries were reported by the driver the following day when the accident was reported by a passing motorist. Moderate damage to the vehicle was sustained on all sides."/>
  </r>
  <r>
    <n v="783816"/>
    <s v="07-CR"/>
    <n v="82"/>
    <n v="2.9430000000000001"/>
    <s v="Koochiching"/>
    <m/>
    <m/>
    <s v="D2-BEMIDJI"/>
    <s v="Virginia"/>
    <m/>
    <n v="20310095"/>
    <n v="200160364"/>
    <d v="2023-01-01T00:00:00"/>
    <n v="16"/>
    <x v="5"/>
    <s v="05-Thu"/>
    <n v="10"/>
    <s v="Not Applicable"/>
    <x v="0"/>
    <n v="0"/>
    <n v="2"/>
    <s v="Angle"/>
    <s v="Motor Vehicle In Transport"/>
    <s v="On Roadway (including alley, driveway, etc.)"/>
    <s v="Four-Way Intersection"/>
    <s v="Daylight"/>
    <s v="Clear"/>
    <m/>
    <s v="Snow"/>
    <s v="NOT APPLICABLE"/>
    <s v="COUNTY RD 82"/>
    <m/>
    <s v="0700006594810082-I"/>
    <s v="Angle"/>
    <s v="Motor Vehicle in Transport"/>
    <s v="Pickup"/>
    <s v="Eastbound"/>
    <s v="Turning Right"/>
    <n v="65"/>
    <s v="Male"/>
    <s v="Apparently Normal"/>
    <s v="Other Contributing Action"/>
    <m/>
    <m/>
    <m/>
    <s v="Two-Way, Not Divided"/>
    <s v="Stop Sign"/>
    <n v="55"/>
    <s v="Straight"/>
    <s v="Level"/>
    <s v="Motor Vehicle in Transport"/>
    <s v="Pickup"/>
    <s v="Eastbound"/>
    <s v="Moving Forward"/>
    <n v="50"/>
    <s v="Male"/>
    <s v="Apparently Normal"/>
    <s v="No Clear Contributing Action"/>
    <m/>
    <m/>
    <m/>
    <s v="Two-Way, Not Divided"/>
    <s v="No Controls"/>
    <n v="60"/>
    <s v="Straight"/>
    <s v="Level"/>
    <m/>
    <m/>
    <m/>
    <m/>
    <m/>
    <m/>
    <m/>
    <m/>
    <m/>
    <m/>
    <m/>
    <m/>
    <m/>
    <m/>
    <m/>
    <m/>
    <m/>
    <m/>
    <m/>
    <m/>
    <m/>
    <m/>
    <m/>
    <m/>
    <m/>
    <m/>
    <m/>
    <m/>
    <m/>
    <m/>
    <m/>
    <m/>
    <n v="439435.74440000003"/>
    <n v="5375218.7369999997"/>
    <n v="48.527162279999999"/>
    <n v="-93.820305750000003"/>
    <d v="2020-01-16T10:19:00"/>
    <s v="Accepted"/>
    <s v="Reportable"/>
    <s v="MN State Patrol District 3100 - Virginia"/>
    <s v="State Patrol"/>
    <s v="Veh#2 was traveling eastbound on State Highway 11 near the intersection with Koochiching County Rd 82 near Loman.  Veh#1 was traveling northbound on Koochiching County 82 to the intersection with State Highway 11.  Veh#1 failed to yield to Veh#2 colliding with the passenger rear door of Veh#2, causing damage to the passenger rear door and box area.  _x000a__x000a_Driver#1 of Veh#1 stated that he didn't see Veh#2 and started turning right onto State Highway 11.  Driver #2 of Veh#2 said that he was traveling eastbound on State Highway 11 near the intersection of Koochiching County 82 when he observed Veh#1 fail to stop at the intersection.  Driver#2 said that he vered into the westbound lane to try and avoid the collision.  Driver#2 said that Veh#1 collided with the passenger rear door.  _x000a__x000a_Driver#1 was reported to be wearing her seatbelt and alcohol was not a factor.  Driver #2 was reported to be wearing his seatbelt and alcohol was not a factor.  No party was injured in the collision.  _x000a__x000a_Driver #1 is being issued a citation for Failure to yield to oncoming traffic. _x000a__x000a_Minor damage was caused in the collision to both vehicles."/>
  </r>
  <r>
    <n v="684684"/>
    <s v="09-UTWN"/>
    <n v="397"/>
    <n v="7.0000000000000001E-3"/>
    <s v="Koochiching"/>
    <m/>
    <m/>
    <s v="D2-BEMIDJI"/>
    <s v="Virginia"/>
    <m/>
    <s v="KO19000049"/>
    <n v="190380238"/>
    <d v="2023-02-02T00:00:00"/>
    <n v="7"/>
    <x v="3"/>
    <s v="05-Thu"/>
    <n v="10"/>
    <m/>
    <x v="0"/>
    <n v="0"/>
    <n v="2"/>
    <s v="Other"/>
    <s v="Motor Vehicle In Transport"/>
    <s v="On Roadway (including alley, driveway, etc.)"/>
    <s v="Y Intersection"/>
    <s v="Daylight"/>
    <s v="Snow"/>
    <m/>
    <s v="Snow"/>
    <s v="NOT APPLICABLE"/>
    <n v="397"/>
    <m/>
    <s v="0900006594810397-I"/>
    <s v="Other"/>
    <s v="Motor Vehicle in Transport"/>
    <s v="Pickup"/>
    <s v="Eastbound"/>
    <s v="Moving Forward"/>
    <n v="17"/>
    <s v="Male"/>
    <s v="Apparently Normal"/>
    <s v="No Clear Contributing Action"/>
    <m/>
    <m/>
    <m/>
    <s v="Two-Way, Not Divided"/>
    <s v="No Controls"/>
    <n v="30"/>
    <s v="Curve Left"/>
    <s v="Level"/>
    <s v="Motor Vehicle in Transport"/>
    <s v="Medium / Heavy Trucks (More than 10,000lbs)"/>
    <s v="Northbound"/>
    <s v="Backing"/>
    <n v="45"/>
    <s v="Male"/>
    <s v="Apparently Normal"/>
    <s v="Other Contributing Action"/>
    <m/>
    <m/>
    <m/>
    <s v="Two-Way, Not Divided"/>
    <s v="No Controls"/>
    <n v="30"/>
    <s v="Straight"/>
    <s v="Level"/>
    <m/>
    <m/>
    <m/>
    <m/>
    <m/>
    <m/>
    <m/>
    <m/>
    <m/>
    <m/>
    <m/>
    <m/>
    <m/>
    <m/>
    <m/>
    <m/>
    <m/>
    <m/>
    <m/>
    <m/>
    <m/>
    <m/>
    <m/>
    <m/>
    <m/>
    <m/>
    <m/>
    <m/>
    <m/>
    <m/>
    <m/>
    <m/>
    <n v="456913.21019999997"/>
    <n v="5374577.3146000002"/>
    <n v="48.522835430000001"/>
    <n v="-93.583535650000002"/>
    <d v="2019-02-07T10:34:00"/>
    <s v="Accepted"/>
    <s v="Reportable"/>
    <s v="Koochiching County Sheriff"/>
    <s v="Sheriff"/>
    <s v="Jeremy while backing up northbound on TR 207 with the Kooch County snow plow with the wing partially down and Trevor coming eastbound on UT 391 collided, collided causing damage to the front end of Trevor's vehicl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4C72946-DDB2-4C1B-95AD-978EEBFE6BC0}"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5:B18" firstHeaderRow="1" firstDataRow="1" firstDataCol="1" rowPageCount="1" colPageCount="1"/>
  <pivotFields count="107">
    <pivotField showAll="0"/>
    <pivotField showAll="0"/>
    <pivotField showAll="0"/>
    <pivotField showAll="0"/>
    <pivotField showAll="0"/>
    <pivotField showAll="0"/>
    <pivotField showAll="0"/>
    <pivotField showAll="0"/>
    <pivotField showAll="0"/>
    <pivotField showAll="0"/>
    <pivotField showAll="0"/>
    <pivotField showAll="0"/>
    <pivotField numFmtId="16" showAll="0"/>
    <pivotField showAll="0"/>
    <pivotField axis="axisPage" multipleItemSelectionAllowed="1" showAll="0">
      <items count="10">
        <item h="1" x="0"/>
        <item h="1" x="1"/>
        <item h="1" x="7"/>
        <item h="1" x="2"/>
        <item x="4"/>
        <item x="3"/>
        <item x="8"/>
        <item x="6"/>
        <item h="1" x="5"/>
        <item t="default"/>
      </items>
    </pivotField>
    <pivotField showAll="0"/>
    <pivotField showAll="0"/>
    <pivotField showAll="0"/>
    <pivotField axis="axisRow" dataField="1" showAll="0">
      <items count="5">
        <item x="3"/>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s>
  <rowFields count="1">
    <field x="18"/>
  </rowFields>
  <rowItems count="3">
    <i>
      <x v="2"/>
    </i>
    <i>
      <x v="3"/>
    </i>
    <i t="grand">
      <x/>
    </i>
  </rowItems>
  <colItems count="1">
    <i/>
  </colItems>
  <pageFields count="1">
    <pageField fld="14" hier="-1"/>
  </pageFields>
  <dataFields count="1">
    <dataField name="Count of CRASHSEVERITY"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9A16E49-5B89-4063-A6E5-EF59CACC4443}"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6:B32" firstHeaderRow="1" firstDataRow="1" firstDataCol="1" rowPageCount="1" colPageCount="1"/>
  <pivotFields count="108">
    <pivotField showAll="0"/>
    <pivotField showAll="0"/>
    <pivotField showAll="0"/>
    <pivotField showAll="0"/>
    <pivotField showAll="0"/>
    <pivotField showAll="0"/>
    <pivotField showAll="0"/>
    <pivotField showAll="0"/>
    <pivotField showAll="0"/>
    <pivotField showAll="0"/>
    <pivotField showAll="0"/>
    <pivotField showAll="0"/>
    <pivotField numFmtId="16" showAll="0"/>
    <pivotField showAll="0"/>
    <pivotField axis="axisPage" multipleItemSelectionAllowed="1" showAll="0">
      <items count="12">
        <item h="1" x="2"/>
        <item h="1" x="7"/>
        <item h="1" x="1"/>
        <item h="1" x="10"/>
        <item h="1" x="0"/>
        <item x="8"/>
        <item x="3"/>
        <item x="5"/>
        <item x="4"/>
        <item x="9"/>
        <item h="1" x="6"/>
        <item t="default"/>
      </items>
    </pivotField>
    <pivotField showAll="0"/>
    <pivotField showAll="0"/>
    <pivotField showAll="0"/>
    <pivotField axis="axisRow" dataField="1" showAll="0">
      <items count="6">
        <item x="2"/>
        <item x="4"/>
        <item x="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s>
  <rowFields count="1">
    <field x="18"/>
  </rowFields>
  <rowItems count="6">
    <i>
      <x/>
    </i>
    <i>
      <x v="1"/>
    </i>
    <i>
      <x v="2"/>
    </i>
    <i>
      <x v="3"/>
    </i>
    <i>
      <x v="4"/>
    </i>
    <i t="grand">
      <x/>
    </i>
  </rowItems>
  <colItems count="1">
    <i/>
  </colItems>
  <pageFields count="1">
    <pageField fld="14" hier="-1"/>
  </pageFields>
  <dataFields count="1">
    <dataField name="Count of CRASHSEVERITY"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74A1500-309C-446B-9D32-80C97EE2F118}"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3:B69" firstHeaderRow="1" firstDataRow="1" firstDataCol="1" rowPageCount="1" colPageCount="1"/>
  <pivotFields count="107">
    <pivotField showAll="0"/>
    <pivotField showAll="0"/>
    <pivotField showAll="0"/>
    <pivotField showAll="0"/>
    <pivotField showAll="0"/>
    <pivotField showAll="0"/>
    <pivotField showAll="0"/>
    <pivotField showAll="0"/>
    <pivotField showAll="0"/>
    <pivotField showAll="0"/>
    <pivotField showAll="0"/>
    <pivotField showAll="0"/>
    <pivotField numFmtId="16" showAll="0"/>
    <pivotField showAll="0"/>
    <pivotField axis="axisPage" multipleItemSelectionAllowed="1" showAll="0">
      <items count="12">
        <item x="3"/>
        <item x="6"/>
        <item x="1"/>
        <item x="7"/>
        <item x="4"/>
        <item x="10"/>
        <item x="5"/>
        <item x="0"/>
        <item x="8"/>
        <item x="2"/>
        <item h="1" x="9"/>
        <item t="default"/>
      </items>
    </pivotField>
    <pivotField showAll="0"/>
    <pivotField showAll="0"/>
    <pivotField showAll="0"/>
    <pivotField axis="axisRow" dataField="1" showAll="0">
      <items count="6">
        <item x="4"/>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s>
  <rowFields count="1">
    <field x="18"/>
  </rowFields>
  <rowItems count="6">
    <i>
      <x/>
    </i>
    <i>
      <x v="1"/>
    </i>
    <i>
      <x v="2"/>
    </i>
    <i>
      <x v="3"/>
    </i>
    <i>
      <x v="4"/>
    </i>
    <i t="grand">
      <x/>
    </i>
  </rowItems>
  <colItems count="1">
    <i/>
  </colItems>
  <pageFields count="1">
    <pageField fld="14" hier="-1"/>
  </pageFields>
  <dataFields count="1">
    <dataField name="Count of CRASHSEVERITY"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9.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ogle.com/maps/dir/48.513014,-93.8073034/48.6272982,-94.0794497/@48.5461957,-94.0351584,24136m/data=!3m1!1e3!4m2!4m1!3e0?entry=ttu" TargetMode="External"/><Relationship Id="rId2" Type="http://schemas.openxmlformats.org/officeDocument/2006/relationships/hyperlink" Target="https://www.google.com/maps/dir/48.5227884,-93.5752093/48.7117997,-94.5617598/@48.3429656,-94.6302654,129386m/data=!3m1!1e3!4m9!4m8!1m5!3m4!1m2!1d-94.3575839!2d47.8612103!3s0x52b99aecf12c0d0b:0xc017b26fedae3be3!1m0!3e0?entry=ttu" TargetMode="External"/><Relationship Id="rId1" Type="http://schemas.openxmlformats.org/officeDocument/2006/relationships/hyperlink" Target="https://www.google.com/maps/dir/48.513014,-93.8073034/48.6272982,-94.0794497/@48.5542942,-94.0387581,29118m/data=!3m1!1e3!4m9!4m8!1m5!3m4!1m2!1d-93.9900164!2d48.4834134!3s0x52bbee238b1670cf:0x77d3a4b0b2592203!1m0!3e0?entry=ttu" TargetMode="External"/><Relationship Id="rId5" Type="http://schemas.openxmlformats.org/officeDocument/2006/relationships/printerSettings" Target="../printerSettings/printerSettings3.bin"/><Relationship Id="rId4" Type="http://schemas.openxmlformats.org/officeDocument/2006/relationships/hyperlink" Target="https://www.google.com/maps/dir/48.522802,-93.5760653/48.7118082,-94.5601365/@48.5639504,-94.0871309,66026m/data=!3m1!1e3!4m2!4m1!3e0?entry=ttu"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ogle.com/maps/dir/48.5227884,-93.5752093/48.7117997,-94.5617598/@48.3429656,-94.6302654,129386m/data=!3m1!1e3!4m9!4m8!1m5!3m4!1m2!1d-94.3575839!2d47.8612103!3s0x52b99aecf12c0d0b:0xc017b26fedae3be3!1m0!3e0?entry=ttu" TargetMode="External"/><Relationship Id="rId2" Type="http://schemas.openxmlformats.org/officeDocument/2006/relationships/hyperlink" Target="https://www.google.com/maps/dir/48.513014,-93.8073034/48.6272982,-94.0794497/@48.5461957,-94.0351584,24136m/data=!3m1!1e3!4m2!4m1!3e0?entry=ttu" TargetMode="External"/><Relationship Id="rId1" Type="http://schemas.openxmlformats.org/officeDocument/2006/relationships/hyperlink" Target="https://www.google.com/maps/dir/48.513014,-93.8073034/48.6272982,-94.0794497/@48.5542942,-94.0387581,29118m/data=!3m1!1e3!4m9!4m8!1m5!3m4!1m2!1d-93.9900164!2d48.4834134!3s0x52bbee238b1670cf:0x77d3a4b0b2592203!1m0!3e0?entry=ttu" TargetMode="External"/><Relationship Id="rId5" Type="http://schemas.openxmlformats.org/officeDocument/2006/relationships/printerSettings" Target="../printerSettings/printerSettings4.bin"/><Relationship Id="rId4" Type="http://schemas.openxmlformats.org/officeDocument/2006/relationships/hyperlink" Target="https://www.google.com/maps/dir/48.522802,-93.5760653/48.7118082,-94.5601365/@48.5639504,-94.0871309,66026m/data=!3m1!1e3!4m2!4m1!3e0?entry=tt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www.dot.state.mn.us/assetmanagement/pdf/guide/06chap6.pdf" TargetMode="External"/><Relationship Id="rId2" Type="http://schemas.openxmlformats.org/officeDocument/2006/relationships/hyperlink" Target="http://www.dot.state.mn.us/assetmanagement/pdf/guide/06chap6.pdf" TargetMode="External"/><Relationship Id="rId1" Type="http://schemas.openxmlformats.org/officeDocument/2006/relationships/hyperlink" Target="http://www.dot.state.mn.us/assetmanagement/pdf/guide/06chap6.pdf" TargetMode="Externa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tint="0.59999389629810485"/>
    <pageSetUpPr fitToPage="1"/>
  </sheetPr>
  <dimension ref="B2:V335"/>
  <sheetViews>
    <sheetView view="pageBreakPreview" topLeftCell="A15" zoomScale="85" zoomScaleNormal="55" zoomScaleSheetLayoutView="85" workbookViewId="0">
      <selection activeCell="E6" sqref="E6"/>
    </sheetView>
  </sheetViews>
  <sheetFormatPr defaultColWidth="10.7109375" defaultRowHeight="15" customHeight="1" x14ac:dyDescent="0.25"/>
  <cols>
    <col min="1" max="1" width="10.7109375" style="92"/>
    <col min="2" max="2" width="5.7109375" style="92" customWidth="1"/>
    <col min="3" max="3" width="61.140625" style="92" customWidth="1"/>
    <col min="4" max="4" width="15.7109375" style="92" customWidth="1"/>
    <col min="5" max="5" width="9.7109375" style="92" customWidth="1"/>
    <col min="6" max="10" width="21" style="92" customWidth="1"/>
    <col min="11" max="13" width="10.7109375" style="92"/>
    <col min="14" max="14" width="14.28515625" style="92" customWidth="1"/>
    <col min="15" max="15" width="11.7109375" style="195" bestFit="1" customWidth="1"/>
    <col min="16" max="21" width="10.7109375" style="195"/>
    <col min="22" max="16384" width="10.7109375" style="92"/>
  </cols>
  <sheetData>
    <row r="2" spans="2:21" x14ac:dyDescent="0.25"/>
    <row r="3" spans="2:21" ht="23.25" x14ac:dyDescent="0.35">
      <c r="B3" s="13"/>
      <c r="C3" s="9" t="s">
        <v>225</v>
      </c>
      <c r="D3" s="14"/>
      <c r="E3" s="14"/>
      <c r="F3" s="14"/>
      <c r="G3" s="14"/>
      <c r="H3" s="14"/>
      <c r="I3" s="14"/>
      <c r="J3" s="14"/>
      <c r="O3" s="92"/>
      <c r="P3" s="92"/>
      <c r="Q3" s="92"/>
      <c r="R3" s="92"/>
      <c r="S3" s="92"/>
      <c r="T3" s="92"/>
      <c r="U3" s="92"/>
    </row>
    <row r="4" spans="2:21" ht="15" customHeight="1" x14ac:dyDescent="0.25">
      <c r="B4" s="13"/>
      <c r="D4" s="93"/>
      <c r="E4" s="93"/>
      <c r="F4" s="93"/>
      <c r="G4" s="93"/>
      <c r="H4" s="93"/>
      <c r="I4" s="93"/>
      <c r="J4" s="93"/>
      <c r="O4" s="92"/>
      <c r="P4" s="92"/>
      <c r="Q4" s="92"/>
      <c r="R4" s="92"/>
      <c r="S4" s="92"/>
      <c r="T4" s="92"/>
      <c r="U4" s="92"/>
    </row>
    <row r="5" spans="2:21" ht="15" customHeight="1" x14ac:dyDescent="0.25">
      <c r="B5" s="13"/>
      <c r="C5" s="35" t="s">
        <v>849</v>
      </c>
      <c r="D5" s="93"/>
      <c r="E5" s="93"/>
      <c r="F5" s="93"/>
      <c r="G5" s="93"/>
      <c r="H5" s="93"/>
      <c r="I5" s="93"/>
      <c r="J5" s="93"/>
      <c r="O5" s="92"/>
      <c r="P5" s="92"/>
      <c r="Q5" s="92"/>
      <c r="R5" s="92"/>
      <c r="S5" s="92"/>
      <c r="T5" s="92"/>
      <c r="U5" s="92"/>
    </row>
    <row r="6" spans="2:21" ht="15" customHeight="1" x14ac:dyDescent="0.25">
      <c r="B6" s="13"/>
      <c r="C6" s="43" t="s">
        <v>817</v>
      </c>
      <c r="D6" s="93"/>
      <c r="E6" s="93"/>
      <c r="F6" s="93"/>
      <c r="G6" s="93"/>
      <c r="H6" s="93"/>
      <c r="I6" s="93"/>
      <c r="J6" s="93"/>
      <c r="O6" s="92"/>
      <c r="P6" s="92"/>
      <c r="Q6" s="92"/>
      <c r="R6" s="92"/>
      <c r="S6" s="92"/>
      <c r="T6" s="92"/>
      <c r="U6" s="92"/>
    </row>
    <row r="7" spans="2:21" ht="15" customHeight="1" x14ac:dyDescent="0.25">
      <c r="B7" s="13"/>
      <c r="C7" s="243" t="s">
        <v>818</v>
      </c>
      <c r="D7" s="93"/>
      <c r="E7" s="93"/>
      <c r="F7" s="93"/>
      <c r="G7" s="93"/>
      <c r="H7" s="93"/>
      <c r="I7" s="93"/>
      <c r="J7" s="93"/>
      <c r="O7" s="92"/>
      <c r="P7" s="92"/>
      <c r="Q7" s="92"/>
      <c r="R7" s="92"/>
      <c r="S7" s="92"/>
      <c r="T7" s="92"/>
      <c r="U7" s="92"/>
    </row>
    <row r="8" spans="2:21" ht="15" customHeight="1" x14ac:dyDescent="0.25">
      <c r="B8" s="13"/>
      <c r="D8" s="93"/>
      <c r="E8" s="93"/>
      <c r="F8" s="93"/>
      <c r="G8" s="93"/>
      <c r="H8" s="93"/>
      <c r="I8" s="93"/>
      <c r="J8" s="93"/>
      <c r="O8" s="92"/>
      <c r="P8" s="92"/>
      <c r="Q8" s="92"/>
      <c r="R8" s="92"/>
      <c r="S8" s="92"/>
      <c r="T8" s="92"/>
      <c r="U8" s="92"/>
    </row>
    <row r="9" spans="2:21" ht="15" customHeight="1" x14ac:dyDescent="0.25">
      <c r="C9" s="1" t="s">
        <v>845</v>
      </c>
      <c r="F9" s="35" t="s">
        <v>161</v>
      </c>
      <c r="I9" s="190"/>
      <c r="L9" s="35"/>
      <c r="O9" s="92"/>
      <c r="P9" s="92"/>
      <c r="Q9" s="92"/>
      <c r="R9" s="92"/>
      <c r="S9" s="92"/>
      <c r="T9" s="92"/>
      <c r="U9" s="92"/>
    </row>
    <row r="10" spans="2:21" ht="15" customHeight="1" x14ac:dyDescent="0.25">
      <c r="C10" s="191" t="s">
        <v>65</v>
      </c>
      <c r="D10" s="196">
        <v>2023</v>
      </c>
      <c r="I10" s="190"/>
      <c r="K10" s="193"/>
      <c r="L10" s="193"/>
      <c r="M10" s="193"/>
      <c r="N10" s="194"/>
      <c r="O10" s="193"/>
      <c r="P10" s="193"/>
      <c r="Q10" s="193"/>
      <c r="R10" s="193"/>
      <c r="S10" s="193"/>
      <c r="T10" s="193"/>
    </row>
    <row r="11" spans="2:21" ht="15" customHeight="1" x14ac:dyDescent="0.25">
      <c r="B11" s="193"/>
      <c r="C11" s="191" t="s">
        <v>64</v>
      </c>
      <c r="D11" s="196">
        <v>2021</v>
      </c>
      <c r="E11" s="193"/>
      <c r="F11" s="193"/>
      <c r="G11" s="193"/>
      <c r="H11" s="193"/>
      <c r="J11" s="194"/>
      <c r="K11" s="193"/>
      <c r="O11" s="92"/>
      <c r="P11" s="193"/>
      <c r="Q11" s="193"/>
      <c r="R11" s="193"/>
      <c r="S11" s="193"/>
      <c r="T11" s="193"/>
      <c r="U11" s="92"/>
    </row>
    <row r="12" spans="2:21" ht="15" customHeight="1" x14ac:dyDescent="0.25">
      <c r="B12" s="193"/>
      <c r="C12" s="191" t="s">
        <v>825</v>
      </c>
      <c r="D12" s="196">
        <v>2022</v>
      </c>
      <c r="E12" s="193"/>
      <c r="F12" s="193"/>
      <c r="G12" s="193"/>
      <c r="H12" s="193"/>
      <c r="J12" s="194"/>
      <c r="K12" s="193"/>
      <c r="O12" s="92"/>
      <c r="P12" s="193"/>
      <c r="Q12" s="193"/>
      <c r="R12" s="193"/>
      <c r="S12" s="193"/>
      <c r="T12" s="193"/>
      <c r="U12" s="92"/>
    </row>
    <row r="13" spans="2:21" ht="15" customHeight="1" x14ac:dyDescent="0.25">
      <c r="B13" s="193"/>
      <c r="C13" s="191" t="s">
        <v>25</v>
      </c>
      <c r="D13" s="196">
        <v>20</v>
      </c>
      <c r="E13" s="193"/>
      <c r="F13" s="193"/>
      <c r="G13" s="193"/>
      <c r="H13" s="193"/>
      <c r="J13" s="35"/>
      <c r="O13" s="92"/>
      <c r="P13" s="92"/>
      <c r="Q13" s="92"/>
      <c r="R13" s="92"/>
      <c r="S13" s="92"/>
      <c r="T13" s="92"/>
      <c r="U13" s="92"/>
    </row>
    <row r="14" spans="2:21" s="93" customFormat="1" ht="15" customHeight="1" x14ac:dyDescent="0.25">
      <c r="B14" s="92"/>
      <c r="C14" s="191" t="s">
        <v>149</v>
      </c>
      <c r="D14" s="196">
        <v>2026</v>
      </c>
      <c r="E14" s="193"/>
      <c r="F14" s="193"/>
      <c r="G14" s="193"/>
      <c r="H14" s="193"/>
      <c r="I14" s="92"/>
      <c r="J14" s="194"/>
    </row>
    <row r="15" spans="2:21" ht="14.25" customHeight="1" x14ac:dyDescent="0.25">
      <c r="B15" s="93"/>
      <c r="C15" s="191" t="s">
        <v>150</v>
      </c>
      <c r="D15" s="599">
        <f>D14+D13-1</f>
        <v>2045</v>
      </c>
      <c r="E15" s="93"/>
      <c r="F15" s="93"/>
      <c r="G15" s="93"/>
      <c r="H15" s="93"/>
      <c r="I15" s="93"/>
      <c r="J15" s="93"/>
      <c r="O15" s="92"/>
      <c r="P15" s="92"/>
      <c r="Q15" s="92"/>
      <c r="R15" s="92"/>
      <c r="S15" s="92"/>
      <c r="T15" s="92"/>
      <c r="U15" s="92"/>
    </row>
    <row r="16" spans="2:21" ht="15" customHeight="1" x14ac:dyDescent="0.25">
      <c r="C16" s="93"/>
      <c r="D16" s="93"/>
      <c r="E16" s="193"/>
      <c r="F16" s="193"/>
      <c r="G16" s="193"/>
      <c r="H16" s="193"/>
      <c r="I16" s="193"/>
      <c r="O16" s="92"/>
      <c r="P16" s="92"/>
      <c r="Q16" s="92"/>
      <c r="R16" s="92"/>
      <c r="S16" s="92"/>
      <c r="T16" s="92"/>
      <c r="U16" s="92"/>
    </row>
    <row r="17" spans="3:22" ht="15" customHeight="1" x14ac:dyDescent="0.25">
      <c r="C17" s="1" t="s">
        <v>846</v>
      </c>
      <c r="E17" s="193"/>
      <c r="F17" s="193"/>
      <c r="G17" s="193"/>
      <c r="H17" s="193"/>
      <c r="I17" s="193"/>
      <c r="M17" s="197"/>
      <c r="N17" s="197"/>
      <c r="O17" s="92"/>
      <c r="P17" s="92"/>
      <c r="Q17" s="92"/>
      <c r="R17" s="92"/>
      <c r="S17" s="92"/>
      <c r="T17" s="92"/>
      <c r="U17" s="92"/>
    </row>
    <row r="18" spans="3:22" ht="15" customHeight="1" x14ac:dyDescent="0.25">
      <c r="C18" s="191"/>
      <c r="D18" s="198" t="s">
        <v>69</v>
      </c>
      <c r="E18" s="193"/>
      <c r="F18" s="193"/>
      <c r="G18" s="193"/>
      <c r="H18" s="193"/>
      <c r="I18" s="193"/>
      <c r="O18" s="92"/>
      <c r="P18" s="92"/>
      <c r="Q18" s="92"/>
      <c r="R18" s="92"/>
      <c r="S18" s="92"/>
      <c r="T18" s="92"/>
      <c r="U18" s="92"/>
    </row>
    <row r="19" spans="3:22" ht="15" customHeight="1" x14ac:dyDescent="0.25">
      <c r="C19" s="191" t="s">
        <v>152</v>
      </c>
      <c r="D19" s="199">
        <f>125/560</f>
        <v>0.22321428571428573</v>
      </c>
      <c r="E19" s="193"/>
      <c r="F19" s="193"/>
      <c r="G19" s="193"/>
      <c r="H19" s="193"/>
      <c r="O19" s="92"/>
      <c r="P19" s="92"/>
      <c r="Q19" s="92"/>
      <c r="R19" s="92"/>
      <c r="S19" s="92"/>
      <c r="T19" s="92"/>
      <c r="U19" s="92"/>
    </row>
    <row r="20" spans="3:22" ht="15" customHeight="1" x14ac:dyDescent="0.25">
      <c r="C20" s="191" t="s">
        <v>151</v>
      </c>
      <c r="D20" s="600">
        <f>1-$D$19</f>
        <v>0.7767857142857143</v>
      </c>
      <c r="E20" s="193"/>
      <c r="F20" s="193"/>
      <c r="G20" s="193"/>
      <c r="H20" s="193"/>
      <c r="O20" s="92"/>
      <c r="P20" s="92"/>
      <c r="Q20" s="92"/>
      <c r="R20" s="92"/>
      <c r="S20" s="92"/>
      <c r="T20" s="92"/>
      <c r="U20" s="92"/>
      <c r="V20" s="193"/>
    </row>
    <row r="21" spans="3:22" ht="15" customHeight="1" x14ac:dyDescent="0.25">
      <c r="C21" s="191" t="s">
        <v>153</v>
      </c>
      <c r="D21" s="196">
        <v>1.67</v>
      </c>
      <c r="E21" s="193"/>
      <c r="F21" s="193"/>
      <c r="G21" s="193"/>
      <c r="H21" s="193"/>
      <c r="O21" s="92"/>
      <c r="P21" s="92"/>
      <c r="Q21" s="92"/>
      <c r="R21" s="92"/>
      <c r="S21" s="92"/>
      <c r="T21" s="92"/>
      <c r="U21" s="92"/>
    </row>
    <row r="22" spans="3:22" ht="15" customHeight="1" x14ac:dyDescent="0.25">
      <c r="C22" s="191" t="s">
        <v>154</v>
      </c>
      <c r="D22" s="598">
        <v>1</v>
      </c>
      <c r="F22" s="193"/>
      <c r="G22" s="193"/>
      <c r="H22" s="193"/>
      <c r="O22" s="92"/>
      <c r="P22" s="92"/>
      <c r="Q22" s="92"/>
      <c r="R22" s="92"/>
      <c r="S22" s="92"/>
      <c r="T22" s="92"/>
      <c r="U22" s="92"/>
    </row>
    <row r="23" spans="3:22" ht="15" customHeight="1" x14ac:dyDescent="0.25">
      <c r="C23" s="193"/>
      <c r="D23" s="193"/>
      <c r="E23" s="193"/>
      <c r="I23" s="193"/>
      <c r="O23" s="92"/>
      <c r="P23" s="92"/>
      <c r="Q23" s="92"/>
      <c r="R23" s="92"/>
      <c r="S23" s="92"/>
      <c r="T23" s="92"/>
      <c r="U23" s="92"/>
    </row>
    <row r="24" spans="3:22" ht="15" customHeight="1" x14ac:dyDescent="0.25">
      <c r="C24" s="1" t="s">
        <v>847</v>
      </c>
      <c r="D24" s="200"/>
      <c r="E24" s="193"/>
      <c r="I24" s="193"/>
      <c r="O24" s="92"/>
      <c r="P24" s="92"/>
      <c r="Q24" s="92"/>
      <c r="R24" s="92"/>
      <c r="S24" s="92"/>
      <c r="T24" s="92"/>
      <c r="U24" s="92"/>
    </row>
    <row r="25" spans="3:22" ht="15" customHeight="1" x14ac:dyDescent="0.25">
      <c r="C25" s="191" t="s">
        <v>155</v>
      </c>
      <c r="D25" s="196">
        <v>365</v>
      </c>
      <c r="O25" s="92"/>
      <c r="P25" s="92"/>
      <c r="Q25" s="92"/>
      <c r="R25" s="92"/>
      <c r="S25" s="92"/>
      <c r="T25" s="92"/>
      <c r="U25" s="92"/>
    </row>
    <row r="26" spans="3:22" ht="15" customHeight="1" x14ac:dyDescent="0.25">
      <c r="C26" s="191" t="s">
        <v>156</v>
      </c>
      <c r="D26" s="601">
        <v>18.8</v>
      </c>
      <c r="O26" s="92"/>
      <c r="P26" s="92"/>
      <c r="Q26" s="92"/>
      <c r="R26" s="92"/>
      <c r="S26" s="92"/>
      <c r="T26" s="92"/>
      <c r="U26" s="92"/>
    </row>
    <row r="27" spans="3:22" ht="15" customHeight="1" x14ac:dyDescent="0.25">
      <c r="C27" s="191" t="s">
        <v>157</v>
      </c>
      <c r="D27" s="601">
        <v>34</v>
      </c>
      <c r="O27" s="92"/>
      <c r="P27" s="92"/>
      <c r="Q27" s="92"/>
      <c r="R27" s="92"/>
      <c r="S27" s="92"/>
      <c r="T27" s="92"/>
      <c r="U27" s="92"/>
    </row>
    <row r="28" spans="3:22" ht="15" customHeight="1" x14ac:dyDescent="0.25">
      <c r="C28" s="191" t="s">
        <v>158</v>
      </c>
      <c r="D28" s="601">
        <v>0.46</v>
      </c>
      <c r="O28" s="92"/>
      <c r="P28" s="92"/>
      <c r="Q28" s="92"/>
      <c r="R28" s="92"/>
      <c r="S28" s="92"/>
      <c r="T28" s="92"/>
      <c r="U28" s="92"/>
    </row>
    <row r="29" spans="3:22" ht="15" customHeight="1" x14ac:dyDescent="0.25">
      <c r="C29" s="191" t="s">
        <v>159</v>
      </c>
      <c r="D29" s="601">
        <v>1.01</v>
      </c>
      <c r="I29" s="193"/>
      <c r="O29" s="92"/>
      <c r="P29" s="92"/>
      <c r="Q29" s="92"/>
      <c r="R29" s="92"/>
      <c r="S29" s="92"/>
      <c r="T29" s="92"/>
      <c r="U29" s="92"/>
    </row>
    <row r="30" spans="3:22" ht="15" customHeight="1" x14ac:dyDescent="0.25">
      <c r="E30" s="193"/>
      <c r="O30" s="92"/>
      <c r="P30" s="92"/>
      <c r="Q30" s="92"/>
      <c r="R30" s="92"/>
      <c r="S30" s="92"/>
      <c r="T30" s="92"/>
      <c r="U30" s="92"/>
    </row>
    <row r="31" spans="3:22" ht="15" customHeight="1" x14ac:dyDescent="0.25">
      <c r="C31" s="1" t="s">
        <v>848</v>
      </c>
      <c r="D31" s="201"/>
      <c r="E31" s="193"/>
      <c r="O31" s="92"/>
      <c r="P31" s="92"/>
      <c r="Q31" s="92"/>
      <c r="R31" s="92"/>
      <c r="S31" s="92"/>
      <c r="T31" s="92"/>
      <c r="U31" s="92"/>
    </row>
    <row r="32" spans="3:22" ht="15" customHeight="1" x14ac:dyDescent="0.25">
      <c r="C32" s="191" t="s">
        <v>68</v>
      </c>
      <c r="D32" s="602">
        <v>4.4999999999999997E-3</v>
      </c>
      <c r="E32" s="193"/>
      <c r="O32" s="92"/>
      <c r="P32" s="92"/>
      <c r="Q32" s="92"/>
      <c r="R32" s="92"/>
      <c r="S32" s="92"/>
      <c r="T32" s="92"/>
      <c r="U32" s="92"/>
    </row>
    <row r="33" spans="2:21" ht="15" customHeight="1" x14ac:dyDescent="0.25">
      <c r="C33" s="191" t="s">
        <v>851</v>
      </c>
      <c r="D33" s="653">
        <f>'TH 11 - Year of Closure'!$G$53</f>
        <v>2028</v>
      </c>
      <c r="E33" s="193"/>
      <c r="O33" s="92"/>
      <c r="P33" s="92"/>
      <c r="Q33" s="92"/>
      <c r="R33" s="92"/>
      <c r="S33" s="92"/>
      <c r="T33" s="92"/>
      <c r="U33" s="92"/>
    </row>
    <row r="34" spans="2:21" ht="15" customHeight="1" x14ac:dyDescent="0.25">
      <c r="C34" s="191">
        <v>2021</v>
      </c>
      <c r="D34" s="603">
        <v>670</v>
      </c>
      <c r="O34" s="92"/>
      <c r="P34" s="92"/>
      <c r="Q34" s="92"/>
      <c r="R34" s="92"/>
      <c r="S34" s="92"/>
      <c r="T34" s="92"/>
      <c r="U34" s="92"/>
    </row>
    <row r="35" spans="2:21" ht="15" customHeight="1" x14ac:dyDescent="0.25">
      <c r="C35" s="191">
        <v>2045</v>
      </c>
      <c r="D35" s="604">
        <f>D34+(D34*D32*(C35-C34))</f>
        <v>742.36</v>
      </c>
      <c r="O35" s="92"/>
      <c r="P35" s="92"/>
      <c r="Q35" s="92"/>
      <c r="R35" s="92"/>
      <c r="S35" s="92"/>
      <c r="T35" s="92"/>
      <c r="U35" s="92"/>
    </row>
    <row r="36" spans="2:21" ht="15" customHeight="1" x14ac:dyDescent="0.25">
      <c r="C36" s="191" t="s">
        <v>243</v>
      </c>
      <c r="D36" s="608">
        <v>1.1200000000000001</v>
      </c>
      <c r="O36" s="92"/>
      <c r="P36" s="92"/>
      <c r="Q36" s="92"/>
      <c r="R36" s="92"/>
      <c r="S36" s="92"/>
      <c r="T36" s="92"/>
      <c r="U36" s="92"/>
    </row>
    <row r="37" spans="2:21" ht="15" customHeight="1" x14ac:dyDescent="0.25">
      <c r="C37" s="202"/>
      <c r="O37" s="92"/>
      <c r="P37" s="92"/>
      <c r="Q37" s="92"/>
      <c r="R37" s="92"/>
      <c r="S37" s="92"/>
      <c r="T37" s="92"/>
      <c r="U37" s="92"/>
    </row>
    <row r="38" spans="2:21" ht="15" customHeight="1" x14ac:dyDescent="0.25">
      <c r="B38" s="203" t="s">
        <v>3</v>
      </c>
      <c r="C38" s="203"/>
      <c r="D38" s="203"/>
      <c r="O38" s="92"/>
      <c r="P38" s="92"/>
      <c r="Q38" s="92"/>
      <c r="R38" s="92"/>
      <c r="S38" s="92"/>
      <c r="T38" s="92"/>
      <c r="U38" s="92"/>
    </row>
    <row r="39" spans="2:21" ht="15" customHeight="1" x14ac:dyDescent="0.25">
      <c r="B39" s="11" t="s">
        <v>16</v>
      </c>
      <c r="C39" s="672" t="s">
        <v>198</v>
      </c>
      <c r="D39" s="672"/>
      <c r="E39" s="672"/>
      <c r="F39" s="672"/>
      <c r="G39" s="672"/>
      <c r="H39" s="672"/>
      <c r="I39" s="672"/>
      <c r="J39" s="672"/>
      <c r="O39" s="92"/>
      <c r="P39" s="92"/>
      <c r="Q39" s="92"/>
      <c r="R39" s="92"/>
      <c r="S39" s="92"/>
      <c r="T39" s="92"/>
      <c r="U39" s="92"/>
    </row>
    <row r="40" spans="2:21" ht="15" customHeight="1" x14ac:dyDescent="0.25">
      <c r="B40" s="12"/>
      <c r="C40" s="40"/>
      <c r="D40" s="40"/>
      <c r="E40" s="40"/>
      <c r="F40" s="40"/>
      <c r="G40" s="40"/>
      <c r="H40" s="40"/>
      <c r="I40" s="40"/>
      <c r="J40" s="40"/>
      <c r="O40" s="92"/>
      <c r="P40" s="92"/>
      <c r="Q40" s="92"/>
      <c r="R40" s="92"/>
      <c r="S40" s="92"/>
      <c r="T40" s="92"/>
      <c r="U40" s="92"/>
    </row>
    <row r="41" spans="2:21" ht="15" customHeight="1" x14ac:dyDescent="0.25">
      <c r="B41" s="11" t="s">
        <v>22</v>
      </c>
      <c r="C41" s="40" t="s">
        <v>819</v>
      </c>
      <c r="D41" s="40"/>
      <c r="E41" s="40"/>
      <c r="F41" s="40"/>
      <c r="G41" s="40"/>
      <c r="H41" s="40"/>
      <c r="I41" s="40"/>
      <c r="J41" s="40"/>
      <c r="O41" s="92"/>
      <c r="P41" s="92"/>
      <c r="Q41" s="92"/>
      <c r="R41" s="92"/>
      <c r="S41" s="92"/>
      <c r="T41" s="92"/>
      <c r="U41" s="92"/>
    </row>
    <row r="42" spans="2:21" ht="15" customHeight="1" x14ac:dyDescent="0.25">
      <c r="B42" s="11"/>
      <c r="C42" s="40"/>
      <c r="D42" s="40"/>
      <c r="E42" s="40"/>
      <c r="F42" s="40"/>
      <c r="G42" s="40"/>
      <c r="H42" s="40"/>
      <c r="I42" s="40"/>
      <c r="J42" s="40"/>
      <c r="O42" s="92"/>
      <c r="P42" s="92"/>
      <c r="Q42" s="92"/>
      <c r="R42" s="92"/>
      <c r="S42" s="92"/>
      <c r="T42" s="92"/>
      <c r="U42" s="92"/>
    </row>
    <row r="43" spans="2:21" ht="15" customHeight="1" x14ac:dyDescent="0.25">
      <c r="B43" s="13" t="s">
        <v>23</v>
      </c>
      <c r="C43" s="672" t="s">
        <v>815</v>
      </c>
      <c r="D43" s="672"/>
      <c r="E43" s="672"/>
      <c r="F43" s="672"/>
      <c r="G43" s="672"/>
      <c r="H43" s="672"/>
      <c r="I43" s="672"/>
      <c r="J43" s="40"/>
      <c r="O43" s="92"/>
      <c r="P43" s="92"/>
      <c r="Q43" s="92"/>
      <c r="R43" s="92"/>
      <c r="S43" s="92"/>
      <c r="T43" s="92"/>
      <c r="U43" s="92"/>
    </row>
    <row r="44" spans="2:21" ht="15" customHeight="1" x14ac:dyDescent="0.25">
      <c r="C44" s="37"/>
      <c r="D44" s="37"/>
      <c r="E44" s="37"/>
      <c r="F44" s="37"/>
      <c r="G44" s="37"/>
      <c r="H44" s="37"/>
      <c r="I44" s="37"/>
      <c r="J44" s="37"/>
      <c r="O44" s="92"/>
      <c r="P44" s="92"/>
      <c r="Q44" s="92"/>
      <c r="R44" s="92"/>
      <c r="S44" s="92"/>
      <c r="T44" s="92"/>
      <c r="U44" s="92"/>
    </row>
    <row r="45" spans="2:21" ht="15" customHeight="1" x14ac:dyDescent="0.25">
      <c r="B45" s="13" t="s">
        <v>162</v>
      </c>
      <c r="C45" s="672" t="s">
        <v>844</v>
      </c>
      <c r="D45" s="672"/>
      <c r="E45" s="672"/>
      <c r="F45" s="672"/>
      <c r="G45" s="672"/>
      <c r="H45" s="672"/>
      <c r="I45" s="672"/>
      <c r="J45" s="672"/>
      <c r="O45" s="92"/>
      <c r="P45" s="92"/>
      <c r="Q45" s="92"/>
      <c r="R45" s="92"/>
      <c r="S45" s="92"/>
      <c r="T45" s="92"/>
      <c r="U45" s="92"/>
    </row>
    <row r="46" spans="2:21" ht="15" customHeight="1" x14ac:dyDescent="0.25">
      <c r="C46" s="672"/>
      <c r="D46" s="672"/>
      <c r="E46" s="672"/>
      <c r="F46" s="672"/>
      <c r="G46" s="672"/>
      <c r="H46" s="672"/>
      <c r="I46" s="672"/>
      <c r="J46" s="672"/>
      <c r="O46" s="92"/>
      <c r="P46" s="92"/>
      <c r="Q46" s="92"/>
      <c r="R46" s="92"/>
      <c r="S46" s="92"/>
      <c r="T46" s="92"/>
      <c r="U46" s="92"/>
    </row>
    <row r="47" spans="2:21" ht="15" customHeight="1" x14ac:dyDescent="0.25">
      <c r="B47" s="13"/>
      <c r="C47" s="40"/>
      <c r="D47" s="40"/>
      <c r="E47" s="40"/>
      <c r="F47" s="40"/>
      <c r="G47" s="40"/>
      <c r="H47" s="40"/>
      <c r="I47" s="40"/>
      <c r="J47" s="40"/>
      <c r="O47" s="92"/>
      <c r="P47" s="92"/>
      <c r="Q47" s="92"/>
      <c r="R47" s="92"/>
      <c r="S47" s="92"/>
      <c r="T47" s="92"/>
      <c r="U47" s="92"/>
    </row>
    <row r="48" spans="2:21" ht="15" customHeight="1" x14ac:dyDescent="0.25">
      <c r="B48" s="13" t="s">
        <v>24</v>
      </c>
      <c r="C48" s="672" t="s">
        <v>199</v>
      </c>
      <c r="D48" s="672"/>
      <c r="E48" s="672"/>
      <c r="F48" s="672"/>
      <c r="G48" s="672"/>
      <c r="H48" s="672"/>
      <c r="I48" s="672"/>
      <c r="J48" s="672"/>
    </row>
    <row r="49" spans="2:21" ht="15" customHeight="1" x14ac:dyDescent="0.25">
      <c r="C49" s="672"/>
      <c r="D49" s="672"/>
      <c r="E49" s="672"/>
      <c r="F49" s="672"/>
      <c r="G49" s="672"/>
      <c r="H49" s="672"/>
      <c r="I49" s="672"/>
      <c r="J49" s="672"/>
      <c r="O49" s="92"/>
      <c r="P49" s="92"/>
      <c r="Q49" s="92"/>
      <c r="R49" s="92"/>
      <c r="S49" s="92"/>
      <c r="T49" s="92"/>
      <c r="U49" s="92"/>
    </row>
    <row r="50" spans="2:21" ht="15" customHeight="1" x14ac:dyDescent="0.25">
      <c r="D50" s="41"/>
      <c r="E50" s="41"/>
      <c r="F50" s="41"/>
      <c r="G50" s="41"/>
      <c r="H50" s="41"/>
      <c r="I50" s="41"/>
      <c r="J50" s="41"/>
      <c r="O50" s="92"/>
      <c r="P50" s="92"/>
      <c r="Q50" s="92"/>
      <c r="R50" s="92"/>
      <c r="S50" s="92"/>
      <c r="T50" s="92"/>
      <c r="U50" s="92"/>
    </row>
    <row r="51" spans="2:21" ht="15" customHeight="1" x14ac:dyDescent="0.25">
      <c r="B51" s="13" t="s">
        <v>820</v>
      </c>
      <c r="C51" s="672" t="s">
        <v>227</v>
      </c>
      <c r="D51" s="672"/>
      <c r="E51" s="672"/>
      <c r="F51" s="672"/>
      <c r="G51" s="672"/>
      <c r="H51" s="672"/>
      <c r="I51" s="672"/>
      <c r="J51" s="672"/>
      <c r="O51" s="92"/>
      <c r="P51" s="92"/>
      <c r="Q51" s="92"/>
      <c r="R51" s="92"/>
      <c r="S51" s="92"/>
      <c r="T51" s="92"/>
      <c r="U51" s="92"/>
    </row>
    <row r="52" spans="2:21" ht="15" customHeight="1" x14ac:dyDescent="0.25">
      <c r="B52" s="13"/>
      <c r="C52" s="672"/>
      <c r="D52" s="672"/>
      <c r="E52" s="672"/>
      <c r="F52" s="672"/>
      <c r="G52" s="672"/>
      <c r="H52" s="672"/>
      <c r="I52" s="672"/>
      <c r="J52" s="672"/>
      <c r="O52" s="92"/>
      <c r="P52" s="92"/>
      <c r="Q52" s="92"/>
      <c r="R52" s="92"/>
      <c r="S52" s="92"/>
      <c r="T52" s="92"/>
      <c r="U52" s="92"/>
    </row>
    <row r="53" spans="2:21" ht="15" customHeight="1" x14ac:dyDescent="0.25">
      <c r="B53" s="13"/>
      <c r="C53" s="40"/>
      <c r="D53" s="40"/>
      <c r="E53" s="40"/>
      <c r="F53" s="40"/>
      <c r="G53" s="40"/>
      <c r="H53" s="40"/>
      <c r="I53" s="40"/>
      <c r="J53" s="40"/>
      <c r="O53" s="92"/>
      <c r="P53" s="92"/>
      <c r="Q53" s="92"/>
      <c r="R53" s="92"/>
      <c r="S53" s="92"/>
      <c r="T53" s="92"/>
      <c r="U53" s="92"/>
    </row>
    <row r="54" spans="2:21" ht="15" customHeight="1" x14ac:dyDescent="0.25">
      <c r="B54" s="13"/>
      <c r="C54" s="40"/>
      <c r="D54" s="40"/>
      <c r="E54" s="40"/>
      <c r="F54" s="40"/>
      <c r="G54" s="40"/>
      <c r="H54" s="40"/>
      <c r="I54" s="40"/>
      <c r="J54" s="40"/>
      <c r="O54" s="92"/>
      <c r="P54" s="92"/>
      <c r="Q54" s="92"/>
      <c r="R54" s="92"/>
      <c r="S54" s="92"/>
      <c r="T54" s="92"/>
      <c r="U54" s="92"/>
    </row>
    <row r="55" spans="2:21" ht="15" customHeight="1" x14ac:dyDescent="0.25">
      <c r="B55" s="13"/>
      <c r="C55" s="14"/>
      <c r="D55" s="14"/>
      <c r="E55" s="14"/>
      <c r="F55" s="14"/>
      <c r="G55" s="14"/>
      <c r="H55" s="14"/>
      <c r="I55" s="14"/>
      <c r="J55" s="14"/>
      <c r="O55" s="92"/>
      <c r="P55" s="92"/>
      <c r="Q55" s="92"/>
      <c r="R55" s="92"/>
      <c r="S55" s="92"/>
      <c r="T55" s="92"/>
      <c r="U55" s="92"/>
    </row>
    <row r="56" spans="2:21" ht="15" customHeight="1" x14ac:dyDescent="0.25">
      <c r="B56" s="204"/>
      <c r="E56" s="195"/>
      <c r="F56" s="195"/>
      <c r="G56" s="195"/>
      <c r="H56" s="195"/>
      <c r="I56" s="195"/>
      <c r="J56" s="195"/>
      <c r="O56" s="92"/>
      <c r="P56" s="92"/>
      <c r="Q56" s="92"/>
      <c r="R56" s="92"/>
      <c r="S56" s="92"/>
      <c r="T56" s="92"/>
      <c r="U56" s="92"/>
    </row>
    <row r="57" spans="2:21" ht="15" customHeight="1" x14ac:dyDescent="0.25">
      <c r="B57" s="204"/>
      <c r="E57" s="195"/>
      <c r="F57" s="195"/>
      <c r="G57" s="195"/>
      <c r="H57" s="195"/>
      <c r="I57" s="195"/>
      <c r="J57" s="195"/>
      <c r="O57" s="92"/>
      <c r="P57" s="92"/>
      <c r="Q57" s="92"/>
      <c r="R57" s="92"/>
      <c r="S57" s="92"/>
      <c r="T57" s="92"/>
      <c r="U57" s="92"/>
    </row>
    <row r="58" spans="2:21" ht="15" customHeight="1" x14ac:dyDescent="0.25">
      <c r="B58" s="204"/>
      <c r="O58" s="92"/>
      <c r="P58" s="92"/>
      <c r="Q58" s="92"/>
      <c r="R58" s="92"/>
      <c r="S58" s="92"/>
      <c r="T58" s="92"/>
      <c r="U58" s="92"/>
    </row>
    <row r="59" spans="2:21" ht="15" customHeight="1" x14ac:dyDescent="0.25">
      <c r="O59" s="92"/>
      <c r="P59" s="92"/>
      <c r="Q59" s="92"/>
      <c r="R59" s="92"/>
      <c r="S59" s="92"/>
      <c r="T59" s="92"/>
      <c r="U59" s="92"/>
    </row>
    <row r="60" spans="2:21" ht="15" customHeight="1" x14ac:dyDescent="0.25">
      <c r="O60" s="92"/>
      <c r="P60" s="92"/>
      <c r="Q60" s="92"/>
      <c r="R60" s="92"/>
      <c r="S60" s="92"/>
      <c r="T60" s="92"/>
      <c r="U60" s="92"/>
    </row>
    <row r="61" spans="2:21" ht="15" customHeight="1" x14ac:dyDescent="0.25">
      <c r="O61" s="92"/>
      <c r="P61" s="92"/>
      <c r="Q61" s="92"/>
      <c r="R61" s="92"/>
      <c r="S61" s="92"/>
      <c r="T61" s="92"/>
      <c r="U61" s="92"/>
    </row>
    <row r="62" spans="2:21" ht="15" customHeight="1" x14ac:dyDescent="0.25">
      <c r="O62" s="92"/>
      <c r="P62" s="92"/>
      <c r="Q62" s="92"/>
      <c r="R62" s="92"/>
      <c r="S62" s="92"/>
      <c r="T62" s="92"/>
      <c r="U62" s="92"/>
    </row>
    <row r="63" spans="2:21" ht="15" customHeight="1" x14ac:dyDescent="0.25">
      <c r="O63" s="92"/>
      <c r="P63" s="92"/>
      <c r="Q63" s="92"/>
      <c r="R63" s="92"/>
      <c r="S63" s="92"/>
      <c r="T63" s="92"/>
      <c r="U63" s="92"/>
    </row>
    <row r="64" spans="2:21" ht="15" customHeight="1" x14ac:dyDescent="0.25">
      <c r="O64" s="92"/>
      <c r="P64" s="92"/>
      <c r="Q64" s="92"/>
      <c r="R64" s="92"/>
      <c r="S64" s="92"/>
      <c r="T64" s="92"/>
      <c r="U64" s="92"/>
    </row>
    <row r="65" spans="11:21" ht="15" customHeight="1" x14ac:dyDescent="0.25">
      <c r="L65" s="35"/>
      <c r="O65" s="92"/>
      <c r="P65" s="92"/>
      <c r="Q65" s="92"/>
      <c r="R65" s="92"/>
      <c r="S65" s="92"/>
      <c r="T65" s="92"/>
      <c r="U65" s="92"/>
    </row>
    <row r="66" spans="11:21" ht="15" customHeight="1" x14ac:dyDescent="0.25">
      <c r="O66" s="92"/>
      <c r="P66" s="92"/>
      <c r="Q66" s="92"/>
      <c r="R66" s="92"/>
      <c r="S66" s="92"/>
      <c r="T66" s="92"/>
      <c r="U66" s="92"/>
    </row>
    <row r="67" spans="11:21" ht="15" customHeight="1" x14ac:dyDescent="0.25">
      <c r="L67" s="35"/>
      <c r="O67" s="92"/>
      <c r="P67" s="92"/>
      <c r="Q67" s="92"/>
      <c r="R67" s="92"/>
      <c r="S67" s="92"/>
      <c r="T67" s="92"/>
      <c r="U67" s="92"/>
    </row>
    <row r="68" spans="11:21" ht="15" customHeight="1" x14ac:dyDescent="0.25">
      <c r="L68" s="35"/>
      <c r="O68" s="92"/>
      <c r="P68" s="92"/>
      <c r="Q68" s="92"/>
      <c r="R68" s="92"/>
      <c r="S68" s="92"/>
      <c r="T68" s="92"/>
      <c r="U68" s="92"/>
    </row>
    <row r="69" spans="11:21" ht="15" customHeight="1" x14ac:dyDescent="0.25">
      <c r="K69" s="195"/>
      <c r="O69" s="92"/>
      <c r="P69" s="92"/>
      <c r="Q69" s="92"/>
      <c r="R69" s="92"/>
      <c r="S69" s="92"/>
      <c r="T69" s="92"/>
      <c r="U69" s="92"/>
    </row>
    <row r="70" spans="11:21" ht="15" customHeight="1" x14ac:dyDescent="0.25">
      <c r="K70" s="195"/>
      <c r="O70" s="92"/>
      <c r="P70" s="92"/>
      <c r="Q70" s="92"/>
      <c r="R70" s="92"/>
      <c r="S70" s="92"/>
      <c r="T70" s="92"/>
      <c r="U70" s="92"/>
    </row>
    <row r="71" spans="11:21" ht="15" customHeight="1" x14ac:dyDescent="0.25">
      <c r="O71" s="92"/>
      <c r="P71" s="92"/>
      <c r="Q71" s="92"/>
      <c r="R71" s="92"/>
      <c r="S71" s="92"/>
      <c r="T71" s="92"/>
      <c r="U71" s="92"/>
    </row>
    <row r="72" spans="11:21" ht="15" customHeight="1" x14ac:dyDescent="0.25">
      <c r="O72" s="92"/>
      <c r="P72" s="92"/>
      <c r="Q72" s="92"/>
      <c r="R72" s="92"/>
      <c r="S72" s="92"/>
      <c r="T72" s="92"/>
      <c r="U72" s="92"/>
    </row>
    <row r="73" spans="11:21" ht="15" customHeight="1" x14ac:dyDescent="0.25">
      <c r="O73" s="92"/>
      <c r="P73" s="92"/>
      <c r="Q73" s="92"/>
      <c r="R73" s="92"/>
      <c r="S73" s="92"/>
      <c r="T73" s="92"/>
      <c r="U73" s="92"/>
    </row>
    <row r="74" spans="11:21" ht="15" customHeight="1" x14ac:dyDescent="0.25">
      <c r="O74" s="92"/>
      <c r="P74" s="92"/>
      <c r="Q74" s="92"/>
      <c r="R74" s="92"/>
      <c r="S74" s="92"/>
      <c r="T74" s="92"/>
      <c r="U74" s="92"/>
    </row>
    <row r="75" spans="11:21" ht="15" customHeight="1" x14ac:dyDescent="0.25">
      <c r="O75" s="92"/>
      <c r="P75" s="92"/>
      <c r="Q75" s="92"/>
      <c r="R75" s="92"/>
      <c r="S75" s="92"/>
      <c r="T75" s="92"/>
      <c r="U75" s="92"/>
    </row>
    <row r="76" spans="11:21" ht="15" customHeight="1" x14ac:dyDescent="0.25">
      <c r="O76" s="92"/>
      <c r="P76" s="92"/>
      <c r="Q76" s="92"/>
      <c r="R76" s="92"/>
      <c r="S76" s="92"/>
      <c r="T76" s="92"/>
      <c r="U76" s="92"/>
    </row>
    <row r="77" spans="11:21" ht="15" customHeight="1" x14ac:dyDescent="0.25">
      <c r="O77" s="92"/>
      <c r="P77" s="204"/>
      <c r="Q77" s="92"/>
      <c r="R77" s="92"/>
      <c r="U77" s="92"/>
    </row>
    <row r="78" spans="11:21" ht="15" customHeight="1" x14ac:dyDescent="0.25">
      <c r="O78" s="92"/>
      <c r="P78" s="92"/>
      <c r="Q78" s="92"/>
      <c r="S78" s="92"/>
      <c r="T78" s="92"/>
      <c r="U78" s="92"/>
    </row>
    <row r="79" spans="11:21" ht="15" customHeight="1" x14ac:dyDescent="0.25">
      <c r="O79" s="204"/>
      <c r="P79" s="92"/>
      <c r="Q79" s="204"/>
      <c r="R79" s="92"/>
      <c r="S79" s="92"/>
      <c r="T79" s="92"/>
      <c r="U79" s="35"/>
    </row>
    <row r="80" spans="11:21" ht="15" customHeight="1" x14ac:dyDescent="0.25">
      <c r="O80" s="204"/>
      <c r="P80" s="204"/>
      <c r="Q80" s="92"/>
      <c r="R80" s="92"/>
      <c r="U80" s="35"/>
    </row>
    <row r="81" spans="15:21" ht="15" customHeight="1" x14ac:dyDescent="0.25">
      <c r="Q81" s="92"/>
      <c r="S81" s="92"/>
      <c r="T81" s="92"/>
    </row>
    <row r="82" spans="15:21" ht="15" customHeight="1" x14ac:dyDescent="0.25">
      <c r="Q82" s="204"/>
      <c r="R82" s="92"/>
    </row>
    <row r="86" spans="15:21" ht="15" customHeight="1" x14ac:dyDescent="0.25">
      <c r="O86" s="92"/>
      <c r="P86" s="92"/>
      <c r="U86" s="92"/>
    </row>
    <row r="87" spans="15:21" ht="15" customHeight="1" x14ac:dyDescent="0.25">
      <c r="O87" s="204"/>
      <c r="P87" s="92"/>
      <c r="S87" s="92"/>
      <c r="T87" s="92"/>
      <c r="U87" s="92"/>
    </row>
    <row r="88" spans="15:21" ht="15" customHeight="1" x14ac:dyDescent="0.25">
      <c r="O88" s="204"/>
      <c r="P88" s="204"/>
      <c r="Q88" s="92"/>
      <c r="R88" s="92"/>
      <c r="S88" s="92"/>
      <c r="T88" s="92"/>
      <c r="U88" s="92"/>
    </row>
    <row r="89" spans="15:21" ht="15" customHeight="1" x14ac:dyDescent="0.25">
      <c r="O89" s="204"/>
      <c r="P89" s="204"/>
      <c r="Q89" s="92"/>
      <c r="R89" s="92"/>
      <c r="S89" s="92"/>
      <c r="T89" s="92"/>
      <c r="U89" s="92"/>
    </row>
    <row r="90" spans="15:21" ht="15" customHeight="1" x14ac:dyDescent="0.25">
      <c r="O90" s="204"/>
      <c r="P90" s="92"/>
      <c r="Q90" s="204"/>
      <c r="R90" s="92"/>
      <c r="S90" s="92"/>
      <c r="T90" s="92"/>
      <c r="U90" s="92"/>
    </row>
    <row r="91" spans="15:21" ht="15" customHeight="1" x14ac:dyDescent="0.25">
      <c r="O91" s="204"/>
      <c r="P91" s="92"/>
      <c r="Q91" s="204"/>
      <c r="R91" s="92"/>
      <c r="S91" s="92"/>
      <c r="T91" s="92"/>
      <c r="U91" s="92"/>
    </row>
    <row r="92" spans="15:21" ht="15" customHeight="1" x14ac:dyDescent="0.25">
      <c r="Q92" s="92"/>
      <c r="R92" s="92"/>
      <c r="S92" s="92"/>
      <c r="T92" s="92"/>
      <c r="U92" s="92"/>
    </row>
    <row r="93" spans="15:21" ht="15" customHeight="1" x14ac:dyDescent="0.25">
      <c r="Q93" s="92"/>
      <c r="R93" s="92"/>
      <c r="U93" s="92"/>
    </row>
    <row r="94" spans="15:21" ht="15" customHeight="1" x14ac:dyDescent="0.25">
      <c r="S94" s="92"/>
      <c r="T94" s="92"/>
      <c r="U94" s="92"/>
    </row>
    <row r="95" spans="15:21" ht="15" customHeight="1" x14ac:dyDescent="0.25">
      <c r="O95" s="92"/>
      <c r="P95" s="92"/>
      <c r="R95" s="92"/>
      <c r="S95" s="92"/>
      <c r="T95" s="92"/>
      <c r="U95" s="92"/>
    </row>
    <row r="96" spans="15:21" ht="15" customHeight="1" x14ac:dyDescent="0.25">
      <c r="O96" s="92"/>
      <c r="P96" s="92"/>
      <c r="R96" s="92"/>
      <c r="S96" s="92"/>
      <c r="T96" s="92"/>
      <c r="U96" s="92"/>
    </row>
    <row r="97" spans="15:21" ht="15" customHeight="1" x14ac:dyDescent="0.25">
      <c r="O97" s="92"/>
      <c r="P97" s="92"/>
      <c r="Q97" s="92"/>
      <c r="R97" s="92"/>
      <c r="S97" s="92"/>
      <c r="T97" s="92"/>
      <c r="U97" s="92"/>
    </row>
    <row r="98" spans="15:21" ht="15" customHeight="1" x14ac:dyDescent="0.25">
      <c r="O98" s="204"/>
      <c r="Q98" s="92"/>
      <c r="R98" s="92"/>
      <c r="S98" s="92"/>
      <c r="T98" s="92"/>
      <c r="U98" s="92"/>
    </row>
    <row r="99" spans="15:21" ht="15" customHeight="1" x14ac:dyDescent="0.25">
      <c r="O99" s="204"/>
      <c r="Q99" s="92"/>
      <c r="R99" s="92"/>
      <c r="U99" s="92"/>
    </row>
    <row r="100" spans="15:21" ht="15" customHeight="1" x14ac:dyDescent="0.25">
      <c r="U100" s="92"/>
    </row>
    <row r="101" spans="15:21" ht="15" customHeight="1" x14ac:dyDescent="0.25">
      <c r="O101" s="92"/>
      <c r="P101" s="92"/>
      <c r="U101" s="92"/>
    </row>
    <row r="102" spans="15:21" ht="15" customHeight="1" x14ac:dyDescent="0.25">
      <c r="O102" s="92"/>
      <c r="P102" s="92"/>
      <c r="S102" s="92"/>
      <c r="T102" s="92"/>
      <c r="U102" s="92"/>
    </row>
    <row r="103" spans="15:21" ht="15" customHeight="1" x14ac:dyDescent="0.25">
      <c r="O103" s="92"/>
      <c r="P103" s="92"/>
      <c r="Q103" s="92"/>
      <c r="R103" s="92"/>
      <c r="S103" s="92"/>
      <c r="T103" s="92"/>
      <c r="U103" s="92"/>
    </row>
    <row r="104" spans="15:21" ht="15" customHeight="1" x14ac:dyDescent="0.25">
      <c r="O104" s="92"/>
      <c r="P104" s="92"/>
      <c r="Q104" s="92"/>
      <c r="R104" s="92"/>
      <c r="S104" s="92"/>
      <c r="T104" s="92"/>
      <c r="U104" s="92"/>
    </row>
    <row r="105" spans="15:21" ht="15" customHeight="1" x14ac:dyDescent="0.25">
      <c r="O105" s="92"/>
      <c r="P105" s="92"/>
      <c r="Q105" s="92"/>
      <c r="R105" s="92"/>
      <c r="S105" s="92"/>
      <c r="T105" s="92"/>
      <c r="U105" s="92"/>
    </row>
    <row r="106" spans="15:21" ht="15" customHeight="1" x14ac:dyDescent="0.25">
      <c r="O106" s="92"/>
      <c r="P106" s="92"/>
      <c r="Q106" s="92"/>
      <c r="R106" s="92"/>
      <c r="S106" s="92"/>
      <c r="T106" s="92"/>
      <c r="U106" s="92"/>
    </row>
    <row r="107" spans="15:21" ht="15" customHeight="1" x14ac:dyDescent="0.25">
      <c r="O107" s="92"/>
      <c r="P107" s="92"/>
      <c r="Q107" s="92"/>
      <c r="R107" s="92"/>
      <c r="S107" s="92"/>
      <c r="T107" s="92"/>
      <c r="U107" s="92"/>
    </row>
    <row r="108" spans="15:21" ht="15" customHeight="1" x14ac:dyDescent="0.25">
      <c r="O108" s="92"/>
      <c r="P108" s="92"/>
      <c r="Q108" s="92"/>
      <c r="R108" s="92"/>
      <c r="S108" s="92"/>
      <c r="T108" s="92"/>
      <c r="U108" s="92"/>
    </row>
    <row r="109" spans="15:21" ht="15" customHeight="1" x14ac:dyDescent="0.25">
      <c r="O109" s="92"/>
      <c r="P109" s="92"/>
      <c r="Q109" s="92"/>
      <c r="R109" s="92"/>
      <c r="S109" s="92"/>
      <c r="T109" s="92"/>
      <c r="U109" s="92"/>
    </row>
    <row r="110" spans="15:21" ht="15" customHeight="1" x14ac:dyDescent="0.25">
      <c r="O110" s="92"/>
      <c r="P110" s="92"/>
      <c r="Q110" s="92"/>
      <c r="R110" s="92"/>
      <c r="S110" s="92"/>
      <c r="T110" s="92"/>
      <c r="U110" s="92"/>
    </row>
    <row r="111" spans="15:21" ht="15" customHeight="1" x14ac:dyDescent="0.25">
      <c r="O111" s="92"/>
      <c r="P111" s="92"/>
      <c r="Q111" s="92"/>
      <c r="R111" s="92"/>
      <c r="S111" s="92"/>
      <c r="T111" s="92"/>
      <c r="U111" s="92"/>
    </row>
    <row r="112" spans="15:21" ht="15" customHeight="1" x14ac:dyDescent="0.25">
      <c r="O112" s="92"/>
      <c r="P112" s="92"/>
      <c r="Q112" s="92"/>
      <c r="R112" s="92"/>
      <c r="S112" s="92"/>
      <c r="T112" s="92"/>
      <c r="U112" s="92"/>
    </row>
    <row r="113" s="92" customFormat="1" ht="15" customHeight="1" x14ac:dyDescent="0.25"/>
    <row r="114" s="92" customFormat="1" ht="15" customHeight="1" x14ac:dyDescent="0.25"/>
    <row r="115" s="92" customFormat="1" ht="15" customHeight="1" x14ac:dyDescent="0.25"/>
    <row r="116" s="92" customFormat="1" ht="15" customHeight="1" x14ac:dyDescent="0.25"/>
    <row r="117" s="92" customFormat="1" ht="15" customHeight="1" x14ac:dyDescent="0.25"/>
    <row r="118" s="92" customFormat="1" ht="15" customHeight="1" x14ac:dyDescent="0.25"/>
    <row r="119" s="92" customFormat="1" ht="15" customHeight="1" x14ac:dyDescent="0.25"/>
    <row r="120" s="92" customFormat="1" ht="15" customHeight="1" x14ac:dyDescent="0.25"/>
    <row r="121" s="92" customFormat="1" ht="15" customHeight="1" x14ac:dyDescent="0.25"/>
    <row r="122" s="92" customFormat="1" ht="15" customHeight="1" x14ac:dyDescent="0.25"/>
    <row r="123" s="92" customFormat="1" ht="15" customHeight="1" x14ac:dyDescent="0.25"/>
    <row r="124" s="92" customFormat="1" ht="15" customHeight="1" x14ac:dyDescent="0.25"/>
    <row r="125" s="92" customFormat="1" ht="15" customHeight="1" x14ac:dyDescent="0.25"/>
    <row r="126" s="92" customFormat="1" ht="15" customHeight="1" x14ac:dyDescent="0.25"/>
    <row r="127" s="92" customFormat="1" ht="15" customHeight="1" x14ac:dyDescent="0.25"/>
    <row r="128" s="92" customFormat="1" ht="15" customHeight="1" x14ac:dyDescent="0.25"/>
    <row r="129" s="92" customFormat="1" ht="15" customHeight="1" x14ac:dyDescent="0.25"/>
    <row r="130" s="92" customFormat="1" ht="15" customHeight="1" x14ac:dyDescent="0.25"/>
    <row r="131" s="92" customFormat="1" ht="15" customHeight="1" x14ac:dyDescent="0.25"/>
    <row r="132" s="92" customFormat="1" ht="15" customHeight="1" x14ac:dyDescent="0.25"/>
    <row r="133" s="92" customFormat="1" ht="15" customHeight="1" x14ac:dyDescent="0.25"/>
    <row r="134" s="92" customFormat="1" ht="15" customHeight="1" x14ac:dyDescent="0.25"/>
    <row r="135" s="92" customFormat="1" ht="15" customHeight="1" x14ac:dyDescent="0.25"/>
    <row r="136" s="92" customFormat="1" ht="15" customHeight="1" x14ac:dyDescent="0.25"/>
    <row r="137" s="92" customFormat="1" ht="15" customHeight="1" x14ac:dyDescent="0.25"/>
    <row r="138" s="92" customFormat="1" ht="15" customHeight="1" x14ac:dyDescent="0.25"/>
    <row r="139" s="92" customFormat="1" ht="15" customHeight="1" x14ac:dyDescent="0.25"/>
    <row r="140" s="92" customFormat="1" ht="15" customHeight="1" x14ac:dyDescent="0.25"/>
    <row r="141" s="92" customFormat="1" ht="15" customHeight="1" x14ac:dyDescent="0.25"/>
    <row r="142" s="92" customFormat="1" ht="15" customHeight="1" x14ac:dyDescent="0.25"/>
    <row r="143" s="92" customFormat="1" ht="15" customHeight="1" x14ac:dyDescent="0.25"/>
    <row r="144" s="92" customFormat="1" ht="15" customHeight="1" x14ac:dyDescent="0.25"/>
    <row r="145" s="92" customFormat="1" ht="15" customHeight="1" x14ac:dyDescent="0.25"/>
    <row r="146" s="92" customFormat="1" ht="15" customHeight="1" x14ac:dyDescent="0.25"/>
    <row r="147" s="92" customFormat="1" ht="15" customHeight="1" x14ac:dyDescent="0.25"/>
    <row r="148" s="92" customFormat="1" ht="15" customHeight="1" x14ac:dyDescent="0.25"/>
    <row r="149" s="92" customFormat="1" ht="15" customHeight="1" x14ac:dyDescent="0.25"/>
    <row r="150" s="92" customFormat="1" ht="15" customHeight="1" x14ac:dyDescent="0.25"/>
    <row r="151" s="92" customFormat="1" ht="15" customHeight="1" x14ac:dyDescent="0.25"/>
    <row r="152" s="92" customFormat="1" ht="15" customHeight="1" x14ac:dyDescent="0.25"/>
    <row r="153" s="92" customFormat="1" ht="15" customHeight="1" x14ac:dyDescent="0.25"/>
    <row r="154" s="92" customFormat="1" ht="15" customHeight="1" x14ac:dyDescent="0.25"/>
    <row r="155" s="92" customFormat="1" ht="15" customHeight="1" x14ac:dyDescent="0.25"/>
    <row r="156" s="92" customFormat="1" ht="15" customHeight="1" x14ac:dyDescent="0.25"/>
    <row r="157" s="92" customFormat="1" ht="15" customHeight="1" x14ac:dyDescent="0.25"/>
    <row r="158" s="92" customFormat="1" ht="15" customHeight="1" x14ac:dyDescent="0.25"/>
    <row r="159" s="92" customFormat="1" ht="15" customHeight="1" x14ac:dyDescent="0.25"/>
    <row r="160" s="92" customFormat="1" ht="15" customHeight="1" x14ac:dyDescent="0.25"/>
    <row r="161" s="92" customFormat="1" ht="15" customHeight="1" x14ac:dyDescent="0.25"/>
    <row r="162" s="92" customFormat="1" ht="15" customHeight="1" x14ac:dyDescent="0.25"/>
    <row r="163" s="92" customFormat="1" ht="15" customHeight="1" x14ac:dyDescent="0.25"/>
    <row r="164" s="92" customFormat="1" ht="15" customHeight="1" x14ac:dyDescent="0.25"/>
    <row r="165" s="92" customFormat="1" ht="15" customHeight="1" x14ac:dyDescent="0.25"/>
    <row r="166" s="92" customFormat="1" ht="15" customHeight="1" x14ac:dyDescent="0.25"/>
    <row r="167" s="92" customFormat="1" ht="15" customHeight="1" x14ac:dyDescent="0.25"/>
    <row r="168" s="92" customFormat="1" ht="15" customHeight="1" x14ac:dyDescent="0.25"/>
    <row r="169" s="92" customFormat="1" ht="15" customHeight="1" x14ac:dyDescent="0.25"/>
    <row r="170" s="92" customFormat="1" ht="15" customHeight="1" x14ac:dyDescent="0.25"/>
    <row r="171" s="92" customFormat="1" ht="15" customHeight="1" x14ac:dyDescent="0.25"/>
    <row r="172" s="92" customFormat="1" ht="15" customHeight="1" x14ac:dyDescent="0.25"/>
    <row r="173" s="92" customFormat="1" ht="15" customHeight="1" x14ac:dyDescent="0.25"/>
    <row r="174" s="92" customFormat="1" ht="15" customHeight="1" x14ac:dyDescent="0.25"/>
    <row r="175" s="92" customFormat="1" ht="15" customHeight="1" x14ac:dyDescent="0.25"/>
    <row r="176" s="92" customFormat="1" ht="15" customHeight="1" x14ac:dyDescent="0.25"/>
    <row r="177" s="92" customFormat="1" ht="15" customHeight="1" x14ac:dyDescent="0.25"/>
    <row r="178" s="92" customFormat="1" ht="15" customHeight="1" x14ac:dyDescent="0.25"/>
    <row r="179" s="92" customFormat="1" ht="15" customHeight="1" x14ac:dyDescent="0.25"/>
    <row r="180" s="92" customFormat="1" ht="15" customHeight="1" x14ac:dyDescent="0.25"/>
    <row r="181" s="92" customFormat="1" ht="15" customHeight="1" x14ac:dyDescent="0.25"/>
    <row r="182" s="92" customFormat="1" ht="15" customHeight="1" x14ac:dyDescent="0.25"/>
    <row r="183" s="92" customFormat="1" ht="15" customHeight="1" x14ac:dyDescent="0.25"/>
    <row r="184" s="92" customFormat="1" ht="15" customHeight="1" x14ac:dyDescent="0.25"/>
    <row r="185" s="92" customFormat="1" ht="15" customHeight="1" x14ac:dyDescent="0.25"/>
    <row r="186" s="92" customFormat="1" ht="15" customHeight="1" x14ac:dyDescent="0.25"/>
    <row r="187" s="92" customFormat="1" ht="15" customHeight="1" x14ac:dyDescent="0.25"/>
    <row r="188" s="92" customFormat="1" ht="15" customHeight="1" x14ac:dyDescent="0.25"/>
    <row r="189" s="92" customFormat="1" ht="15" customHeight="1" x14ac:dyDescent="0.25"/>
    <row r="190" s="92" customFormat="1" ht="15" customHeight="1" x14ac:dyDescent="0.25"/>
    <row r="191" s="92" customFormat="1" ht="15" customHeight="1" x14ac:dyDescent="0.25"/>
    <row r="192" s="92" customFormat="1" ht="15" customHeight="1" x14ac:dyDescent="0.25"/>
    <row r="193" s="92" customFormat="1" ht="15" customHeight="1" x14ac:dyDescent="0.25"/>
    <row r="194" s="92" customFormat="1" ht="15" customHeight="1" x14ac:dyDescent="0.25"/>
    <row r="195" s="92" customFormat="1" ht="15" customHeight="1" x14ac:dyDescent="0.25"/>
    <row r="196" s="92" customFormat="1" ht="15" customHeight="1" x14ac:dyDescent="0.25"/>
    <row r="197" s="92" customFormat="1" ht="15" customHeight="1" x14ac:dyDescent="0.25"/>
    <row r="198" s="92" customFormat="1" ht="15" customHeight="1" x14ac:dyDescent="0.25"/>
    <row r="199" s="92" customFormat="1" ht="15" customHeight="1" x14ac:dyDescent="0.25"/>
    <row r="200" s="92" customFormat="1" ht="15" customHeight="1" x14ac:dyDescent="0.25"/>
    <row r="201" s="92" customFormat="1" ht="15" customHeight="1" x14ac:dyDescent="0.25"/>
    <row r="202" s="92" customFormat="1" ht="15" customHeight="1" x14ac:dyDescent="0.25"/>
    <row r="203" s="92" customFormat="1" ht="15" customHeight="1" x14ac:dyDescent="0.25"/>
    <row r="204" s="92" customFormat="1" ht="15" customHeight="1" x14ac:dyDescent="0.25"/>
    <row r="205" s="92" customFormat="1" ht="15" customHeight="1" x14ac:dyDescent="0.25"/>
    <row r="206" s="92" customFormat="1" ht="15" customHeight="1" x14ac:dyDescent="0.25"/>
    <row r="207" s="92" customFormat="1" ht="15" customHeight="1" x14ac:dyDescent="0.25"/>
    <row r="208" s="92" customFormat="1" ht="15" customHeight="1" x14ac:dyDescent="0.25"/>
    <row r="209" s="92" customFormat="1" ht="15" customHeight="1" x14ac:dyDescent="0.25"/>
    <row r="210" s="92" customFormat="1" ht="15" customHeight="1" x14ac:dyDescent="0.25"/>
    <row r="211" s="92" customFormat="1" ht="15" customHeight="1" x14ac:dyDescent="0.25"/>
    <row r="212" s="92" customFormat="1" ht="15" customHeight="1" x14ac:dyDescent="0.25"/>
    <row r="213" s="92" customFormat="1" ht="15" customHeight="1" x14ac:dyDescent="0.25"/>
    <row r="214" s="92" customFormat="1" ht="15" customHeight="1" x14ac:dyDescent="0.25"/>
    <row r="215" s="92" customFormat="1" ht="15" customHeight="1" x14ac:dyDescent="0.25"/>
    <row r="216" s="92" customFormat="1" ht="15" customHeight="1" x14ac:dyDescent="0.25"/>
    <row r="217" s="92" customFormat="1" ht="15" customHeight="1" x14ac:dyDescent="0.25"/>
    <row r="218" s="92" customFormat="1" ht="15" customHeight="1" x14ac:dyDescent="0.25"/>
    <row r="219" s="92" customFormat="1" ht="15" customHeight="1" x14ac:dyDescent="0.25"/>
    <row r="220" s="92" customFormat="1" ht="15" customHeight="1" x14ac:dyDescent="0.25"/>
    <row r="221" s="92" customFormat="1" ht="15" customHeight="1" x14ac:dyDescent="0.25"/>
    <row r="222" s="92" customFormat="1" ht="15" customHeight="1" x14ac:dyDescent="0.25"/>
    <row r="223" s="92" customFormat="1" ht="15" customHeight="1" x14ac:dyDescent="0.25"/>
    <row r="224" s="92" customFormat="1" ht="15" customHeight="1" x14ac:dyDescent="0.25"/>
    <row r="225" s="92" customFormat="1" ht="15" customHeight="1" x14ac:dyDescent="0.25"/>
    <row r="226" s="92" customFormat="1" ht="15" customHeight="1" x14ac:dyDescent="0.25"/>
    <row r="227" s="92" customFormat="1" ht="15" customHeight="1" x14ac:dyDescent="0.25"/>
    <row r="228" s="92" customFormat="1" ht="15" customHeight="1" x14ac:dyDescent="0.25"/>
    <row r="229" s="92" customFormat="1" ht="15" customHeight="1" x14ac:dyDescent="0.25"/>
    <row r="230" s="92" customFormat="1" ht="15" customHeight="1" x14ac:dyDescent="0.25"/>
    <row r="231" s="92" customFormat="1" ht="15" customHeight="1" x14ac:dyDescent="0.25"/>
    <row r="232" s="92" customFormat="1" ht="15" customHeight="1" x14ac:dyDescent="0.25"/>
    <row r="233" s="92" customFormat="1" ht="15" customHeight="1" x14ac:dyDescent="0.25"/>
    <row r="234" s="92" customFormat="1" ht="15" customHeight="1" x14ac:dyDescent="0.25"/>
    <row r="235" s="92" customFormat="1" ht="15" customHeight="1" x14ac:dyDescent="0.25"/>
    <row r="236" s="92" customFormat="1" ht="15" customHeight="1" x14ac:dyDescent="0.25"/>
    <row r="237" s="92" customFormat="1" ht="15" customHeight="1" x14ac:dyDescent="0.25"/>
    <row r="238" s="92" customFormat="1" ht="15" customHeight="1" x14ac:dyDescent="0.25"/>
    <row r="239" s="92" customFormat="1" ht="15" customHeight="1" x14ac:dyDescent="0.25"/>
    <row r="240" s="92" customFormat="1" ht="15" customHeight="1" x14ac:dyDescent="0.25"/>
    <row r="241" s="92" customFormat="1" ht="15" customHeight="1" x14ac:dyDescent="0.25"/>
    <row r="242" s="92" customFormat="1" ht="15" customHeight="1" x14ac:dyDescent="0.25"/>
    <row r="243" s="92" customFormat="1" ht="15" customHeight="1" x14ac:dyDescent="0.25"/>
    <row r="244" s="92" customFormat="1" ht="15" customHeight="1" x14ac:dyDescent="0.25"/>
    <row r="245" s="92" customFormat="1" ht="15" customHeight="1" x14ac:dyDescent="0.25"/>
    <row r="246" s="92" customFormat="1" ht="15" customHeight="1" x14ac:dyDescent="0.25"/>
    <row r="247" s="92" customFormat="1" ht="15" customHeight="1" x14ac:dyDescent="0.25"/>
    <row r="248" s="92" customFormat="1" ht="15" customHeight="1" x14ac:dyDescent="0.25"/>
    <row r="249" s="92" customFormat="1" ht="15" customHeight="1" x14ac:dyDescent="0.25"/>
    <row r="250" s="92" customFormat="1" ht="15" customHeight="1" x14ac:dyDescent="0.25"/>
    <row r="251" s="92" customFormat="1" ht="15" customHeight="1" x14ac:dyDescent="0.25"/>
    <row r="252" s="92" customFormat="1" ht="15" customHeight="1" x14ac:dyDescent="0.25"/>
    <row r="253" s="92" customFormat="1" ht="15" customHeight="1" x14ac:dyDescent="0.25"/>
    <row r="254" s="92" customFormat="1" ht="15" customHeight="1" x14ac:dyDescent="0.25"/>
    <row r="255" s="92" customFormat="1" ht="15" customHeight="1" x14ac:dyDescent="0.25"/>
    <row r="256" s="92" customFormat="1" ht="15" customHeight="1" x14ac:dyDescent="0.25"/>
    <row r="257" s="92" customFormat="1" ht="15" customHeight="1" x14ac:dyDescent="0.25"/>
    <row r="258" s="92" customFormat="1" ht="15" customHeight="1" x14ac:dyDescent="0.25"/>
    <row r="259" s="92" customFormat="1" ht="15" customHeight="1" x14ac:dyDescent="0.25"/>
    <row r="260" s="92" customFormat="1" ht="15" customHeight="1" x14ac:dyDescent="0.25"/>
    <row r="261" s="92" customFormat="1" ht="15" customHeight="1" x14ac:dyDescent="0.25"/>
    <row r="262" s="92" customFormat="1" ht="15" customHeight="1" x14ac:dyDescent="0.25"/>
    <row r="263" s="92" customFormat="1" ht="15" customHeight="1" x14ac:dyDescent="0.25"/>
    <row r="264" s="92" customFormat="1" ht="15" customHeight="1" x14ac:dyDescent="0.25"/>
    <row r="265" s="92" customFormat="1" ht="15" customHeight="1" x14ac:dyDescent="0.25"/>
    <row r="266" s="92" customFormat="1" ht="15" customHeight="1" x14ac:dyDescent="0.25"/>
    <row r="267" s="92" customFormat="1" ht="15" customHeight="1" x14ac:dyDescent="0.25"/>
    <row r="268" s="92" customFormat="1" ht="15" customHeight="1" x14ac:dyDescent="0.25"/>
    <row r="269" s="92" customFormat="1" ht="15" customHeight="1" x14ac:dyDescent="0.25"/>
    <row r="270" s="92" customFormat="1" ht="15" customHeight="1" x14ac:dyDescent="0.25"/>
    <row r="271" s="92" customFormat="1" ht="15" customHeight="1" x14ac:dyDescent="0.25"/>
    <row r="272" s="92" customFormat="1" ht="15" customHeight="1" x14ac:dyDescent="0.25"/>
    <row r="273" s="92" customFormat="1" ht="15" customHeight="1" x14ac:dyDescent="0.25"/>
    <row r="274" s="92" customFormat="1" ht="15" customHeight="1" x14ac:dyDescent="0.25"/>
    <row r="275" s="92" customFormat="1" ht="15" customHeight="1" x14ac:dyDescent="0.25"/>
    <row r="276" s="92" customFormat="1" ht="15" customHeight="1" x14ac:dyDescent="0.25"/>
    <row r="277" s="92" customFormat="1" ht="15" customHeight="1" x14ac:dyDescent="0.25"/>
    <row r="278" s="92" customFormat="1" ht="15" customHeight="1" x14ac:dyDescent="0.25"/>
    <row r="279" s="92" customFormat="1" ht="15" customHeight="1" x14ac:dyDescent="0.25"/>
    <row r="280" s="92" customFormat="1" ht="15" customHeight="1" x14ac:dyDescent="0.25"/>
    <row r="281" s="92" customFormat="1" ht="15" customHeight="1" x14ac:dyDescent="0.25"/>
    <row r="282" s="92" customFormat="1" ht="15" customHeight="1" x14ac:dyDescent="0.25"/>
    <row r="283" s="92" customFormat="1" ht="15" customHeight="1" x14ac:dyDescent="0.25"/>
    <row r="284" s="92" customFormat="1" ht="15" customHeight="1" x14ac:dyDescent="0.25"/>
    <row r="285" s="92" customFormat="1" ht="15" customHeight="1" x14ac:dyDescent="0.25"/>
    <row r="286" s="92" customFormat="1" ht="15" customHeight="1" x14ac:dyDescent="0.25"/>
    <row r="287" s="92" customFormat="1" ht="15" customHeight="1" x14ac:dyDescent="0.25"/>
    <row r="288" s="92" customFormat="1" ht="15" customHeight="1" x14ac:dyDescent="0.25"/>
    <row r="289" s="92" customFormat="1" ht="15" customHeight="1" x14ac:dyDescent="0.25"/>
    <row r="290" s="92" customFormat="1" ht="15" customHeight="1" x14ac:dyDescent="0.25"/>
    <row r="291" s="92" customFormat="1" ht="15" customHeight="1" x14ac:dyDescent="0.25"/>
    <row r="292" s="92" customFormat="1" ht="15" customHeight="1" x14ac:dyDescent="0.25"/>
    <row r="293" s="92" customFormat="1" ht="15" customHeight="1" x14ac:dyDescent="0.25"/>
    <row r="294" s="92" customFormat="1" ht="15" customHeight="1" x14ac:dyDescent="0.25"/>
    <row r="295" s="92" customFormat="1" ht="15" customHeight="1" x14ac:dyDescent="0.25"/>
    <row r="296" s="92" customFormat="1" ht="15" customHeight="1" x14ac:dyDescent="0.25"/>
    <row r="297" s="92" customFormat="1" ht="15" customHeight="1" x14ac:dyDescent="0.25"/>
    <row r="298" s="92" customFormat="1" ht="15" customHeight="1" x14ac:dyDescent="0.25"/>
    <row r="299" s="92" customFormat="1" ht="15" customHeight="1" x14ac:dyDescent="0.25"/>
    <row r="300" s="92" customFormat="1" ht="15" customHeight="1" x14ac:dyDescent="0.25"/>
    <row r="301" s="92" customFormat="1" ht="15" customHeight="1" x14ac:dyDescent="0.25"/>
    <row r="302" s="92" customFormat="1" ht="15" customHeight="1" x14ac:dyDescent="0.25"/>
    <row r="303" s="92" customFormat="1" ht="15" customHeight="1" x14ac:dyDescent="0.25"/>
    <row r="304" s="92" customFormat="1" ht="15" customHeight="1" x14ac:dyDescent="0.25"/>
    <row r="305" s="92" customFormat="1" ht="15" customHeight="1" x14ac:dyDescent="0.25"/>
    <row r="306" s="92" customFormat="1" ht="15" customHeight="1" x14ac:dyDescent="0.25"/>
    <row r="307" s="92" customFormat="1" ht="15" customHeight="1" x14ac:dyDescent="0.25"/>
    <row r="308" s="92" customFormat="1" ht="15" customHeight="1" x14ac:dyDescent="0.25"/>
    <row r="309" s="92" customFormat="1" ht="15" customHeight="1" x14ac:dyDescent="0.25"/>
    <row r="310" s="92" customFormat="1" ht="15" customHeight="1" x14ac:dyDescent="0.25"/>
    <row r="311" s="92" customFormat="1" ht="15" customHeight="1" x14ac:dyDescent="0.25"/>
    <row r="312" s="92" customFormat="1" ht="15" customHeight="1" x14ac:dyDescent="0.25"/>
    <row r="313" s="92" customFormat="1" ht="15" customHeight="1" x14ac:dyDescent="0.25"/>
    <row r="314" s="92" customFormat="1" ht="15" customHeight="1" x14ac:dyDescent="0.25"/>
    <row r="315" s="92" customFormat="1" ht="15" customHeight="1" x14ac:dyDescent="0.25"/>
    <row r="316" s="92" customFormat="1" ht="15" customHeight="1" x14ac:dyDescent="0.25"/>
    <row r="317" s="92" customFormat="1" ht="15" customHeight="1" x14ac:dyDescent="0.25"/>
    <row r="318" s="92" customFormat="1" ht="15" customHeight="1" x14ac:dyDescent="0.25"/>
    <row r="319" s="92" customFormat="1" ht="15" customHeight="1" x14ac:dyDescent="0.25"/>
    <row r="320" s="92" customFormat="1" ht="15" customHeight="1" x14ac:dyDescent="0.25"/>
    <row r="321" spans="15:21" ht="15" customHeight="1" x14ac:dyDescent="0.25">
      <c r="O321" s="92"/>
      <c r="P321" s="92"/>
      <c r="Q321" s="92"/>
      <c r="R321" s="92"/>
      <c r="S321" s="92"/>
      <c r="T321" s="92"/>
      <c r="U321" s="92"/>
    </row>
    <row r="322" spans="15:21" ht="15" customHeight="1" x14ac:dyDescent="0.25">
      <c r="O322" s="92"/>
      <c r="P322" s="92"/>
      <c r="Q322" s="92"/>
      <c r="R322" s="92"/>
      <c r="S322" s="92"/>
      <c r="T322" s="92"/>
      <c r="U322" s="92"/>
    </row>
    <row r="323" spans="15:21" ht="15" customHeight="1" x14ac:dyDescent="0.25">
      <c r="O323" s="92"/>
      <c r="P323" s="92"/>
      <c r="Q323" s="92"/>
      <c r="R323" s="92"/>
      <c r="S323" s="92"/>
      <c r="T323" s="92"/>
      <c r="U323" s="92"/>
    </row>
    <row r="324" spans="15:21" ht="15" customHeight="1" x14ac:dyDescent="0.25">
      <c r="O324" s="92"/>
      <c r="P324" s="92"/>
      <c r="Q324" s="92"/>
      <c r="R324" s="92"/>
      <c r="S324" s="92"/>
      <c r="T324" s="92"/>
      <c r="U324" s="92"/>
    </row>
    <row r="325" spans="15:21" ht="15" customHeight="1" x14ac:dyDescent="0.25">
      <c r="O325" s="92"/>
      <c r="P325" s="92"/>
      <c r="Q325" s="92"/>
      <c r="R325" s="92"/>
      <c r="S325" s="92"/>
      <c r="T325" s="92"/>
      <c r="U325" s="92"/>
    </row>
    <row r="326" spans="15:21" ht="15" customHeight="1" x14ac:dyDescent="0.25">
      <c r="O326" s="92"/>
      <c r="P326" s="92"/>
      <c r="Q326" s="92"/>
      <c r="R326" s="92"/>
      <c r="S326" s="92"/>
      <c r="T326" s="92"/>
      <c r="U326" s="92"/>
    </row>
    <row r="327" spans="15:21" ht="15" customHeight="1" x14ac:dyDescent="0.25">
      <c r="O327" s="92"/>
      <c r="P327" s="92"/>
      <c r="Q327" s="92"/>
      <c r="R327" s="92"/>
      <c r="S327" s="92"/>
      <c r="T327" s="92"/>
      <c r="U327" s="92"/>
    </row>
    <row r="328" spans="15:21" ht="15" customHeight="1" x14ac:dyDescent="0.25">
      <c r="Q328" s="92"/>
      <c r="R328" s="92"/>
      <c r="S328" s="92"/>
      <c r="T328" s="92"/>
      <c r="U328" s="92"/>
    </row>
    <row r="329" spans="15:21" ht="15" customHeight="1" x14ac:dyDescent="0.25">
      <c r="Q329" s="92"/>
      <c r="R329" s="92"/>
    </row>
    <row r="332" spans="15:21" ht="15" customHeight="1" x14ac:dyDescent="0.25">
      <c r="O332" s="92"/>
      <c r="P332" s="92"/>
    </row>
    <row r="333" spans="15:21" ht="15" customHeight="1" x14ac:dyDescent="0.25">
      <c r="O333" s="92"/>
      <c r="P333" s="92"/>
      <c r="S333" s="92"/>
      <c r="T333" s="92"/>
      <c r="U333" s="92"/>
    </row>
    <row r="334" spans="15:21" ht="15" customHeight="1" x14ac:dyDescent="0.25">
      <c r="Q334" s="92"/>
      <c r="R334" s="92"/>
      <c r="S334" s="92"/>
      <c r="T334" s="92"/>
      <c r="U334" s="92"/>
    </row>
    <row r="335" spans="15:21" ht="15" customHeight="1" x14ac:dyDescent="0.25">
      <c r="Q335" s="92"/>
      <c r="R335" s="92"/>
    </row>
  </sheetData>
  <mergeCells count="5">
    <mergeCell ref="C45:J46"/>
    <mergeCell ref="C48:J49"/>
    <mergeCell ref="C39:J39"/>
    <mergeCell ref="C51:J52"/>
    <mergeCell ref="C43:I43"/>
  </mergeCells>
  <printOptions horizontalCentered="1"/>
  <pageMargins left="0.25" right="0.25" top="0.75" bottom="0.75" header="0.3" footer="0.3"/>
  <pageSetup paperSize="3"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3C919-FC08-4229-BE93-BC682A1261F6}">
  <sheetPr codeName="Sheet9">
    <tabColor theme="5" tint="0.59999389629810485"/>
    <pageSetUpPr fitToPage="1"/>
  </sheetPr>
  <dimension ref="A1:AF74"/>
  <sheetViews>
    <sheetView view="pageBreakPreview" topLeftCell="A9" zoomScale="70" zoomScaleNormal="70" zoomScaleSheetLayoutView="70" zoomScalePageLayoutView="55" workbookViewId="0">
      <selection activeCell="O43" sqref="O43"/>
    </sheetView>
  </sheetViews>
  <sheetFormatPr defaultRowHeight="15" x14ac:dyDescent="0.25"/>
  <cols>
    <col min="1" max="1" width="3.7109375" customWidth="1"/>
    <col min="2" max="8" width="20.7109375" customWidth="1"/>
    <col min="9" max="9" width="5.7109375" customWidth="1"/>
    <col min="10" max="10" width="3" customWidth="1"/>
    <col min="11" max="11" width="39.140625" customWidth="1"/>
    <col min="12" max="12" width="31" customWidth="1"/>
    <col min="13" max="13" width="28.7109375" bestFit="1" customWidth="1"/>
    <col min="14" max="14" width="31" customWidth="1"/>
    <col min="15" max="23" width="21.7109375" customWidth="1"/>
    <col min="24" max="30" width="21" customWidth="1"/>
    <col min="31" max="33" width="23.28515625" customWidth="1"/>
    <col min="34" max="34" width="29.28515625" bestFit="1" customWidth="1"/>
    <col min="35" max="35" width="23.28515625" customWidth="1"/>
    <col min="36" max="37" width="29.28515625" bestFit="1" customWidth="1"/>
    <col min="38" max="40" width="10.7109375" customWidth="1"/>
  </cols>
  <sheetData>
    <row r="1" spans="2:32" ht="14.25" customHeight="1" x14ac:dyDescent="0.25">
      <c r="B1" s="47"/>
      <c r="C1" s="47"/>
      <c r="D1" s="47"/>
      <c r="E1" s="47"/>
      <c r="F1" s="47"/>
      <c r="G1" s="47"/>
      <c r="H1" s="47"/>
    </row>
    <row r="2" spans="2:32" x14ac:dyDescent="0.25">
      <c r="B2" s="1" t="s">
        <v>853</v>
      </c>
      <c r="C2" s="1"/>
    </row>
    <row r="3" spans="2:32" ht="15.75" thickBot="1" x14ac:dyDescent="0.3">
      <c r="K3" s="15"/>
    </row>
    <row r="4" spans="2:32" ht="35.1" customHeight="1" x14ac:dyDescent="0.25">
      <c r="B4" s="709" t="s">
        <v>0</v>
      </c>
      <c r="C4" s="711" t="s">
        <v>60</v>
      </c>
      <c r="D4" s="713" t="s">
        <v>47</v>
      </c>
      <c r="E4" s="711" t="s">
        <v>61</v>
      </c>
      <c r="F4" s="713" t="s">
        <v>48</v>
      </c>
      <c r="G4" s="715" t="s">
        <v>27</v>
      </c>
      <c r="H4" s="706" t="s">
        <v>1</v>
      </c>
      <c r="K4" s="53"/>
    </row>
    <row r="5" spans="2:32" ht="43.5" customHeight="1" thickBot="1" x14ac:dyDescent="0.3">
      <c r="B5" s="710"/>
      <c r="C5" s="712"/>
      <c r="D5" s="714"/>
      <c r="E5" s="712"/>
      <c r="F5" s="714"/>
      <c r="G5" s="716"/>
      <c r="H5" s="707"/>
      <c r="K5" s="708" t="s">
        <v>57</v>
      </c>
      <c r="L5" s="708"/>
      <c r="M5" s="30"/>
    </row>
    <row r="6" spans="2:32" ht="15" customHeight="1" x14ac:dyDescent="0.25">
      <c r="B6" s="91">
        <v>2024</v>
      </c>
      <c r="C6" s="109">
        <f>IFERROR(VLOOKUP(B6,$K$35:$S$35,4,FALSE),0)</f>
        <v>0</v>
      </c>
      <c r="D6" s="108">
        <f>IFERROR(VLOOKUP(B6,$K$35:$S$35,5,FALSE),0)</f>
        <v>0</v>
      </c>
      <c r="E6" s="109">
        <f>IFERROR(VLOOKUP(B6,$K$35:$S$35,8,FALSE),0)</f>
        <v>0</v>
      </c>
      <c r="F6" s="108">
        <f>IFERROR(VLOOKUP(B6,$K$35:$S$35,9,FALSE),0)</f>
        <v>0</v>
      </c>
      <c r="G6" s="107">
        <f>F6-D6</f>
        <v>0</v>
      </c>
      <c r="H6" s="106">
        <f>G6*(1+0.07)^-(B6-Assumptions!$D$11)</f>
        <v>0</v>
      </c>
      <c r="K6" s="25" t="s">
        <v>54</v>
      </c>
      <c r="L6" s="609">
        <f>Assumptions!$D$26</f>
        <v>18.8</v>
      </c>
      <c r="AF6" s="1"/>
    </row>
    <row r="7" spans="2:32" x14ac:dyDescent="0.25">
      <c r="B7" s="105">
        <f>B6+1</f>
        <v>2025</v>
      </c>
      <c r="C7" s="104">
        <f t="shared" ref="C7:C41" si="0">IFERROR(VLOOKUP(B7,$K$17:$S$17,4,FALSE),0)</f>
        <v>0</v>
      </c>
      <c r="D7" s="108">
        <f t="shared" ref="D7:D41" si="1">IFERROR(VLOOKUP(B7,$K$35:$S$35,5,FALSE),0)</f>
        <v>99509.964303437577</v>
      </c>
      <c r="E7" s="104">
        <f t="shared" ref="E7:E41" si="2">IFERROR(VLOOKUP(B7,$K$35:$S$35,8,FALSE),0)</f>
        <v>0</v>
      </c>
      <c r="F7" s="103">
        <f t="shared" ref="F7:F41" si="3">IFERROR(VLOOKUP(B7,$K$35:$S$35,9,FALSE),0)</f>
        <v>0</v>
      </c>
      <c r="G7" s="102">
        <f t="shared" ref="G7:G41" si="4">F7-D7</f>
        <v>-99509.964303437577</v>
      </c>
      <c r="H7" s="101">
        <f>G7*(1+0.07)^-(B7-Assumptions!$D$11)</f>
        <v>-75915.67531811267</v>
      </c>
      <c r="K7" s="25" t="s">
        <v>49</v>
      </c>
      <c r="L7" s="609">
        <f>Assumptions!D$27</f>
        <v>34</v>
      </c>
    </row>
    <row r="8" spans="2:32" x14ac:dyDescent="0.25">
      <c r="B8" s="105">
        <f t="shared" ref="B8:B41" si="5">B7+1</f>
        <v>2026</v>
      </c>
      <c r="C8" s="104">
        <f t="shared" si="0"/>
        <v>0</v>
      </c>
      <c r="D8" s="108">
        <f t="shared" si="1"/>
        <v>0</v>
      </c>
      <c r="E8" s="104">
        <f t="shared" si="2"/>
        <v>0</v>
      </c>
      <c r="F8" s="103">
        <f t="shared" si="3"/>
        <v>0</v>
      </c>
      <c r="G8" s="102">
        <f t="shared" si="4"/>
        <v>0</v>
      </c>
      <c r="H8" s="101">
        <f>G8*(1+0.07)^-(B8-Assumptions!$D$11)</f>
        <v>0</v>
      </c>
      <c r="J8" s="16"/>
    </row>
    <row r="9" spans="2:32" ht="15" customHeight="1" x14ac:dyDescent="0.25">
      <c r="B9" s="105">
        <f t="shared" si="5"/>
        <v>2027</v>
      </c>
      <c r="C9" s="104">
        <f t="shared" si="0"/>
        <v>0</v>
      </c>
      <c r="D9" s="108">
        <f t="shared" si="1"/>
        <v>0</v>
      </c>
      <c r="E9" s="104">
        <f t="shared" si="2"/>
        <v>0</v>
      </c>
      <c r="F9" s="103">
        <f t="shared" si="3"/>
        <v>0</v>
      </c>
      <c r="G9" s="102">
        <f t="shared" si="4"/>
        <v>0</v>
      </c>
      <c r="H9" s="101">
        <f>G9*(1+0.07)^-(B9-Assumptions!$D$11)</f>
        <v>0</v>
      </c>
      <c r="K9" s="19" t="s">
        <v>58</v>
      </c>
      <c r="L9" s="19"/>
    </row>
    <row r="10" spans="2:32" x14ac:dyDescent="0.25">
      <c r="B10" s="105">
        <f t="shared" si="5"/>
        <v>2028</v>
      </c>
      <c r="C10" s="104">
        <f t="shared" si="0"/>
        <v>0</v>
      </c>
      <c r="D10" s="108">
        <f t="shared" si="1"/>
        <v>0</v>
      </c>
      <c r="E10" s="104">
        <f t="shared" si="2"/>
        <v>0</v>
      </c>
      <c r="F10" s="103">
        <f t="shared" si="3"/>
        <v>0</v>
      </c>
      <c r="G10" s="102">
        <f t="shared" si="4"/>
        <v>0</v>
      </c>
      <c r="H10" s="101">
        <f>G10*(1+0.07)^-(B10-Assumptions!$D$11)</f>
        <v>0</v>
      </c>
      <c r="K10" s="25" t="s">
        <v>55</v>
      </c>
      <c r="L10" s="610">
        <f>Assumptions!$D$20</f>
        <v>0.7767857142857143</v>
      </c>
    </row>
    <row r="11" spans="2:32" x14ac:dyDescent="0.25">
      <c r="B11" s="105">
        <f t="shared" si="5"/>
        <v>2029</v>
      </c>
      <c r="C11" s="104">
        <f t="shared" si="0"/>
        <v>0</v>
      </c>
      <c r="D11" s="108">
        <f t="shared" si="1"/>
        <v>0</v>
      </c>
      <c r="E11" s="104">
        <f t="shared" si="2"/>
        <v>0</v>
      </c>
      <c r="F11" s="103">
        <f t="shared" si="3"/>
        <v>0</v>
      </c>
      <c r="G11" s="102">
        <f t="shared" si="4"/>
        <v>0</v>
      </c>
      <c r="H11" s="101">
        <f>G11*(1+0.07)^-(B11-Assumptions!$D$11)</f>
        <v>0</v>
      </c>
      <c r="K11" s="25" t="s">
        <v>50</v>
      </c>
      <c r="L11" s="610">
        <f>Assumptions!$D$19</f>
        <v>0.22321428571428573</v>
      </c>
    </row>
    <row r="12" spans="2:32" x14ac:dyDescent="0.25">
      <c r="B12" s="105">
        <f t="shared" si="5"/>
        <v>2030</v>
      </c>
      <c r="C12" s="104">
        <f t="shared" si="0"/>
        <v>0</v>
      </c>
      <c r="D12" s="108">
        <f t="shared" si="1"/>
        <v>0</v>
      </c>
      <c r="E12" s="104">
        <f t="shared" si="2"/>
        <v>0</v>
      </c>
      <c r="F12" s="103">
        <f t="shared" si="3"/>
        <v>0</v>
      </c>
      <c r="G12" s="102">
        <f t="shared" si="4"/>
        <v>0</v>
      </c>
      <c r="H12" s="101">
        <f>G12*(1+0.07)^-(B12-Assumptions!$D$11)</f>
        <v>0</v>
      </c>
    </row>
    <row r="13" spans="2:32" ht="15" customHeight="1" x14ac:dyDescent="0.25">
      <c r="B13" s="105">
        <f t="shared" si="5"/>
        <v>2031</v>
      </c>
      <c r="C13" s="104">
        <f t="shared" si="0"/>
        <v>0</v>
      </c>
      <c r="D13" s="108">
        <f t="shared" si="1"/>
        <v>0</v>
      </c>
      <c r="E13" s="104">
        <f t="shared" si="2"/>
        <v>0</v>
      </c>
      <c r="F13" s="103">
        <f t="shared" si="3"/>
        <v>0</v>
      </c>
      <c r="G13" s="102">
        <f t="shared" si="4"/>
        <v>0</v>
      </c>
      <c r="H13" s="101">
        <f>G13*(1+0.07)^-(B13-Assumptions!$D$11)</f>
        <v>0</v>
      </c>
      <c r="K13" s="19" t="s">
        <v>59</v>
      </c>
      <c r="L13" s="19"/>
    </row>
    <row r="14" spans="2:32" x14ac:dyDescent="0.25">
      <c r="B14" s="105">
        <f t="shared" si="5"/>
        <v>2032</v>
      </c>
      <c r="C14" s="104">
        <f t="shared" si="0"/>
        <v>0</v>
      </c>
      <c r="D14" s="108">
        <f t="shared" si="1"/>
        <v>0</v>
      </c>
      <c r="E14" s="104">
        <f t="shared" si="2"/>
        <v>0</v>
      </c>
      <c r="F14" s="103">
        <f t="shared" si="3"/>
        <v>0</v>
      </c>
      <c r="G14" s="102">
        <f t="shared" si="4"/>
        <v>0</v>
      </c>
      <c r="H14" s="101">
        <f>G14*(1+0.07)^-(B14-Assumptions!$D$11)</f>
        <v>0</v>
      </c>
      <c r="K14" s="25" t="s">
        <v>56</v>
      </c>
      <c r="L14" s="612">
        <f>Assumptions!$D$21</f>
        <v>1.67</v>
      </c>
    </row>
    <row r="15" spans="2:32" x14ac:dyDescent="0.25">
      <c r="B15" s="105">
        <f t="shared" si="5"/>
        <v>2033</v>
      </c>
      <c r="C15" s="104">
        <f t="shared" si="0"/>
        <v>0</v>
      </c>
      <c r="D15" s="108">
        <f t="shared" si="1"/>
        <v>0</v>
      </c>
      <c r="E15" s="104">
        <f t="shared" si="2"/>
        <v>0</v>
      </c>
      <c r="F15" s="103">
        <f t="shared" si="3"/>
        <v>0</v>
      </c>
      <c r="G15" s="102">
        <f t="shared" si="4"/>
        <v>0</v>
      </c>
      <c r="H15" s="101">
        <f>G15*(1+0.07)^-(B15-Assumptions!$D$11)</f>
        <v>0</v>
      </c>
      <c r="K15" s="25" t="s">
        <v>26</v>
      </c>
      <c r="L15" s="612">
        <f>Assumptions!$D$22</f>
        <v>1</v>
      </c>
    </row>
    <row r="16" spans="2:32" x14ac:dyDescent="0.25">
      <c r="B16" s="105">
        <f t="shared" si="5"/>
        <v>2034</v>
      </c>
      <c r="C16" s="104">
        <f t="shared" si="0"/>
        <v>0</v>
      </c>
      <c r="D16" s="108">
        <f t="shared" si="1"/>
        <v>0</v>
      </c>
      <c r="E16" s="104">
        <f t="shared" si="2"/>
        <v>0</v>
      </c>
      <c r="F16" s="103">
        <f t="shared" si="3"/>
        <v>0</v>
      </c>
      <c r="G16" s="102">
        <f t="shared" si="4"/>
        <v>0</v>
      </c>
      <c r="H16" s="101">
        <f>G16*(1+0.07)^-(B16-Assumptions!$D$11)</f>
        <v>0</v>
      </c>
    </row>
    <row r="17" spans="1:14" x14ac:dyDescent="0.25">
      <c r="B17" s="105">
        <f t="shared" si="5"/>
        <v>2035</v>
      </c>
      <c r="C17" s="104">
        <f t="shared" si="0"/>
        <v>0</v>
      </c>
      <c r="D17" s="108">
        <f t="shared" si="1"/>
        <v>0</v>
      </c>
      <c r="E17" s="104">
        <f t="shared" si="2"/>
        <v>0</v>
      </c>
      <c r="F17" s="103">
        <f t="shared" si="3"/>
        <v>0</v>
      </c>
      <c r="G17" s="102">
        <f t="shared" si="4"/>
        <v>0</v>
      </c>
      <c r="H17" s="101">
        <f>G17*(1+0.07)^-(B17-Assumptions!$D$11)</f>
        <v>0</v>
      </c>
      <c r="K17" s="1" t="s">
        <v>242</v>
      </c>
      <c r="L17" s="201"/>
    </row>
    <row r="18" spans="1:14" x14ac:dyDescent="0.25">
      <c r="B18" s="105">
        <f t="shared" si="5"/>
        <v>2036</v>
      </c>
      <c r="C18" s="104">
        <f t="shared" si="0"/>
        <v>0</v>
      </c>
      <c r="D18" s="108">
        <f t="shared" si="1"/>
        <v>0</v>
      </c>
      <c r="E18" s="104">
        <f t="shared" si="2"/>
        <v>0</v>
      </c>
      <c r="F18" s="103">
        <f t="shared" si="3"/>
        <v>0</v>
      </c>
      <c r="G18" s="102">
        <f t="shared" si="4"/>
        <v>0</v>
      </c>
      <c r="H18" s="101">
        <f>G18*(1+0.07)^-(B18-Assumptions!$D$11)</f>
        <v>0</v>
      </c>
      <c r="K18" s="192" t="s">
        <v>30</v>
      </c>
      <c r="L18" s="26" t="s">
        <v>46</v>
      </c>
    </row>
    <row r="19" spans="1:14" x14ac:dyDescent="0.25">
      <c r="B19" s="105">
        <f t="shared" si="5"/>
        <v>2037</v>
      </c>
      <c r="C19" s="104">
        <f t="shared" si="0"/>
        <v>0</v>
      </c>
      <c r="D19" s="108">
        <f t="shared" si="1"/>
        <v>0</v>
      </c>
      <c r="E19" s="104">
        <f t="shared" si="2"/>
        <v>0</v>
      </c>
      <c r="F19" s="103">
        <f t="shared" si="3"/>
        <v>0</v>
      </c>
      <c r="G19" s="102">
        <f t="shared" si="4"/>
        <v>0</v>
      </c>
      <c r="H19" s="101">
        <f>G19*(1+0.07)^-(B19-Assumptions!$D$11)</f>
        <v>0</v>
      </c>
      <c r="K19" s="192">
        <v>2021</v>
      </c>
      <c r="L19" s="604">
        <f>Assumptions!$D$34</f>
        <v>670</v>
      </c>
    </row>
    <row r="20" spans="1:14" ht="14.25" customHeight="1" x14ac:dyDescent="0.25">
      <c r="B20" s="105">
        <f t="shared" si="5"/>
        <v>2038</v>
      </c>
      <c r="C20" s="104">
        <f t="shared" si="0"/>
        <v>0</v>
      </c>
      <c r="D20" s="108">
        <f t="shared" si="1"/>
        <v>0</v>
      </c>
      <c r="E20" s="104">
        <f t="shared" si="2"/>
        <v>0</v>
      </c>
      <c r="F20" s="103">
        <f t="shared" si="3"/>
        <v>0</v>
      </c>
      <c r="G20" s="102">
        <f t="shared" si="4"/>
        <v>0</v>
      </c>
      <c r="H20" s="101">
        <f>G20*(1+0.07)^-(B20-Assumptions!$D$11)</f>
        <v>0</v>
      </c>
      <c r="I20" s="258"/>
      <c r="K20" s="192">
        <v>2045</v>
      </c>
      <c r="L20" s="604">
        <f>Assumptions!$D$35</f>
        <v>742.36</v>
      </c>
    </row>
    <row r="21" spans="1:14" ht="15" customHeight="1" x14ac:dyDescent="0.25">
      <c r="B21" s="105">
        <f t="shared" si="5"/>
        <v>2039</v>
      </c>
      <c r="C21" s="104">
        <f t="shared" si="0"/>
        <v>0</v>
      </c>
      <c r="D21" s="108">
        <f t="shared" si="1"/>
        <v>0</v>
      </c>
      <c r="E21" s="104">
        <f t="shared" si="2"/>
        <v>0</v>
      </c>
      <c r="F21" s="103">
        <f t="shared" si="3"/>
        <v>0</v>
      </c>
      <c r="G21" s="102">
        <f t="shared" si="4"/>
        <v>0</v>
      </c>
      <c r="H21" s="101">
        <f>G21*(1+0.07)^-(B21-Assumptions!$D$11)</f>
        <v>0</v>
      </c>
      <c r="I21" s="258"/>
    </row>
    <row r="22" spans="1:14" x14ac:dyDescent="0.25">
      <c r="B22" s="105">
        <f t="shared" si="5"/>
        <v>2040</v>
      </c>
      <c r="C22" s="104">
        <f t="shared" si="0"/>
        <v>0</v>
      </c>
      <c r="D22" s="108">
        <f t="shared" si="1"/>
        <v>0</v>
      </c>
      <c r="E22" s="104">
        <f t="shared" si="2"/>
        <v>0</v>
      </c>
      <c r="F22" s="103">
        <f t="shared" si="3"/>
        <v>0</v>
      </c>
      <c r="G22" s="102">
        <f t="shared" si="4"/>
        <v>0</v>
      </c>
      <c r="H22" s="101">
        <f>G22*(1+0.07)^-(B22-Assumptions!$D$11)</f>
        <v>0</v>
      </c>
      <c r="K22" s="33" t="s">
        <v>803</v>
      </c>
    </row>
    <row r="23" spans="1:14" x14ac:dyDescent="0.25">
      <c r="B23" s="105">
        <f t="shared" si="5"/>
        <v>2041</v>
      </c>
      <c r="C23" s="104">
        <f t="shared" si="0"/>
        <v>0</v>
      </c>
      <c r="D23" s="108">
        <f t="shared" si="1"/>
        <v>0</v>
      </c>
      <c r="E23" s="104">
        <f t="shared" si="2"/>
        <v>0</v>
      </c>
      <c r="F23" s="103">
        <f t="shared" si="3"/>
        <v>0</v>
      </c>
      <c r="G23" s="102">
        <f t="shared" si="4"/>
        <v>0</v>
      </c>
      <c r="H23" s="101">
        <f>G23*(1+0.07)^-(B23-Assumptions!$D$11)</f>
        <v>0</v>
      </c>
      <c r="K23" s="24" t="s">
        <v>30</v>
      </c>
      <c r="L23" s="24" t="s">
        <v>189</v>
      </c>
      <c r="M23" s="24" t="s">
        <v>802</v>
      </c>
    </row>
    <row r="24" spans="1:14" x14ac:dyDescent="0.25">
      <c r="B24" s="105">
        <f t="shared" si="5"/>
        <v>2042</v>
      </c>
      <c r="C24" s="104">
        <f t="shared" si="0"/>
        <v>0</v>
      </c>
      <c r="D24" s="108">
        <f t="shared" si="1"/>
        <v>0</v>
      </c>
      <c r="E24" s="104">
        <f t="shared" si="2"/>
        <v>0</v>
      </c>
      <c r="F24" s="103">
        <f t="shared" si="3"/>
        <v>0</v>
      </c>
      <c r="G24" s="102">
        <f t="shared" si="4"/>
        <v>0</v>
      </c>
      <c r="H24" s="101">
        <f>G24*(1+0.07)^-(B24-Assumptions!$D$11)</f>
        <v>0</v>
      </c>
      <c r="K24" s="24">
        <v>2025</v>
      </c>
      <c r="L24" s="603">
        <v>3</v>
      </c>
      <c r="M24" s="603">
        <v>3</v>
      </c>
    </row>
    <row r="25" spans="1:14" ht="15" customHeight="1" x14ac:dyDescent="0.25">
      <c r="B25" s="105">
        <f t="shared" si="5"/>
        <v>2043</v>
      </c>
      <c r="C25" s="104">
        <f t="shared" si="0"/>
        <v>0</v>
      </c>
      <c r="D25" s="108">
        <f t="shared" si="1"/>
        <v>0</v>
      </c>
      <c r="E25" s="104">
        <f t="shared" si="2"/>
        <v>0</v>
      </c>
      <c r="F25" s="103">
        <f t="shared" si="3"/>
        <v>0</v>
      </c>
      <c r="G25" s="102">
        <f t="shared" si="4"/>
        <v>0</v>
      </c>
      <c r="H25" s="101">
        <f>G25*(1+0.07)^-(B25-Assumptions!$D$11)</f>
        <v>0</v>
      </c>
    </row>
    <row r="26" spans="1:14" ht="15" customHeight="1" x14ac:dyDescent="0.25">
      <c r="B26" s="105">
        <f t="shared" si="5"/>
        <v>2044</v>
      </c>
      <c r="C26" s="104">
        <f t="shared" si="0"/>
        <v>0</v>
      </c>
      <c r="D26" s="108">
        <f t="shared" si="1"/>
        <v>0</v>
      </c>
      <c r="E26" s="104">
        <f t="shared" si="2"/>
        <v>0</v>
      </c>
      <c r="F26" s="103">
        <f t="shared" si="3"/>
        <v>0</v>
      </c>
      <c r="G26" s="102">
        <f t="shared" si="4"/>
        <v>0</v>
      </c>
      <c r="H26" s="101">
        <f>G26*(1+0.07)^-(B26-Assumptions!$D$11)</f>
        <v>0</v>
      </c>
    </row>
    <row r="27" spans="1:14" ht="15" customHeight="1" x14ac:dyDescent="0.25">
      <c r="B27" s="105">
        <f t="shared" si="5"/>
        <v>2045</v>
      </c>
      <c r="C27" s="104">
        <f t="shared" si="0"/>
        <v>0</v>
      </c>
      <c r="D27" s="108">
        <f t="shared" si="1"/>
        <v>0</v>
      </c>
      <c r="E27" s="104">
        <f t="shared" si="2"/>
        <v>0</v>
      </c>
      <c r="F27" s="103">
        <f t="shared" si="3"/>
        <v>0</v>
      </c>
      <c r="G27" s="102">
        <f t="shared" si="4"/>
        <v>0</v>
      </c>
      <c r="H27" s="101">
        <f>G27*(1+0.07)^-(B27-Assumptions!$D$11)</f>
        <v>0</v>
      </c>
      <c r="I27" s="3"/>
      <c r="K27" s="33" t="s">
        <v>804</v>
      </c>
    </row>
    <row r="28" spans="1:14" ht="15" customHeight="1" x14ac:dyDescent="0.25">
      <c r="A28" s="2"/>
      <c r="B28" s="105">
        <f t="shared" si="5"/>
        <v>2046</v>
      </c>
      <c r="C28" s="104">
        <f t="shared" si="0"/>
        <v>0</v>
      </c>
      <c r="D28" s="108">
        <f t="shared" si="1"/>
        <v>0</v>
      </c>
      <c r="E28" s="104">
        <f t="shared" si="2"/>
        <v>0</v>
      </c>
      <c r="F28" s="103">
        <f t="shared" si="3"/>
        <v>0</v>
      </c>
      <c r="G28" s="102">
        <f t="shared" si="4"/>
        <v>0</v>
      </c>
      <c r="H28" s="101">
        <f>G28*(1+0.07)^-(B28-Assumptions!$D$11)</f>
        <v>0</v>
      </c>
      <c r="K28" s="758" t="s">
        <v>51</v>
      </c>
      <c r="L28" s="759"/>
      <c r="M28" s="758" t="s">
        <v>52</v>
      </c>
      <c r="N28" s="759"/>
    </row>
    <row r="29" spans="1:14" ht="15" customHeight="1" x14ac:dyDescent="0.25">
      <c r="B29" s="105">
        <f t="shared" si="5"/>
        <v>2047</v>
      </c>
      <c r="C29" s="104">
        <f t="shared" si="0"/>
        <v>0</v>
      </c>
      <c r="D29" s="108">
        <f t="shared" si="1"/>
        <v>0</v>
      </c>
      <c r="E29" s="104">
        <f t="shared" si="2"/>
        <v>0</v>
      </c>
      <c r="F29" s="103">
        <f t="shared" si="3"/>
        <v>0</v>
      </c>
      <c r="G29" s="102">
        <f t="shared" si="4"/>
        <v>0</v>
      </c>
      <c r="H29" s="101">
        <f>G29*(1+0.07)^-(B29-Assumptions!$D$11)</f>
        <v>0</v>
      </c>
      <c r="K29" s="24" t="s">
        <v>30</v>
      </c>
      <c r="L29" s="23" t="s">
        <v>53</v>
      </c>
      <c r="M29" s="24" t="s">
        <v>30</v>
      </c>
      <c r="N29" s="23" t="s">
        <v>53</v>
      </c>
    </row>
    <row r="30" spans="1:14" ht="15" customHeight="1" x14ac:dyDescent="0.25">
      <c r="B30" s="105">
        <f t="shared" si="5"/>
        <v>2048</v>
      </c>
      <c r="C30" s="104">
        <f t="shared" si="0"/>
        <v>0</v>
      </c>
      <c r="D30" s="108">
        <f t="shared" si="1"/>
        <v>0</v>
      </c>
      <c r="E30" s="104">
        <f t="shared" si="2"/>
        <v>0</v>
      </c>
      <c r="F30" s="103">
        <f t="shared" si="3"/>
        <v>0</v>
      </c>
      <c r="G30" s="102">
        <f t="shared" si="4"/>
        <v>0</v>
      </c>
      <c r="H30" s="101">
        <f>G30*(1+0.07)^-(B30-Assumptions!$D$11)</f>
        <v>0</v>
      </c>
      <c r="K30" s="24">
        <v>2025</v>
      </c>
      <c r="L30" s="604">
        <f>TREND($L$19:$L$20,$K$19:$K$20,$K$30)/$L$19*($M$24/60)*(L24/12)*$L$19*365</f>
        <v>3111.8987500000021</v>
      </c>
      <c r="M30" s="24">
        <v>2024</v>
      </c>
      <c r="N30" s="604">
        <v>0</v>
      </c>
    </row>
    <row r="31" spans="1:14" ht="15" customHeight="1" x14ac:dyDescent="0.25">
      <c r="B31" s="105">
        <f t="shared" si="5"/>
        <v>2049</v>
      </c>
      <c r="C31" s="104">
        <f t="shared" si="0"/>
        <v>0</v>
      </c>
      <c r="D31" s="108">
        <f t="shared" si="1"/>
        <v>0</v>
      </c>
      <c r="E31" s="104">
        <f t="shared" si="2"/>
        <v>0</v>
      </c>
      <c r="F31" s="103">
        <f t="shared" si="3"/>
        <v>0</v>
      </c>
      <c r="G31" s="102">
        <f t="shared" si="4"/>
        <v>0</v>
      </c>
      <c r="H31" s="101">
        <f>G31*(1+0.07)^-(B31-Assumptions!$D$11)</f>
        <v>0</v>
      </c>
    </row>
    <row r="32" spans="1:14" ht="15" customHeight="1" x14ac:dyDescent="0.25">
      <c r="B32" s="105">
        <f t="shared" si="5"/>
        <v>2050</v>
      </c>
      <c r="C32" s="104">
        <f t="shared" si="0"/>
        <v>0</v>
      </c>
      <c r="D32" s="108">
        <f t="shared" si="1"/>
        <v>0</v>
      </c>
      <c r="E32" s="104">
        <f t="shared" si="2"/>
        <v>0</v>
      </c>
      <c r="F32" s="103">
        <f t="shared" si="3"/>
        <v>0</v>
      </c>
      <c r="G32" s="102">
        <f t="shared" si="4"/>
        <v>0</v>
      </c>
      <c r="H32" s="101">
        <f>G32*(1+0.07)^-(B32-Assumptions!$D$11)</f>
        <v>0</v>
      </c>
      <c r="K32" s="1" t="s">
        <v>143</v>
      </c>
      <c r="L32" s="1"/>
    </row>
    <row r="33" spans="1:23" ht="15" customHeight="1" x14ac:dyDescent="0.25">
      <c r="B33" s="105">
        <f t="shared" si="5"/>
        <v>2051</v>
      </c>
      <c r="C33" s="104">
        <f t="shared" si="0"/>
        <v>0</v>
      </c>
      <c r="D33" s="108">
        <f t="shared" si="1"/>
        <v>0</v>
      </c>
      <c r="E33" s="104">
        <f t="shared" si="2"/>
        <v>0</v>
      </c>
      <c r="F33" s="103">
        <f t="shared" si="3"/>
        <v>0</v>
      </c>
      <c r="G33" s="102">
        <f t="shared" si="4"/>
        <v>0</v>
      </c>
      <c r="H33" s="101">
        <f>G33*(1+0.07)^-(B33-Assumptions!$D$11)</f>
        <v>0</v>
      </c>
      <c r="L33" s="760" t="s">
        <v>33</v>
      </c>
      <c r="M33" s="760"/>
      <c r="N33" s="760"/>
      <c r="O33" s="760"/>
      <c r="P33" s="757" t="s">
        <v>14</v>
      </c>
      <c r="Q33" s="757"/>
      <c r="R33" s="757"/>
      <c r="S33" s="757"/>
      <c r="T33" s="757" t="s">
        <v>116</v>
      </c>
      <c r="U33" s="757"/>
      <c r="V33" s="757"/>
      <c r="W33" s="757"/>
    </row>
    <row r="34" spans="1:23" ht="15" customHeight="1" x14ac:dyDescent="0.25">
      <c r="B34" s="105">
        <f t="shared" si="5"/>
        <v>2052</v>
      </c>
      <c r="C34" s="104">
        <f t="shared" si="0"/>
        <v>0</v>
      </c>
      <c r="D34" s="108">
        <f t="shared" si="1"/>
        <v>0</v>
      </c>
      <c r="E34" s="104">
        <f t="shared" si="2"/>
        <v>0</v>
      </c>
      <c r="F34" s="103">
        <f t="shared" si="3"/>
        <v>0</v>
      </c>
      <c r="G34" s="102">
        <f t="shared" si="4"/>
        <v>0</v>
      </c>
      <c r="H34" s="101">
        <f>G34*(1+0.07)^-(B34-Assumptions!$D$11)</f>
        <v>0</v>
      </c>
      <c r="K34" s="32" t="s">
        <v>30</v>
      </c>
      <c r="L34" s="32" t="s">
        <v>133</v>
      </c>
      <c r="M34" s="32" t="s">
        <v>134</v>
      </c>
      <c r="N34" s="32" t="s">
        <v>139</v>
      </c>
      <c r="O34" s="32" t="s">
        <v>135</v>
      </c>
      <c r="P34" s="32" t="s">
        <v>133</v>
      </c>
      <c r="Q34" s="32" t="s">
        <v>134</v>
      </c>
      <c r="R34" s="32" t="s">
        <v>139</v>
      </c>
      <c r="S34" s="32" t="s">
        <v>135</v>
      </c>
      <c r="T34" s="32" t="s">
        <v>136</v>
      </c>
      <c r="U34" s="32" t="s">
        <v>137</v>
      </c>
      <c r="V34" s="32" t="s">
        <v>140</v>
      </c>
      <c r="W34" s="32" t="s">
        <v>138</v>
      </c>
    </row>
    <row r="35" spans="1:23" ht="15" customHeight="1" x14ac:dyDescent="0.25">
      <c r="B35" s="105">
        <f t="shared" si="5"/>
        <v>2053</v>
      </c>
      <c r="C35" s="104">
        <f t="shared" si="0"/>
        <v>0</v>
      </c>
      <c r="D35" s="108">
        <f t="shared" si="1"/>
        <v>0</v>
      </c>
      <c r="E35" s="104">
        <f t="shared" si="2"/>
        <v>0</v>
      </c>
      <c r="F35" s="103">
        <f t="shared" si="3"/>
        <v>0</v>
      </c>
      <c r="G35" s="102">
        <f t="shared" si="4"/>
        <v>0</v>
      </c>
      <c r="H35" s="101">
        <f>G35*(1+0.07)^-(B35-Assumptions!$D$11)</f>
        <v>0</v>
      </c>
      <c r="K35" s="24">
        <v>2025</v>
      </c>
      <c r="L35" s="604">
        <f>$L$30*$L$10</f>
        <v>2417.2784933035732</v>
      </c>
      <c r="M35" s="622">
        <f>$L$30*$L$11</f>
        <v>694.62025669642912</v>
      </c>
      <c r="N35" s="604">
        <f>SUM(L35:M35)</f>
        <v>3111.8987500000021</v>
      </c>
      <c r="O35" s="640">
        <f>($L$6*$L$14*L35)+($L$7*$L$15*M35)</f>
        <v>99509.964303437577</v>
      </c>
      <c r="P35" s="622">
        <f>$N$30*$L$10</f>
        <v>0</v>
      </c>
      <c r="Q35" s="622">
        <f>$N$30*$L$11</f>
        <v>0</v>
      </c>
      <c r="R35" s="622">
        <f>SUM(P35:Q35)</f>
        <v>0</v>
      </c>
      <c r="S35" s="640">
        <f>($L$6*$L$14*P35)+($L$7*$L$15*Q35)</f>
        <v>0</v>
      </c>
      <c r="T35" s="622">
        <f t="shared" ref="T35:W35" si="6">L35-P35</f>
        <v>2417.2784933035732</v>
      </c>
      <c r="U35" s="622">
        <f t="shared" si="6"/>
        <v>694.62025669642912</v>
      </c>
      <c r="V35" s="622">
        <f t="shared" si="6"/>
        <v>3111.8987500000021</v>
      </c>
      <c r="W35" s="640">
        <f t="shared" si="6"/>
        <v>99509.964303437577</v>
      </c>
    </row>
    <row r="36" spans="1:23" ht="15" customHeight="1" x14ac:dyDescent="0.25">
      <c r="B36" s="105">
        <f t="shared" si="5"/>
        <v>2054</v>
      </c>
      <c r="C36" s="104">
        <f t="shared" si="0"/>
        <v>0</v>
      </c>
      <c r="D36" s="108">
        <f t="shared" si="1"/>
        <v>0</v>
      </c>
      <c r="E36" s="104">
        <f t="shared" si="2"/>
        <v>0</v>
      </c>
      <c r="F36" s="103">
        <f t="shared" si="3"/>
        <v>0</v>
      </c>
      <c r="G36" s="102">
        <f t="shared" si="4"/>
        <v>0</v>
      </c>
      <c r="H36" s="101">
        <f>G36*(1+0.07)^-(B36-Assumptions!$D$11)</f>
        <v>0</v>
      </c>
      <c r="P36" s="1"/>
    </row>
    <row r="37" spans="1:23" ht="15" customHeight="1" x14ac:dyDescent="0.25">
      <c r="B37" s="105">
        <f t="shared" si="5"/>
        <v>2055</v>
      </c>
      <c r="C37" s="104">
        <f t="shared" si="0"/>
        <v>0</v>
      </c>
      <c r="D37" s="108">
        <f t="shared" si="1"/>
        <v>0</v>
      </c>
      <c r="E37" s="104">
        <f t="shared" si="2"/>
        <v>0</v>
      </c>
      <c r="F37" s="103">
        <f t="shared" si="3"/>
        <v>0</v>
      </c>
      <c r="G37" s="102">
        <f t="shared" si="4"/>
        <v>0</v>
      </c>
      <c r="H37" s="101">
        <f>G37*(1+0.07)^-(B37-Assumptions!$D$11)</f>
        <v>0</v>
      </c>
    </row>
    <row r="38" spans="1:23" ht="15" customHeight="1" x14ac:dyDescent="0.25">
      <c r="B38" s="105">
        <f t="shared" si="5"/>
        <v>2056</v>
      </c>
      <c r="C38" s="104">
        <f t="shared" si="0"/>
        <v>0</v>
      </c>
      <c r="D38" s="108">
        <f t="shared" si="1"/>
        <v>0</v>
      </c>
      <c r="E38" s="104">
        <f t="shared" si="2"/>
        <v>0</v>
      </c>
      <c r="F38" s="103">
        <f t="shared" si="3"/>
        <v>0</v>
      </c>
      <c r="G38" s="102">
        <f t="shared" si="4"/>
        <v>0</v>
      </c>
      <c r="H38" s="101">
        <f>G38*(1+0.07)^-(B38-Assumptions!$D$11)</f>
        <v>0</v>
      </c>
    </row>
    <row r="39" spans="1:23" ht="15" customHeight="1" x14ac:dyDescent="0.25">
      <c r="B39" s="105">
        <f t="shared" si="5"/>
        <v>2057</v>
      </c>
      <c r="C39" s="104">
        <f t="shared" si="0"/>
        <v>0</v>
      </c>
      <c r="D39" s="108">
        <f t="shared" si="1"/>
        <v>0</v>
      </c>
      <c r="E39" s="104">
        <f t="shared" si="2"/>
        <v>0</v>
      </c>
      <c r="F39" s="103">
        <f t="shared" si="3"/>
        <v>0</v>
      </c>
      <c r="G39" s="102">
        <f t="shared" si="4"/>
        <v>0</v>
      </c>
      <c r="H39" s="101">
        <f>G39*(1+0.07)^-(B39-Assumptions!$D$11)</f>
        <v>0</v>
      </c>
    </row>
    <row r="40" spans="1:23" ht="15" customHeight="1" x14ac:dyDescent="0.25">
      <c r="B40" s="105">
        <f t="shared" si="5"/>
        <v>2058</v>
      </c>
      <c r="C40" s="104">
        <f t="shared" si="0"/>
        <v>0</v>
      </c>
      <c r="D40" s="108">
        <f t="shared" si="1"/>
        <v>0</v>
      </c>
      <c r="E40" s="104">
        <f t="shared" si="2"/>
        <v>0</v>
      </c>
      <c r="F40" s="103">
        <f t="shared" si="3"/>
        <v>0</v>
      </c>
      <c r="G40" s="102">
        <f t="shared" si="4"/>
        <v>0</v>
      </c>
      <c r="H40" s="101">
        <f>G40*(1+0.07)^-(B40-Assumptions!$D$11)</f>
        <v>0</v>
      </c>
    </row>
    <row r="41" spans="1:23" ht="15" customHeight="1" thickBot="1" x14ac:dyDescent="0.3">
      <c r="B41" s="90">
        <f t="shared" si="5"/>
        <v>2059</v>
      </c>
      <c r="C41" s="100">
        <f t="shared" si="0"/>
        <v>0</v>
      </c>
      <c r="D41" s="99">
        <f t="shared" si="1"/>
        <v>0</v>
      </c>
      <c r="E41" s="100">
        <f t="shared" si="2"/>
        <v>0</v>
      </c>
      <c r="F41" s="98">
        <f t="shared" si="3"/>
        <v>0</v>
      </c>
      <c r="G41" s="97">
        <f t="shared" si="4"/>
        <v>0</v>
      </c>
      <c r="H41" s="96">
        <f>G41*(1+0.07)^-(B41-Assumptions!$D$11)</f>
        <v>0</v>
      </c>
      <c r="I41" s="30"/>
    </row>
    <row r="42" spans="1:23" ht="15" customHeight="1" thickBot="1" x14ac:dyDescent="0.3">
      <c r="G42" s="95" t="s">
        <v>2</v>
      </c>
      <c r="H42" s="94">
        <f>SUM(H6:H41)</f>
        <v>-75915.67531811267</v>
      </c>
      <c r="I42" s="31"/>
    </row>
    <row r="43" spans="1:23" x14ac:dyDescent="0.25">
      <c r="B43" s="44"/>
      <c r="C43" s="45"/>
      <c r="D43" s="42"/>
      <c r="E43" s="42"/>
      <c r="F43" s="42"/>
      <c r="G43" s="42"/>
      <c r="H43" s="42"/>
    </row>
    <row r="44" spans="1:23" x14ac:dyDescent="0.25">
      <c r="Q44" s="1"/>
    </row>
    <row r="45" spans="1:23" ht="15" customHeight="1" x14ac:dyDescent="0.25">
      <c r="K45" s="1"/>
      <c r="L45" s="1"/>
      <c r="M45" s="1"/>
      <c r="N45" s="1"/>
      <c r="O45" s="1"/>
      <c r="P45" s="1"/>
      <c r="Q45" s="1"/>
    </row>
    <row r="46" spans="1:23" ht="15" customHeight="1" x14ac:dyDescent="0.25">
      <c r="A46" s="2"/>
      <c r="B46" s="1" t="s">
        <v>3</v>
      </c>
      <c r="C46" s="1"/>
      <c r="K46" s="1"/>
      <c r="L46" s="1"/>
      <c r="M46" s="1"/>
      <c r="N46" s="1"/>
      <c r="O46" s="1"/>
      <c r="P46" s="1"/>
      <c r="Q46" s="1"/>
    </row>
    <row r="47" spans="1:23" ht="15" customHeight="1" x14ac:dyDescent="0.25">
      <c r="A47" s="2" t="s">
        <v>16</v>
      </c>
      <c r="B47" s="702" t="s">
        <v>71</v>
      </c>
      <c r="C47" s="702"/>
      <c r="D47" s="702"/>
      <c r="E47" s="702"/>
      <c r="F47" s="702"/>
      <c r="G47" s="702"/>
      <c r="K47" s="1"/>
      <c r="L47" s="1"/>
      <c r="M47" s="1"/>
      <c r="N47" s="1"/>
      <c r="O47" s="1"/>
      <c r="P47" s="1"/>
      <c r="Q47" s="1"/>
    </row>
    <row r="48" spans="1:23" ht="15" customHeight="1" x14ac:dyDescent="0.25">
      <c r="A48" s="2"/>
      <c r="B48" s="702"/>
      <c r="C48" s="702"/>
      <c r="D48" s="702"/>
      <c r="E48" s="702"/>
      <c r="F48" s="702"/>
      <c r="G48" s="702"/>
      <c r="H48" s="20"/>
      <c r="K48" s="1"/>
      <c r="L48" s="1"/>
      <c r="M48" s="1"/>
      <c r="N48" s="1"/>
      <c r="O48" s="1"/>
      <c r="P48" s="1"/>
      <c r="Q48" s="1"/>
    </row>
    <row r="49" spans="1:7" ht="15" customHeight="1" x14ac:dyDescent="0.25">
      <c r="A49" s="2"/>
      <c r="B49" s="702"/>
      <c r="C49" s="702"/>
      <c r="D49" s="702"/>
      <c r="E49" s="702"/>
      <c r="F49" s="702"/>
      <c r="G49" s="702"/>
    </row>
    <row r="50" spans="1:7" ht="15" customHeight="1" x14ac:dyDescent="0.25">
      <c r="A50" s="2"/>
      <c r="B50" s="8"/>
      <c r="C50" s="8"/>
      <c r="D50" s="8"/>
      <c r="E50" s="8"/>
      <c r="F50" s="8"/>
      <c r="G50" s="8"/>
    </row>
    <row r="51" spans="1:7" x14ac:dyDescent="0.25">
      <c r="A51" s="2" t="s">
        <v>22</v>
      </c>
      <c r="B51" s="702" t="s">
        <v>609</v>
      </c>
      <c r="C51" s="702"/>
      <c r="D51" s="702"/>
      <c r="E51" s="702"/>
      <c r="F51" s="702"/>
      <c r="G51" s="702"/>
    </row>
    <row r="52" spans="1:7" x14ac:dyDescent="0.25">
      <c r="A52" s="2"/>
      <c r="B52" s="702"/>
      <c r="C52" s="702"/>
      <c r="D52" s="702"/>
      <c r="E52" s="702"/>
      <c r="F52" s="702"/>
      <c r="G52" s="702"/>
    </row>
    <row r="53" spans="1:7" ht="15" customHeight="1" x14ac:dyDescent="0.25">
      <c r="A53" s="2"/>
      <c r="B53" s="702"/>
      <c r="C53" s="702"/>
      <c r="D53" s="702"/>
      <c r="E53" s="702"/>
      <c r="F53" s="702"/>
      <c r="G53" s="702"/>
    </row>
    <row r="54" spans="1:7" ht="15" customHeight="1" x14ac:dyDescent="0.25">
      <c r="A54" s="236"/>
      <c r="B54" s="235"/>
      <c r="C54" s="235"/>
      <c r="D54" s="235"/>
      <c r="E54" s="235"/>
      <c r="F54" s="235"/>
      <c r="G54" s="235"/>
    </row>
    <row r="55" spans="1:7" ht="15" customHeight="1" x14ac:dyDescent="0.25">
      <c r="A55" s="2" t="s">
        <v>23</v>
      </c>
      <c r="B55" s="702" t="s">
        <v>610</v>
      </c>
      <c r="C55" s="702"/>
      <c r="D55" s="702"/>
      <c r="E55" s="702"/>
      <c r="F55" s="702"/>
      <c r="G55" s="702"/>
    </row>
    <row r="56" spans="1:7" ht="15" customHeight="1" x14ac:dyDescent="0.25">
      <c r="A56" s="2"/>
      <c r="B56" s="702"/>
      <c r="C56" s="702"/>
      <c r="D56" s="702"/>
      <c r="E56" s="702"/>
      <c r="F56" s="702"/>
      <c r="G56" s="702"/>
    </row>
    <row r="57" spans="1:7" ht="15" customHeight="1" x14ac:dyDescent="0.25"/>
    <row r="58" spans="1:7" x14ac:dyDescent="0.25">
      <c r="A58" s="2" t="s">
        <v>162</v>
      </c>
      <c r="B58" s="702" t="s">
        <v>829</v>
      </c>
      <c r="C58" s="702"/>
      <c r="D58" s="702"/>
      <c r="E58" s="702"/>
      <c r="F58" s="702"/>
      <c r="G58" s="702"/>
    </row>
    <row r="59" spans="1:7" ht="15" customHeight="1" x14ac:dyDescent="0.25">
      <c r="A59" s="2"/>
      <c r="B59" s="702"/>
      <c r="C59" s="702"/>
      <c r="D59" s="702"/>
      <c r="E59" s="702"/>
      <c r="F59" s="702"/>
      <c r="G59" s="702"/>
    </row>
    <row r="60" spans="1:7" ht="15" customHeight="1" x14ac:dyDescent="0.25"/>
    <row r="61" spans="1:7" x14ac:dyDescent="0.25">
      <c r="A61" s="2"/>
      <c r="B61" s="8"/>
      <c r="C61" s="8"/>
      <c r="D61" s="8"/>
      <c r="E61" s="8"/>
      <c r="F61" s="8"/>
      <c r="G61" s="8"/>
    </row>
    <row r="62" spans="1:7" x14ac:dyDescent="0.25">
      <c r="A62" s="2"/>
      <c r="B62" s="8"/>
      <c r="C62" s="8"/>
      <c r="D62" s="8"/>
      <c r="E62" s="8"/>
      <c r="F62" s="8"/>
    </row>
    <row r="63" spans="1:7" ht="15" customHeight="1" x14ac:dyDescent="0.25">
      <c r="A63" s="2"/>
      <c r="B63" s="8"/>
      <c r="C63" s="8"/>
      <c r="D63" s="8"/>
      <c r="E63" s="8"/>
      <c r="F63" s="8"/>
    </row>
    <row r="64" spans="1:7" ht="15" customHeight="1" x14ac:dyDescent="0.25"/>
    <row r="66" spans="1:7" ht="15" customHeight="1" x14ac:dyDescent="0.25"/>
    <row r="69" spans="1:7" ht="15" customHeight="1" x14ac:dyDescent="0.25"/>
    <row r="71" spans="1:7" ht="15" customHeight="1" x14ac:dyDescent="0.25"/>
    <row r="72" spans="1:7" ht="21" customHeight="1" x14ac:dyDescent="0.25">
      <c r="A72" s="2"/>
      <c r="B72" s="8"/>
      <c r="C72" s="8"/>
      <c r="D72" s="8"/>
      <c r="E72" s="8"/>
      <c r="F72" s="8"/>
      <c r="G72" s="8"/>
    </row>
    <row r="73" spans="1:7" x14ac:dyDescent="0.25">
      <c r="A73" s="2"/>
      <c r="B73" s="8"/>
      <c r="C73" s="8"/>
      <c r="D73" s="8"/>
      <c r="E73" s="8"/>
      <c r="F73" s="8"/>
    </row>
    <row r="74" spans="1:7" x14ac:dyDescent="0.25">
      <c r="A74" s="2"/>
    </row>
  </sheetData>
  <mergeCells count="17">
    <mergeCell ref="B47:G49"/>
    <mergeCell ref="B51:G53"/>
    <mergeCell ref="B55:G56"/>
    <mergeCell ref="B58:G59"/>
    <mergeCell ref="P33:S33"/>
    <mergeCell ref="T33:W33"/>
    <mergeCell ref="B4:B5"/>
    <mergeCell ref="C4:C5"/>
    <mergeCell ref="D4:D5"/>
    <mergeCell ref="E4:E5"/>
    <mergeCell ref="F4:F5"/>
    <mergeCell ref="G4:G5"/>
    <mergeCell ref="K28:L28"/>
    <mergeCell ref="M28:N28"/>
    <mergeCell ref="H4:H5"/>
    <mergeCell ref="K5:L5"/>
    <mergeCell ref="L33:O33"/>
  </mergeCells>
  <pageMargins left="0.25" right="0.25" top="0.75" bottom="0.75" header="0.3" footer="0.3"/>
  <pageSetup scale="2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B74FE-9559-488C-92E3-608305467395}">
  <sheetPr>
    <tabColor theme="0" tint="-0.14999847407452621"/>
    <pageSetUpPr fitToPage="1"/>
  </sheetPr>
  <dimension ref="B1:AB2286"/>
  <sheetViews>
    <sheetView view="pageBreakPreview" zoomScale="70" zoomScaleNormal="40" zoomScaleSheetLayoutView="70" zoomScalePageLayoutView="55" workbookViewId="0"/>
  </sheetViews>
  <sheetFormatPr defaultRowHeight="15" x14ac:dyDescent="0.25"/>
  <cols>
    <col min="2" max="4" width="29.7109375" customWidth="1"/>
    <col min="5" max="5" width="35.7109375" customWidth="1"/>
    <col min="6" max="7" width="29.7109375" customWidth="1"/>
    <col min="8" max="8" width="9.140625" customWidth="1"/>
    <col min="11" max="11" width="9.140625" customWidth="1"/>
    <col min="27" max="27" width="17.42578125" customWidth="1"/>
  </cols>
  <sheetData>
    <row r="1" spans="2:28" x14ac:dyDescent="0.25">
      <c r="AA1" t="s">
        <v>632</v>
      </c>
    </row>
    <row r="2" spans="2:28" x14ac:dyDescent="0.25">
      <c r="AA2" t="s">
        <v>631</v>
      </c>
    </row>
    <row r="4" spans="2:28" x14ac:dyDescent="0.25">
      <c r="B4" t="s">
        <v>798</v>
      </c>
      <c r="AA4" t="s">
        <v>630</v>
      </c>
    </row>
    <row r="6" spans="2:28" x14ac:dyDescent="0.25">
      <c r="AA6" t="s">
        <v>629</v>
      </c>
      <c r="AB6" t="s">
        <v>628</v>
      </c>
    </row>
    <row r="7" spans="2:28" x14ac:dyDescent="0.25">
      <c r="B7" s="1" t="s">
        <v>799</v>
      </c>
      <c r="AA7" s="89">
        <v>45047</v>
      </c>
      <c r="AB7">
        <v>24.75</v>
      </c>
    </row>
    <row r="8" spans="2:28" x14ac:dyDescent="0.25">
      <c r="AA8" s="89">
        <v>45047.041666666664</v>
      </c>
      <c r="AB8">
        <v>24.76</v>
      </c>
    </row>
    <row r="9" spans="2:28" x14ac:dyDescent="0.25">
      <c r="AA9" s="89">
        <v>45047.083333333336</v>
      </c>
      <c r="AB9">
        <v>24.75</v>
      </c>
    </row>
    <row r="10" spans="2:28" x14ac:dyDescent="0.25">
      <c r="AA10" s="89">
        <v>45047.125</v>
      </c>
      <c r="AB10">
        <v>24.75</v>
      </c>
    </row>
    <row r="11" spans="2:28" x14ac:dyDescent="0.25">
      <c r="AA11" s="89">
        <v>45047.166666666664</v>
      </c>
      <c r="AB11">
        <v>24.76</v>
      </c>
    </row>
    <row r="12" spans="2:28" x14ac:dyDescent="0.25">
      <c r="AA12" s="89">
        <v>45047.208333333336</v>
      </c>
      <c r="AB12">
        <v>24.76</v>
      </c>
    </row>
    <row r="13" spans="2:28" x14ac:dyDescent="0.25">
      <c r="AA13" s="89">
        <v>45047.25</v>
      </c>
      <c r="AB13">
        <v>24.76</v>
      </c>
    </row>
    <row r="14" spans="2:28" x14ac:dyDescent="0.25">
      <c r="AA14" s="89">
        <v>45047.291666666664</v>
      </c>
      <c r="AB14">
        <v>24.76</v>
      </c>
    </row>
    <row r="15" spans="2:28" x14ac:dyDescent="0.25">
      <c r="AA15" s="89">
        <v>45047.333333333336</v>
      </c>
      <c r="AB15">
        <v>24.76</v>
      </c>
    </row>
    <row r="16" spans="2:28" x14ac:dyDescent="0.25">
      <c r="AA16" s="89">
        <v>45047.375</v>
      </c>
      <c r="AB16">
        <v>24.76</v>
      </c>
    </row>
    <row r="17" spans="27:28" x14ac:dyDescent="0.25">
      <c r="AA17" s="89">
        <v>45047.416666666664</v>
      </c>
      <c r="AB17">
        <v>24.76</v>
      </c>
    </row>
    <row r="18" spans="27:28" x14ac:dyDescent="0.25">
      <c r="AA18" s="89">
        <v>45047.458333333336</v>
      </c>
      <c r="AB18">
        <v>24.76</v>
      </c>
    </row>
    <row r="19" spans="27:28" x14ac:dyDescent="0.25">
      <c r="AA19" s="89">
        <v>45047.5</v>
      </c>
      <c r="AB19">
        <v>24.76</v>
      </c>
    </row>
    <row r="20" spans="27:28" x14ac:dyDescent="0.25">
      <c r="AA20" s="89">
        <v>45047.541666666664</v>
      </c>
      <c r="AB20">
        <v>24.76</v>
      </c>
    </row>
    <row r="21" spans="27:28" x14ac:dyDescent="0.25">
      <c r="AA21" s="89">
        <v>45047.583333333336</v>
      </c>
      <c r="AB21">
        <v>24.76</v>
      </c>
    </row>
    <row r="22" spans="27:28" x14ac:dyDescent="0.25">
      <c r="AA22" s="89">
        <v>45047.625</v>
      </c>
      <c r="AB22">
        <v>24.76</v>
      </c>
    </row>
    <row r="23" spans="27:28" x14ac:dyDescent="0.25">
      <c r="AA23" s="89">
        <v>45047.666666666664</v>
      </c>
      <c r="AB23">
        <v>24.76</v>
      </c>
    </row>
    <row r="24" spans="27:28" x14ac:dyDescent="0.25">
      <c r="AA24" s="89">
        <v>45047.708333333336</v>
      </c>
      <c r="AB24">
        <v>24.76</v>
      </c>
    </row>
    <row r="25" spans="27:28" x14ac:dyDescent="0.25">
      <c r="AA25" s="89">
        <v>45047.75</v>
      </c>
      <c r="AB25">
        <v>24.76</v>
      </c>
    </row>
    <row r="26" spans="27:28" x14ac:dyDescent="0.25">
      <c r="AA26" s="89">
        <v>45047.791666666664</v>
      </c>
      <c r="AB26">
        <v>24.76</v>
      </c>
    </row>
    <row r="27" spans="27:28" x14ac:dyDescent="0.25">
      <c r="AA27" s="89">
        <v>45047.833333333336</v>
      </c>
      <c r="AB27">
        <v>24.77</v>
      </c>
    </row>
    <row r="28" spans="27:28" x14ac:dyDescent="0.25">
      <c r="AA28" s="89">
        <v>45047.875</v>
      </c>
      <c r="AB28">
        <v>24.76</v>
      </c>
    </row>
    <row r="29" spans="27:28" x14ac:dyDescent="0.25">
      <c r="AA29" s="89">
        <v>45047.916666666664</v>
      </c>
      <c r="AB29">
        <v>24.76</v>
      </c>
    </row>
    <row r="30" spans="27:28" x14ac:dyDescent="0.25">
      <c r="AA30" s="89">
        <v>45047.958333333336</v>
      </c>
      <c r="AB30">
        <v>24.76</v>
      </c>
    </row>
    <row r="31" spans="27:28" x14ac:dyDescent="0.25">
      <c r="AA31" s="89">
        <v>45048</v>
      </c>
      <c r="AB31">
        <v>24.77</v>
      </c>
    </row>
    <row r="32" spans="27:28" x14ac:dyDescent="0.25">
      <c r="AA32" s="89">
        <v>45048.041666666664</v>
      </c>
      <c r="AB32">
        <v>24.76</v>
      </c>
    </row>
    <row r="33" spans="2:28" x14ac:dyDescent="0.25">
      <c r="AA33" s="89">
        <v>45048.083333333336</v>
      </c>
      <c r="AB33">
        <v>24.76</v>
      </c>
    </row>
    <row r="34" spans="2:28" x14ac:dyDescent="0.25">
      <c r="AA34" s="89">
        <v>45048.125</v>
      </c>
      <c r="AB34">
        <v>24.76</v>
      </c>
    </row>
    <row r="35" spans="2:28" x14ac:dyDescent="0.25">
      <c r="AA35" s="89">
        <v>45048.166666666664</v>
      </c>
      <c r="AB35">
        <v>24.76</v>
      </c>
    </row>
    <row r="36" spans="2:28" x14ac:dyDescent="0.25">
      <c r="AA36" s="89">
        <v>45048.208333333336</v>
      </c>
      <c r="AB36">
        <v>24.76</v>
      </c>
    </row>
    <row r="37" spans="2:28" x14ac:dyDescent="0.25">
      <c r="AA37" s="89">
        <v>45048.25</v>
      </c>
      <c r="AB37">
        <v>24.76</v>
      </c>
    </row>
    <row r="38" spans="2:28" x14ac:dyDescent="0.25">
      <c r="AA38" s="89">
        <v>45048.291666666664</v>
      </c>
      <c r="AB38">
        <v>24.76</v>
      </c>
    </row>
    <row r="39" spans="2:28" x14ac:dyDescent="0.25">
      <c r="AA39" s="89">
        <v>45048.333333333336</v>
      </c>
      <c r="AB39">
        <v>24.76</v>
      </c>
    </row>
    <row r="40" spans="2:28" x14ac:dyDescent="0.25">
      <c r="AA40" s="89">
        <v>45048.375</v>
      </c>
      <c r="AB40">
        <v>24.76</v>
      </c>
    </row>
    <row r="41" spans="2:28" x14ac:dyDescent="0.25">
      <c r="AA41" s="89">
        <v>45048.416666666664</v>
      </c>
      <c r="AB41">
        <v>24.77</v>
      </c>
    </row>
    <row r="42" spans="2:28" x14ac:dyDescent="0.25">
      <c r="AA42" s="89">
        <v>45048.458333333336</v>
      </c>
      <c r="AB42">
        <v>24.77</v>
      </c>
    </row>
    <row r="43" spans="2:28" x14ac:dyDescent="0.25">
      <c r="AA43" s="89">
        <v>45048.5</v>
      </c>
      <c r="AB43">
        <v>24.76</v>
      </c>
    </row>
    <row r="44" spans="2:28" x14ac:dyDescent="0.25">
      <c r="B44" s="1" t="s">
        <v>796</v>
      </c>
      <c r="C44" s="43" t="s">
        <v>817</v>
      </c>
      <c r="AA44" s="89">
        <v>45048.541666666664</v>
      </c>
      <c r="AB44">
        <v>24.76</v>
      </c>
    </row>
    <row r="45" spans="2:28" x14ac:dyDescent="0.25">
      <c r="AA45" s="89">
        <v>45048.583333333336</v>
      </c>
      <c r="AB45">
        <v>24.77</v>
      </c>
    </row>
    <row r="46" spans="2:28" x14ac:dyDescent="0.25">
      <c r="C46" s="243" t="s">
        <v>816</v>
      </c>
      <c r="AA46" s="89">
        <v>45048.625</v>
      </c>
      <c r="AB46">
        <v>24.77</v>
      </c>
    </row>
    <row r="47" spans="2:28" x14ac:dyDescent="0.25">
      <c r="D47" s="3"/>
      <c r="AA47" s="89">
        <v>45048.666666666664</v>
      </c>
      <c r="AB47">
        <v>24.76</v>
      </c>
    </row>
    <row r="48" spans="2:28" x14ac:dyDescent="0.25">
      <c r="B48" s="88" t="s">
        <v>576</v>
      </c>
      <c r="I48" s="1"/>
      <c r="AA48" s="89">
        <v>45048.708333333336</v>
      </c>
      <c r="AB48">
        <v>24.77</v>
      </c>
    </row>
    <row r="49" spans="2:28" x14ac:dyDescent="0.25">
      <c r="AA49" s="89">
        <v>45048.75</v>
      </c>
      <c r="AB49">
        <v>24.77</v>
      </c>
    </row>
    <row r="50" spans="2:28" x14ac:dyDescent="0.25">
      <c r="B50" s="1" t="s">
        <v>592</v>
      </c>
      <c r="AA50" s="89">
        <v>45048.791666666664</v>
      </c>
      <c r="AB50">
        <v>24.77</v>
      </c>
    </row>
    <row r="51" spans="2:28" x14ac:dyDescent="0.25">
      <c r="B51" s="24" t="s">
        <v>575</v>
      </c>
      <c r="C51" s="24" t="s">
        <v>579</v>
      </c>
      <c r="D51" s="24" t="s">
        <v>587</v>
      </c>
      <c r="F51" s="1" t="s">
        <v>590</v>
      </c>
      <c r="AA51" s="89">
        <v>45048.833333333336</v>
      </c>
      <c r="AB51">
        <v>24.77</v>
      </c>
    </row>
    <row r="52" spans="2:28" x14ac:dyDescent="0.25">
      <c r="B52" s="244">
        <v>44774</v>
      </c>
      <c r="C52" s="43">
        <v>0</v>
      </c>
      <c r="D52" s="24">
        <f>C52/12</f>
        <v>0</v>
      </c>
      <c r="F52" s="25" t="s">
        <v>577</v>
      </c>
      <c r="G52" s="260" cm="1">
        <f t="array" ref="G52">TREND($B$67:$B$68,$C$67:$C$68,0)</f>
        <v>2027</v>
      </c>
      <c r="AA52" s="89">
        <v>45048.875</v>
      </c>
      <c r="AB52">
        <v>24.77</v>
      </c>
    </row>
    <row r="53" spans="2:28" x14ac:dyDescent="0.25">
      <c r="B53" s="244">
        <v>45139</v>
      </c>
      <c r="C53" s="43">
        <v>48</v>
      </c>
      <c r="D53" s="24">
        <f>C53/12</f>
        <v>4</v>
      </c>
      <c r="F53" s="25" t="s">
        <v>850</v>
      </c>
      <c r="G53" s="260">
        <f>IF(MOD(G52,1)=0,G52+1,_xlfn.CEILING.MATH(G52))</f>
        <v>2028</v>
      </c>
      <c r="AA53" s="89">
        <v>45048.916666666664</v>
      </c>
      <c r="AB53">
        <v>24.77</v>
      </c>
    </row>
    <row r="54" spans="2:28" x14ac:dyDescent="0.25">
      <c r="C54" s="251"/>
      <c r="D54" s="251"/>
      <c r="AA54" s="89">
        <v>45048.958333333336</v>
      </c>
      <c r="AB54">
        <v>24.77</v>
      </c>
    </row>
    <row r="55" spans="2:28" x14ac:dyDescent="0.25">
      <c r="B55" s="1" t="s">
        <v>588</v>
      </c>
      <c r="F55" s="1" t="s">
        <v>794</v>
      </c>
      <c r="AA55" s="89">
        <v>45049</v>
      </c>
      <c r="AB55">
        <v>24.77</v>
      </c>
    </row>
    <row r="56" spans="2:28" x14ac:dyDescent="0.25">
      <c r="B56" s="24" t="s">
        <v>586</v>
      </c>
      <c r="AA56" s="89">
        <v>45049.041666666664</v>
      </c>
      <c r="AB56">
        <v>24.77</v>
      </c>
    </row>
    <row r="57" spans="2:28" x14ac:dyDescent="0.25">
      <c r="B57" s="592">
        <f>($D$53-$D$52)/(YEAR($B$53)-(YEAR($B$52)))</f>
        <v>4</v>
      </c>
      <c r="AA57" s="89">
        <v>45049.083333333336</v>
      </c>
      <c r="AB57">
        <v>24.77</v>
      </c>
    </row>
    <row r="58" spans="2:28" ht="15" customHeight="1" x14ac:dyDescent="0.25">
      <c r="AA58" s="89">
        <v>45049.125</v>
      </c>
      <c r="AB58">
        <v>24.77</v>
      </c>
    </row>
    <row r="59" spans="2:28" x14ac:dyDescent="0.25">
      <c r="B59" s="1" t="s">
        <v>593</v>
      </c>
      <c r="AA59" s="89">
        <v>45049.166666666664</v>
      </c>
      <c r="AB59">
        <v>24.77</v>
      </c>
    </row>
    <row r="60" spans="2:28" x14ac:dyDescent="0.25">
      <c r="B60" s="24" t="s">
        <v>30</v>
      </c>
      <c r="C60" s="24" t="s">
        <v>585</v>
      </c>
      <c r="AA60" s="89">
        <v>45049.208333333336</v>
      </c>
      <c r="AB60">
        <v>24.77</v>
      </c>
    </row>
    <row r="61" spans="2:28" x14ac:dyDescent="0.25">
      <c r="B61" s="24">
        <v>2024</v>
      </c>
      <c r="C61" s="43">
        <v>12</v>
      </c>
      <c r="AA61" s="89">
        <v>45049.25</v>
      </c>
      <c r="AB61">
        <v>24.77</v>
      </c>
    </row>
    <row r="62" spans="2:28" ht="15" customHeight="1" x14ac:dyDescent="0.25">
      <c r="B62" s="702" t="s">
        <v>591</v>
      </c>
      <c r="C62" s="702"/>
      <c r="D62" s="702"/>
      <c r="E62" s="702"/>
      <c r="AA62" s="89">
        <v>45049.291666666664</v>
      </c>
      <c r="AB62">
        <v>24.77</v>
      </c>
    </row>
    <row r="63" spans="2:28" x14ac:dyDescent="0.25">
      <c r="B63" s="702"/>
      <c r="C63" s="702"/>
      <c r="D63" s="702"/>
      <c r="E63" s="702"/>
      <c r="AA63" s="89">
        <v>45049.333333333336</v>
      </c>
      <c r="AB63">
        <v>24.77</v>
      </c>
    </row>
    <row r="64" spans="2:28" x14ac:dyDescent="0.25">
      <c r="B64" s="8"/>
      <c r="C64" s="8"/>
      <c r="D64" s="8"/>
      <c r="E64" s="8"/>
      <c r="AA64" s="89">
        <v>45049.375</v>
      </c>
      <c r="AB64">
        <v>24.77</v>
      </c>
    </row>
    <row r="65" spans="2:28" x14ac:dyDescent="0.25">
      <c r="B65" s="1" t="s">
        <v>589</v>
      </c>
      <c r="AA65" s="89">
        <v>45049.416666666664</v>
      </c>
      <c r="AB65">
        <v>24.77</v>
      </c>
    </row>
    <row r="66" spans="2:28" ht="15" customHeight="1" x14ac:dyDescent="0.25">
      <c r="B66" s="24" t="s">
        <v>30</v>
      </c>
      <c r="C66" s="24" t="s">
        <v>585</v>
      </c>
      <c r="AA66" s="89">
        <v>45049.458333333336</v>
      </c>
      <c r="AB66">
        <v>24.77</v>
      </c>
    </row>
    <row r="67" spans="2:28" x14ac:dyDescent="0.25">
      <c r="B67" s="24">
        <v>2024</v>
      </c>
      <c r="C67" s="24">
        <f>C61</f>
        <v>12</v>
      </c>
      <c r="AA67" s="89">
        <v>45049.5</v>
      </c>
      <c r="AB67">
        <v>24.78</v>
      </c>
    </row>
    <row r="68" spans="2:28" x14ac:dyDescent="0.25">
      <c r="B68" s="24">
        <v>2025</v>
      </c>
      <c r="C68" s="24">
        <f>C67-B57</f>
        <v>8</v>
      </c>
      <c r="AA68" s="89">
        <v>45049.541666666664</v>
      </c>
      <c r="AB68">
        <v>24.78</v>
      </c>
    </row>
    <row r="69" spans="2:28" x14ac:dyDescent="0.25">
      <c r="B69" s="24">
        <v>2026</v>
      </c>
      <c r="C69" s="24">
        <f t="shared" ref="C69:C93" si="0">TREND($C$67:$C$68,$B$67:$B$68,$B69)</f>
        <v>4</v>
      </c>
      <c r="AA69" s="89">
        <v>45049.583333333336</v>
      </c>
      <c r="AB69">
        <v>24.78</v>
      </c>
    </row>
    <row r="70" spans="2:28" x14ac:dyDescent="0.25">
      <c r="B70" s="24">
        <v>2027</v>
      </c>
      <c r="C70" s="24">
        <f t="shared" si="0"/>
        <v>0</v>
      </c>
      <c r="AA70" s="89">
        <v>45049.625</v>
      </c>
      <c r="AB70">
        <v>24.78</v>
      </c>
    </row>
    <row r="71" spans="2:28" x14ac:dyDescent="0.25">
      <c r="B71" s="24">
        <v>2028</v>
      </c>
      <c r="C71" s="24">
        <f t="shared" si="0"/>
        <v>-4</v>
      </c>
      <c r="AA71" s="89">
        <v>45049.666666666664</v>
      </c>
      <c r="AB71">
        <v>24.78</v>
      </c>
    </row>
    <row r="72" spans="2:28" x14ac:dyDescent="0.25">
      <c r="B72" s="24">
        <v>2029</v>
      </c>
      <c r="C72" s="24">
        <f t="shared" si="0"/>
        <v>-8</v>
      </c>
      <c r="AA72" s="89">
        <v>45049.708333333336</v>
      </c>
      <c r="AB72">
        <v>24.78</v>
      </c>
    </row>
    <row r="73" spans="2:28" x14ac:dyDescent="0.25">
      <c r="B73" s="24">
        <v>2030</v>
      </c>
      <c r="C73" s="24">
        <f t="shared" si="0"/>
        <v>-12</v>
      </c>
      <c r="AA73" s="89">
        <v>45049.75</v>
      </c>
      <c r="AB73">
        <v>24.79</v>
      </c>
    </row>
    <row r="74" spans="2:28" x14ac:dyDescent="0.25">
      <c r="B74" s="24">
        <v>2031</v>
      </c>
      <c r="C74" s="24">
        <f t="shared" si="0"/>
        <v>-16</v>
      </c>
      <c r="AA74" s="89">
        <v>45049.791666666664</v>
      </c>
      <c r="AB74">
        <v>24.79</v>
      </c>
    </row>
    <row r="75" spans="2:28" x14ac:dyDescent="0.25">
      <c r="B75" s="24">
        <v>2032</v>
      </c>
      <c r="C75" s="24">
        <f t="shared" si="0"/>
        <v>-20</v>
      </c>
      <c r="AA75" s="89">
        <v>45049.833333333336</v>
      </c>
      <c r="AB75">
        <v>24.79</v>
      </c>
    </row>
    <row r="76" spans="2:28" x14ac:dyDescent="0.25">
      <c r="B76" s="24">
        <v>2033</v>
      </c>
      <c r="C76" s="24">
        <f t="shared" si="0"/>
        <v>-24</v>
      </c>
      <c r="AA76" s="89">
        <v>45049.875</v>
      </c>
      <c r="AB76">
        <v>24.79</v>
      </c>
    </row>
    <row r="77" spans="2:28" x14ac:dyDescent="0.25">
      <c r="B77" s="24">
        <v>2034</v>
      </c>
      <c r="C77" s="24">
        <f t="shared" si="0"/>
        <v>-28</v>
      </c>
      <c r="AA77" s="89">
        <v>45049.916666666664</v>
      </c>
      <c r="AB77">
        <v>24.79</v>
      </c>
    </row>
    <row r="78" spans="2:28" x14ac:dyDescent="0.25">
      <c r="B78" s="24">
        <v>2035</v>
      </c>
      <c r="C78" s="24">
        <f t="shared" si="0"/>
        <v>-32</v>
      </c>
      <c r="AA78" s="89">
        <v>45049.958333333336</v>
      </c>
      <c r="AB78">
        <v>24.79</v>
      </c>
    </row>
    <row r="79" spans="2:28" x14ac:dyDescent="0.25">
      <c r="B79" s="24">
        <v>2036</v>
      </c>
      <c r="C79" s="24">
        <f t="shared" si="0"/>
        <v>-36</v>
      </c>
      <c r="J79" s="1"/>
      <c r="AA79" s="89">
        <v>45050</v>
      </c>
      <c r="AB79">
        <v>24.79</v>
      </c>
    </row>
    <row r="80" spans="2:28" x14ac:dyDescent="0.25">
      <c r="B80" s="24">
        <v>2037</v>
      </c>
      <c r="C80" s="24">
        <f t="shared" si="0"/>
        <v>-40</v>
      </c>
      <c r="AA80" s="89">
        <v>45050.041666666664</v>
      </c>
      <c r="AB80">
        <v>24.79</v>
      </c>
    </row>
    <row r="81" spans="2:28" x14ac:dyDescent="0.25">
      <c r="B81" s="24">
        <v>2038</v>
      </c>
      <c r="C81" s="24">
        <f t="shared" si="0"/>
        <v>-44</v>
      </c>
      <c r="AA81" s="89">
        <v>45050.083333333336</v>
      </c>
      <c r="AB81">
        <v>24.79</v>
      </c>
    </row>
    <row r="82" spans="2:28" x14ac:dyDescent="0.25">
      <c r="B82" s="24">
        <v>2039</v>
      </c>
      <c r="C82" s="24">
        <f t="shared" si="0"/>
        <v>-48</v>
      </c>
      <c r="D82" s="8"/>
      <c r="E82" s="8"/>
      <c r="AA82" s="89">
        <v>45050.125</v>
      </c>
      <c r="AB82">
        <v>24.79</v>
      </c>
    </row>
    <row r="83" spans="2:28" x14ac:dyDescent="0.25">
      <c r="B83" s="24">
        <v>2040</v>
      </c>
      <c r="C83" s="24">
        <f t="shared" si="0"/>
        <v>-52</v>
      </c>
      <c r="D83" s="8"/>
      <c r="E83" s="8"/>
      <c r="AA83" s="89">
        <v>45050.166666666664</v>
      </c>
      <c r="AB83">
        <v>24.79</v>
      </c>
    </row>
    <row r="84" spans="2:28" x14ac:dyDescent="0.25">
      <c r="B84" s="24">
        <v>2041</v>
      </c>
      <c r="C84" s="24">
        <f t="shared" si="0"/>
        <v>-56</v>
      </c>
      <c r="D84" s="8"/>
      <c r="E84" s="8"/>
      <c r="AA84" s="89">
        <v>45050.208333333336</v>
      </c>
      <c r="AB84">
        <v>24.79</v>
      </c>
    </row>
    <row r="85" spans="2:28" x14ac:dyDescent="0.25">
      <c r="B85" s="24">
        <v>2042</v>
      </c>
      <c r="C85" s="24">
        <f t="shared" si="0"/>
        <v>-60</v>
      </c>
      <c r="AA85" s="89">
        <v>45050.25</v>
      </c>
      <c r="AB85">
        <v>24.79</v>
      </c>
    </row>
    <row r="86" spans="2:28" x14ac:dyDescent="0.25">
      <c r="B86" s="24">
        <v>2043</v>
      </c>
      <c r="C86" s="24">
        <f t="shared" si="0"/>
        <v>-64</v>
      </c>
      <c r="AA86" s="89">
        <v>45050.291666666664</v>
      </c>
      <c r="AB86">
        <v>24.79</v>
      </c>
    </row>
    <row r="87" spans="2:28" x14ac:dyDescent="0.25">
      <c r="B87" s="24">
        <v>2044</v>
      </c>
      <c r="C87" s="24">
        <f t="shared" si="0"/>
        <v>-68</v>
      </c>
      <c r="AA87" s="89">
        <v>45050.333333333336</v>
      </c>
      <c r="AB87">
        <v>24.79</v>
      </c>
    </row>
    <row r="88" spans="2:28" x14ac:dyDescent="0.25">
      <c r="B88" s="24">
        <v>2045</v>
      </c>
      <c r="C88" s="24">
        <f t="shared" si="0"/>
        <v>-72</v>
      </c>
      <c r="AA88" s="89">
        <v>45050.375</v>
      </c>
      <c r="AB88">
        <v>24.79</v>
      </c>
    </row>
    <row r="89" spans="2:28" x14ac:dyDescent="0.25">
      <c r="B89" s="24">
        <v>2046</v>
      </c>
      <c r="C89" s="24">
        <f t="shared" si="0"/>
        <v>-76</v>
      </c>
      <c r="AA89" s="89">
        <v>45050.416666666664</v>
      </c>
      <c r="AB89">
        <v>24.8</v>
      </c>
    </row>
    <row r="90" spans="2:28" x14ac:dyDescent="0.25">
      <c r="B90" s="24">
        <v>2047</v>
      </c>
      <c r="C90" s="24">
        <f t="shared" si="0"/>
        <v>-80</v>
      </c>
      <c r="AA90" s="89">
        <v>45050.458333333336</v>
      </c>
      <c r="AB90">
        <v>24.8</v>
      </c>
    </row>
    <row r="91" spans="2:28" x14ac:dyDescent="0.25">
      <c r="B91" s="24">
        <v>2048</v>
      </c>
      <c r="C91" s="24">
        <f t="shared" si="0"/>
        <v>-84</v>
      </c>
      <c r="AA91" s="89">
        <v>45050.5</v>
      </c>
      <c r="AB91">
        <v>24.8</v>
      </c>
    </row>
    <row r="92" spans="2:28" x14ac:dyDescent="0.25">
      <c r="B92" s="24">
        <v>2049</v>
      </c>
      <c r="C92" s="24">
        <f t="shared" si="0"/>
        <v>-88</v>
      </c>
      <c r="AA92" s="89">
        <v>45050.541666666664</v>
      </c>
      <c r="AB92">
        <v>24.81</v>
      </c>
    </row>
    <row r="93" spans="2:28" x14ac:dyDescent="0.25">
      <c r="B93" s="24">
        <v>2050</v>
      </c>
      <c r="C93" s="24">
        <f t="shared" si="0"/>
        <v>-92</v>
      </c>
      <c r="AA93" s="89">
        <v>45050.583333333336</v>
      </c>
      <c r="AB93">
        <v>24.8</v>
      </c>
    </row>
    <row r="94" spans="2:28" x14ac:dyDescent="0.25">
      <c r="AA94" s="89">
        <v>45050.625</v>
      </c>
      <c r="AB94">
        <v>24.8</v>
      </c>
    </row>
    <row r="95" spans="2:28" x14ac:dyDescent="0.25">
      <c r="B95" s="1" t="s">
        <v>796</v>
      </c>
      <c r="C95" s="591" t="s">
        <v>795</v>
      </c>
      <c r="AA95" s="89">
        <v>45050.666666666664</v>
      </c>
      <c r="AB95">
        <v>24.8</v>
      </c>
    </row>
    <row r="96" spans="2:28" x14ac:dyDescent="0.25">
      <c r="AA96" s="89">
        <v>45050.708333333336</v>
      </c>
      <c r="AB96">
        <v>24.8</v>
      </c>
    </row>
    <row r="97" spans="3:28" x14ac:dyDescent="0.25">
      <c r="C97" s="593" t="s">
        <v>797</v>
      </c>
      <c r="AA97" s="89">
        <v>45050.75</v>
      </c>
      <c r="AB97">
        <v>24.8</v>
      </c>
    </row>
    <row r="98" spans="3:28" x14ac:dyDescent="0.25">
      <c r="AA98" s="89">
        <v>45050.791666666664</v>
      </c>
      <c r="AB98">
        <v>24.81</v>
      </c>
    </row>
    <row r="99" spans="3:28" x14ac:dyDescent="0.25">
      <c r="AA99" s="89">
        <v>45050.833333333336</v>
      </c>
      <c r="AB99">
        <v>24.81</v>
      </c>
    </row>
    <row r="100" spans="3:28" x14ac:dyDescent="0.25">
      <c r="AA100" s="89">
        <v>45050.875</v>
      </c>
      <c r="AB100">
        <v>24.8</v>
      </c>
    </row>
    <row r="101" spans="3:28" x14ac:dyDescent="0.25">
      <c r="AA101" s="89">
        <v>45050.916666666664</v>
      </c>
      <c r="AB101">
        <v>24.8</v>
      </c>
    </row>
    <row r="102" spans="3:28" x14ac:dyDescent="0.25">
      <c r="AA102" s="89">
        <v>45050.958333333336</v>
      </c>
      <c r="AB102">
        <v>24.81</v>
      </c>
    </row>
    <row r="103" spans="3:28" x14ac:dyDescent="0.25">
      <c r="AA103" s="89">
        <v>45051</v>
      </c>
      <c r="AB103">
        <v>24.81</v>
      </c>
    </row>
    <row r="104" spans="3:28" x14ac:dyDescent="0.25">
      <c r="AA104" s="89">
        <v>45051.041666666664</v>
      </c>
      <c r="AB104">
        <v>24.81</v>
      </c>
    </row>
    <row r="105" spans="3:28" x14ac:dyDescent="0.25">
      <c r="AA105" s="89">
        <v>45051.083333333336</v>
      </c>
      <c r="AB105">
        <v>24.81</v>
      </c>
    </row>
    <row r="106" spans="3:28" x14ac:dyDescent="0.25">
      <c r="AA106" s="89">
        <v>45051.125</v>
      </c>
      <c r="AB106">
        <v>24.81</v>
      </c>
    </row>
    <row r="107" spans="3:28" x14ac:dyDescent="0.25">
      <c r="AA107" s="89">
        <v>45051.166666666664</v>
      </c>
      <c r="AB107">
        <v>24.81</v>
      </c>
    </row>
    <row r="108" spans="3:28" x14ac:dyDescent="0.25">
      <c r="AA108" s="89">
        <v>45051.208333333336</v>
      </c>
      <c r="AB108">
        <v>24.81</v>
      </c>
    </row>
    <row r="109" spans="3:28" x14ac:dyDescent="0.25">
      <c r="AA109" s="89">
        <v>45051.25</v>
      </c>
      <c r="AB109">
        <v>24.81</v>
      </c>
    </row>
    <row r="110" spans="3:28" x14ac:dyDescent="0.25">
      <c r="AA110" s="89">
        <v>45051.291666666664</v>
      </c>
      <c r="AB110">
        <v>24.81</v>
      </c>
    </row>
    <row r="111" spans="3:28" x14ac:dyDescent="0.25">
      <c r="AA111" s="89">
        <v>45051.333333333336</v>
      </c>
      <c r="AB111">
        <v>24.81</v>
      </c>
    </row>
    <row r="112" spans="3:28" x14ac:dyDescent="0.25">
      <c r="AA112" s="89">
        <v>45051.375</v>
      </c>
      <c r="AB112">
        <v>24.81</v>
      </c>
    </row>
    <row r="113" spans="27:28" x14ac:dyDescent="0.25">
      <c r="AA113" s="89">
        <v>45051.416666666664</v>
      </c>
      <c r="AB113">
        <v>24.81</v>
      </c>
    </row>
    <row r="114" spans="27:28" x14ac:dyDescent="0.25">
      <c r="AA114" s="89">
        <v>45051.458333333336</v>
      </c>
      <c r="AB114">
        <v>24.81</v>
      </c>
    </row>
    <row r="115" spans="27:28" x14ac:dyDescent="0.25">
      <c r="AA115" s="89">
        <v>45051.5</v>
      </c>
      <c r="AB115">
        <v>24.81</v>
      </c>
    </row>
    <row r="116" spans="27:28" x14ac:dyDescent="0.25">
      <c r="AA116" s="89">
        <v>45051.541666666664</v>
      </c>
      <c r="AB116">
        <v>24.81</v>
      </c>
    </row>
    <row r="117" spans="27:28" x14ac:dyDescent="0.25">
      <c r="AA117" s="89">
        <v>45051.583333333336</v>
      </c>
      <c r="AB117">
        <v>24.81</v>
      </c>
    </row>
    <row r="118" spans="27:28" x14ac:dyDescent="0.25">
      <c r="AA118" s="89">
        <v>45051.625</v>
      </c>
      <c r="AB118">
        <v>24.81</v>
      </c>
    </row>
    <row r="119" spans="27:28" x14ac:dyDescent="0.25">
      <c r="AA119" s="89">
        <v>45051.666666666664</v>
      </c>
      <c r="AB119">
        <v>24.81</v>
      </c>
    </row>
    <row r="120" spans="27:28" x14ac:dyDescent="0.25">
      <c r="AA120" s="89">
        <v>45051.708333333336</v>
      </c>
      <c r="AB120">
        <v>24.81</v>
      </c>
    </row>
    <row r="121" spans="27:28" x14ac:dyDescent="0.25">
      <c r="AA121" s="89">
        <v>45051.75</v>
      </c>
      <c r="AB121">
        <v>24.81</v>
      </c>
    </row>
    <row r="122" spans="27:28" x14ac:dyDescent="0.25">
      <c r="AA122" s="89">
        <v>45051.791666666664</v>
      </c>
      <c r="AB122">
        <v>24.81</v>
      </c>
    </row>
    <row r="123" spans="27:28" x14ac:dyDescent="0.25">
      <c r="AA123" s="89">
        <v>45051.833333333336</v>
      </c>
      <c r="AB123">
        <v>24.81</v>
      </c>
    </row>
    <row r="124" spans="27:28" x14ac:dyDescent="0.25">
      <c r="AA124" s="89">
        <v>45051.875</v>
      </c>
      <c r="AB124">
        <v>24.81</v>
      </c>
    </row>
    <row r="125" spans="27:28" x14ac:dyDescent="0.25">
      <c r="AA125" s="89">
        <v>45051.916666666664</v>
      </c>
      <c r="AB125">
        <v>24.81</v>
      </c>
    </row>
    <row r="126" spans="27:28" x14ac:dyDescent="0.25">
      <c r="AA126" s="89">
        <v>45051.958333333336</v>
      </c>
      <c r="AB126">
        <v>24.81</v>
      </c>
    </row>
    <row r="127" spans="27:28" x14ac:dyDescent="0.25">
      <c r="AA127" s="89">
        <v>45052</v>
      </c>
      <c r="AB127">
        <v>24.81</v>
      </c>
    </row>
    <row r="128" spans="27:28" x14ac:dyDescent="0.25">
      <c r="AA128" s="89">
        <v>45052.041666666664</v>
      </c>
      <c r="AB128">
        <v>24.81</v>
      </c>
    </row>
    <row r="129" spans="27:28" x14ac:dyDescent="0.25">
      <c r="AA129" s="89">
        <v>45052.083333333336</v>
      </c>
      <c r="AB129">
        <v>24.81</v>
      </c>
    </row>
    <row r="130" spans="27:28" x14ac:dyDescent="0.25">
      <c r="AA130" s="89">
        <v>45052.125</v>
      </c>
      <c r="AB130">
        <v>24.81</v>
      </c>
    </row>
    <row r="131" spans="27:28" x14ac:dyDescent="0.25">
      <c r="AA131" s="89">
        <v>45052.166666666664</v>
      </c>
      <c r="AB131">
        <v>24.81</v>
      </c>
    </row>
    <row r="132" spans="27:28" x14ac:dyDescent="0.25">
      <c r="AA132" s="89">
        <v>45052.208333333336</v>
      </c>
      <c r="AB132">
        <v>24.81</v>
      </c>
    </row>
    <row r="133" spans="27:28" x14ac:dyDescent="0.25">
      <c r="AA133" s="89">
        <v>45052.25</v>
      </c>
      <c r="AB133">
        <v>24.81</v>
      </c>
    </row>
    <row r="134" spans="27:28" x14ac:dyDescent="0.25">
      <c r="AA134" s="89">
        <v>45052.291666666664</v>
      </c>
      <c r="AB134">
        <v>24.81</v>
      </c>
    </row>
    <row r="135" spans="27:28" x14ac:dyDescent="0.25">
      <c r="AA135" s="89">
        <v>45052.333333333336</v>
      </c>
      <c r="AB135">
        <v>24.81</v>
      </c>
    </row>
    <row r="136" spans="27:28" x14ac:dyDescent="0.25">
      <c r="AA136" s="89">
        <v>45052.375</v>
      </c>
      <c r="AB136">
        <v>24.81</v>
      </c>
    </row>
    <row r="137" spans="27:28" x14ac:dyDescent="0.25">
      <c r="AA137" s="89">
        <v>45052.416666666664</v>
      </c>
      <c r="AB137">
        <v>24.81</v>
      </c>
    </row>
    <row r="138" spans="27:28" x14ac:dyDescent="0.25">
      <c r="AA138" s="89">
        <v>45052.458333333336</v>
      </c>
      <c r="AB138">
        <v>24.81</v>
      </c>
    </row>
    <row r="139" spans="27:28" x14ac:dyDescent="0.25">
      <c r="AA139" s="89">
        <v>45052.5</v>
      </c>
      <c r="AB139">
        <v>24.81</v>
      </c>
    </row>
    <row r="140" spans="27:28" x14ac:dyDescent="0.25">
      <c r="AA140" s="89">
        <v>45052.541666666664</v>
      </c>
      <c r="AB140">
        <v>24.82</v>
      </c>
    </row>
    <row r="141" spans="27:28" x14ac:dyDescent="0.25">
      <c r="AA141" s="89">
        <v>45052.583333333336</v>
      </c>
      <c r="AB141">
        <v>24.81</v>
      </c>
    </row>
    <row r="142" spans="27:28" x14ac:dyDescent="0.25">
      <c r="AA142" s="89">
        <v>45052.625</v>
      </c>
      <c r="AB142">
        <v>24.82</v>
      </c>
    </row>
    <row r="143" spans="27:28" x14ac:dyDescent="0.25">
      <c r="AA143" s="89">
        <v>45052.666666666664</v>
      </c>
      <c r="AB143">
        <v>24.82</v>
      </c>
    </row>
    <row r="144" spans="27:28" x14ac:dyDescent="0.25">
      <c r="AA144" s="89">
        <v>45052.708333333336</v>
      </c>
      <c r="AB144">
        <v>24.81</v>
      </c>
    </row>
    <row r="145" spans="27:28" x14ac:dyDescent="0.25">
      <c r="AA145" s="89">
        <v>45052.75</v>
      </c>
      <c r="AB145">
        <v>24.81</v>
      </c>
    </row>
    <row r="146" spans="27:28" x14ac:dyDescent="0.25">
      <c r="AA146" s="89">
        <v>45052.791666666664</v>
      </c>
      <c r="AB146">
        <v>24.81</v>
      </c>
    </row>
    <row r="147" spans="27:28" x14ac:dyDescent="0.25">
      <c r="AA147" s="89">
        <v>45052.833333333336</v>
      </c>
      <c r="AB147">
        <v>24.81</v>
      </c>
    </row>
    <row r="148" spans="27:28" x14ac:dyDescent="0.25">
      <c r="AA148" s="89">
        <v>45052.875</v>
      </c>
      <c r="AB148">
        <v>24.81</v>
      </c>
    </row>
    <row r="149" spans="27:28" x14ac:dyDescent="0.25">
      <c r="AA149" s="89">
        <v>45052.916666666664</v>
      </c>
      <c r="AB149">
        <v>24.81</v>
      </c>
    </row>
    <row r="150" spans="27:28" x14ac:dyDescent="0.25">
      <c r="AA150" s="89">
        <v>45052.958333333336</v>
      </c>
      <c r="AB150">
        <v>24.82</v>
      </c>
    </row>
    <row r="151" spans="27:28" x14ac:dyDescent="0.25">
      <c r="AA151" s="89">
        <v>45053</v>
      </c>
      <c r="AB151">
        <v>24.81</v>
      </c>
    </row>
    <row r="152" spans="27:28" x14ac:dyDescent="0.25">
      <c r="AA152" s="89">
        <v>45053.041666666664</v>
      </c>
      <c r="AB152">
        <v>24.81</v>
      </c>
    </row>
    <row r="153" spans="27:28" x14ac:dyDescent="0.25">
      <c r="AA153" s="89">
        <v>45053.083333333336</v>
      </c>
      <c r="AB153">
        <v>24.82</v>
      </c>
    </row>
    <row r="154" spans="27:28" x14ac:dyDescent="0.25">
      <c r="AA154" s="89">
        <v>45053.125</v>
      </c>
      <c r="AB154">
        <v>24.81</v>
      </c>
    </row>
    <row r="155" spans="27:28" x14ac:dyDescent="0.25">
      <c r="AA155" s="89">
        <v>45053.166666666664</v>
      </c>
      <c r="AB155">
        <v>24.81</v>
      </c>
    </row>
    <row r="156" spans="27:28" x14ac:dyDescent="0.25">
      <c r="AA156" s="89">
        <v>45053.208333333336</v>
      </c>
      <c r="AB156">
        <v>24.82</v>
      </c>
    </row>
    <row r="157" spans="27:28" x14ac:dyDescent="0.25">
      <c r="AA157" s="89">
        <v>45053.25</v>
      </c>
      <c r="AB157">
        <v>24.81</v>
      </c>
    </row>
    <row r="158" spans="27:28" x14ac:dyDescent="0.25">
      <c r="AA158" s="89">
        <v>45053.291666666664</v>
      </c>
      <c r="AB158">
        <v>24.81</v>
      </c>
    </row>
    <row r="159" spans="27:28" x14ac:dyDescent="0.25">
      <c r="AA159" s="89">
        <v>45053.333333333336</v>
      </c>
      <c r="AB159">
        <v>24.81</v>
      </c>
    </row>
    <row r="160" spans="27:28" x14ac:dyDescent="0.25">
      <c r="AA160" s="89">
        <v>45053.375</v>
      </c>
      <c r="AB160">
        <v>24.82</v>
      </c>
    </row>
    <row r="161" spans="27:28" x14ac:dyDescent="0.25">
      <c r="AA161" s="89">
        <v>45053.416666666664</v>
      </c>
      <c r="AB161">
        <v>24.81</v>
      </c>
    </row>
    <row r="162" spans="27:28" x14ac:dyDescent="0.25">
      <c r="AA162" s="89">
        <v>45053.458333333336</v>
      </c>
      <c r="AB162">
        <v>24.82</v>
      </c>
    </row>
    <row r="163" spans="27:28" x14ac:dyDescent="0.25">
      <c r="AA163" s="89">
        <v>45053.5</v>
      </c>
      <c r="AB163">
        <v>24.82</v>
      </c>
    </row>
    <row r="164" spans="27:28" x14ac:dyDescent="0.25">
      <c r="AA164" s="89">
        <v>45053.541666666664</v>
      </c>
      <c r="AB164">
        <v>24.82</v>
      </c>
    </row>
    <row r="165" spans="27:28" x14ac:dyDescent="0.25">
      <c r="AA165" s="89">
        <v>45053.583333333336</v>
      </c>
      <c r="AB165">
        <v>24.82</v>
      </c>
    </row>
    <row r="166" spans="27:28" x14ac:dyDescent="0.25">
      <c r="AA166" s="89">
        <v>45053.625</v>
      </c>
      <c r="AB166">
        <v>24.82</v>
      </c>
    </row>
    <row r="167" spans="27:28" x14ac:dyDescent="0.25">
      <c r="AA167" s="89">
        <v>45053.666666666664</v>
      </c>
      <c r="AB167">
        <v>24.82</v>
      </c>
    </row>
    <row r="168" spans="27:28" x14ac:dyDescent="0.25">
      <c r="AA168" s="89">
        <v>45053.708333333336</v>
      </c>
      <c r="AB168">
        <v>24.81</v>
      </c>
    </row>
    <row r="169" spans="27:28" x14ac:dyDescent="0.25">
      <c r="AA169" s="89">
        <v>45053.75</v>
      </c>
      <c r="AB169">
        <v>24.81</v>
      </c>
    </row>
    <row r="170" spans="27:28" x14ac:dyDescent="0.25">
      <c r="AA170" s="89">
        <v>45053.791666666664</v>
      </c>
      <c r="AB170">
        <v>24.81</v>
      </c>
    </row>
    <row r="171" spans="27:28" x14ac:dyDescent="0.25">
      <c r="AA171" s="89">
        <v>45053.833333333336</v>
      </c>
      <c r="AB171">
        <v>24.81</v>
      </c>
    </row>
    <row r="172" spans="27:28" x14ac:dyDescent="0.25">
      <c r="AA172" s="89">
        <v>45053.875</v>
      </c>
      <c r="AB172">
        <v>24.82</v>
      </c>
    </row>
    <row r="173" spans="27:28" x14ac:dyDescent="0.25">
      <c r="AA173" s="89">
        <v>45053.916666666664</v>
      </c>
      <c r="AB173">
        <v>24.82</v>
      </c>
    </row>
    <row r="174" spans="27:28" x14ac:dyDescent="0.25">
      <c r="AA174" s="89">
        <v>45053.958333333336</v>
      </c>
      <c r="AB174">
        <v>24.82</v>
      </c>
    </row>
    <row r="175" spans="27:28" x14ac:dyDescent="0.25">
      <c r="AA175" s="89">
        <v>45054</v>
      </c>
      <c r="AB175">
        <v>24.82</v>
      </c>
    </row>
    <row r="176" spans="27:28" x14ac:dyDescent="0.25">
      <c r="AA176" s="89">
        <v>45054.041666666664</v>
      </c>
      <c r="AB176">
        <v>24.82</v>
      </c>
    </row>
    <row r="177" spans="27:28" x14ac:dyDescent="0.25">
      <c r="AA177" s="89">
        <v>45054.083333333336</v>
      </c>
      <c r="AB177">
        <v>24.82</v>
      </c>
    </row>
    <row r="178" spans="27:28" x14ac:dyDescent="0.25">
      <c r="AA178" s="89">
        <v>45054.125</v>
      </c>
      <c r="AB178">
        <v>24.82</v>
      </c>
    </row>
    <row r="179" spans="27:28" x14ac:dyDescent="0.25">
      <c r="AA179" s="89">
        <v>45054.166666666664</v>
      </c>
      <c r="AB179">
        <v>24.82</v>
      </c>
    </row>
    <row r="180" spans="27:28" x14ac:dyDescent="0.25">
      <c r="AA180" s="89">
        <v>45054.208333333336</v>
      </c>
      <c r="AB180">
        <v>24.82</v>
      </c>
    </row>
    <row r="181" spans="27:28" x14ac:dyDescent="0.25">
      <c r="AA181" s="89">
        <v>45054.25</v>
      </c>
      <c r="AB181">
        <v>24.82</v>
      </c>
    </row>
    <row r="182" spans="27:28" x14ac:dyDescent="0.25">
      <c r="AA182" s="89">
        <v>45054.291666666664</v>
      </c>
      <c r="AB182">
        <v>24.82</v>
      </c>
    </row>
    <row r="183" spans="27:28" x14ac:dyDescent="0.25">
      <c r="AA183" s="89">
        <v>45054.333333333336</v>
      </c>
      <c r="AB183">
        <v>24.82</v>
      </c>
    </row>
    <row r="184" spans="27:28" x14ac:dyDescent="0.25">
      <c r="AA184" s="89">
        <v>45054.375</v>
      </c>
      <c r="AB184">
        <v>24.82</v>
      </c>
    </row>
    <row r="185" spans="27:28" x14ac:dyDescent="0.25">
      <c r="AA185" s="89">
        <v>45054.416666666664</v>
      </c>
      <c r="AB185">
        <v>24.82</v>
      </c>
    </row>
    <row r="186" spans="27:28" x14ac:dyDescent="0.25">
      <c r="AA186" s="89">
        <v>45054.458333333336</v>
      </c>
      <c r="AB186">
        <v>24.82</v>
      </c>
    </row>
    <row r="187" spans="27:28" x14ac:dyDescent="0.25">
      <c r="AA187" s="89">
        <v>45054.5</v>
      </c>
      <c r="AB187">
        <v>24.82</v>
      </c>
    </row>
    <row r="188" spans="27:28" x14ac:dyDescent="0.25">
      <c r="AA188" s="89">
        <v>45054.541666666664</v>
      </c>
      <c r="AB188">
        <v>24.82</v>
      </c>
    </row>
    <row r="189" spans="27:28" x14ac:dyDescent="0.25">
      <c r="AA189" s="89">
        <v>45054.583333333336</v>
      </c>
      <c r="AB189">
        <v>24.82</v>
      </c>
    </row>
    <row r="190" spans="27:28" x14ac:dyDescent="0.25">
      <c r="AA190" s="89">
        <v>45054.625</v>
      </c>
      <c r="AB190">
        <v>24.82</v>
      </c>
    </row>
    <row r="191" spans="27:28" x14ac:dyDescent="0.25">
      <c r="AA191" s="89">
        <v>45054.666666666664</v>
      </c>
      <c r="AB191">
        <v>24.82</v>
      </c>
    </row>
    <row r="192" spans="27:28" x14ac:dyDescent="0.25">
      <c r="AA192" s="89">
        <v>45054.708333333336</v>
      </c>
      <c r="AB192">
        <v>24.82</v>
      </c>
    </row>
    <row r="193" spans="27:28" x14ac:dyDescent="0.25">
      <c r="AA193" s="89">
        <v>45054.75</v>
      </c>
      <c r="AB193">
        <v>24.82</v>
      </c>
    </row>
    <row r="194" spans="27:28" x14ac:dyDescent="0.25">
      <c r="AA194" s="89">
        <v>45054.791666666664</v>
      </c>
      <c r="AB194">
        <v>24.82</v>
      </c>
    </row>
    <row r="195" spans="27:28" x14ac:dyDescent="0.25">
      <c r="AA195" s="89">
        <v>45054.833333333336</v>
      </c>
      <c r="AB195">
        <v>24.82</v>
      </c>
    </row>
    <row r="196" spans="27:28" x14ac:dyDescent="0.25">
      <c r="AA196" s="89">
        <v>45054.875</v>
      </c>
      <c r="AB196">
        <v>24.82</v>
      </c>
    </row>
    <row r="197" spans="27:28" x14ac:dyDescent="0.25">
      <c r="AA197" s="89">
        <v>45054.916666666664</v>
      </c>
      <c r="AB197">
        <v>24.82</v>
      </c>
    </row>
    <row r="198" spans="27:28" x14ac:dyDescent="0.25">
      <c r="AA198" s="89">
        <v>45054.958333333336</v>
      </c>
      <c r="AB198">
        <v>24.82</v>
      </c>
    </row>
    <row r="199" spans="27:28" x14ac:dyDescent="0.25">
      <c r="AA199" s="89">
        <v>45055</v>
      </c>
      <c r="AB199">
        <v>24.82</v>
      </c>
    </row>
    <row r="200" spans="27:28" x14ac:dyDescent="0.25">
      <c r="AA200" s="89">
        <v>45055.041666666664</v>
      </c>
      <c r="AB200">
        <v>24.82</v>
      </c>
    </row>
    <row r="201" spans="27:28" x14ac:dyDescent="0.25">
      <c r="AA201" s="89">
        <v>45055.083333333336</v>
      </c>
      <c r="AB201">
        <v>24.82</v>
      </c>
    </row>
    <row r="202" spans="27:28" x14ac:dyDescent="0.25">
      <c r="AA202" s="89">
        <v>45055.125</v>
      </c>
      <c r="AB202">
        <v>24.82</v>
      </c>
    </row>
    <row r="203" spans="27:28" x14ac:dyDescent="0.25">
      <c r="AA203" s="89">
        <v>45055.166666666664</v>
      </c>
      <c r="AB203">
        <v>24.82</v>
      </c>
    </row>
    <row r="204" spans="27:28" x14ac:dyDescent="0.25">
      <c r="AA204" s="89">
        <v>45055.208333333336</v>
      </c>
      <c r="AB204">
        <v>24.82</v>
      </c>
    </row>
    <row r="205" spans="27:28" x14ac:dyDescent="0.25">
      <c r="AA205" s="89">
        <v>45055.25</v>
      </c>
      <c r="AB205">
        <v>24.82</v>
      </c>
    </row>
    <row r="206" spans="27:28" x14ac:dyDescent="0.25">
      <c r="AA206" s="89">
        <v>45055.291666666664</v>
      </c>
      <c r="AB206">
        <v>24.82</v>
      </c>
    </row>
    <row r="207" spans="27:28" x14ac:dyDescent="0.25">
      <c r="AA207" s="89">
        <v>45055.333333333336</v>
      </c>
      <c r="AB207">
        <v>24.82</v>
      </c>
    </row>
    <row r="208" spans="27:28" x14ac:dyDescent="0.25">
      <c r="AA208" s="89">
        <v>45055.375</v>
      </c>
      <c r="AB208">
        <v>24.82</v>
      </c>
    </row>
    <row r="209" spans="27:28" x14ac:dyDescent="0.25">
      <c r="AA209" s="89">
        <v>45055.416666666664</v>
      </c>
      <c r="AB209">
        <v>24.82</v>
      </c>
    </row>
    <row r="210" spans="27:28" x14ac:dyDescent="0.25">
      <c r="AA210" s="89">
        <v>45055.458333333336</v>
      </c>
      <c r="AB210">
        <v>24.82</v>
      </c>
    </row>
    <row r="211" spans="27:28" x14ac:dyDescent="0.25">
      <c r="AA211" s="89">
        <v>45055.5</v>
      </c>
      <c r="AB211">
        <v>24.81</v>
      </c>
    </row>
    <row r="212" spans="27:28" x14ac:dyDescent="0.25">
      <c r="AA212" s="89">
        <v>45055.541666666664</v>
      </c>
      <c r="AB212">
        <v>24.82</v>
      </c>
    </row>
    <row r="213" spans="27:28" x14ac:dyDescent="0.25">
      <c r="AA213" s="89">
        <v>45055.583333333336</v>
      </c>
      <c r="AB213">
        <v>24.82</v>
      </c>
    </row>
    <row r="214" spans="27:28" x14ac:dyDescent="0.25">
      <c r="AA214" s="89">
        <v>45055.625</v>
      </c>
      <c r="AB214">
        <v>24.82</v>
      </c>
    </row>
    <row r="215" spans="27:28" x14ac:dyDescent="0.25">
      <c r="AA215" s="89">
        <v>45055.666666666664</v>
      </c>
      <c r="AB215">
        <v>24.81</v>
      </c>
    </row>
    <row r="216" spans="27:28" x14ac:dyDescent="0.25">
      <c r="AA216" s="89">
        <v>45055.708333333336</v>
      </c>
      <c r="AB216">
        <v>24.81</v>
      </c>
    </row>
    <row r="217" spans="27:28" x14ac:dyDescent="0.25">
      <c r="AA217" s="89">
        <v>45055.75</v>
      </c>
      <c r="AB217">
        <v>24.82</v>
      </c>
    </row>
    <row r="218" spans="27:28" x14ac:dyDescent="0.25">
      <c r="AA218" s="89">
        <v>45055.791666666664</v>
      </c>
      <c r="AB218">
        <v>24.82</v>
      </c>
    </row>
    <row r="219" spans="27:28" x14ac:dyDescent="0.25">
      <c r="AA219" s="89">
        <v>45055.833333333336</v>
      </c>
      <c r="AB219">
        <v>24.81</v>
      </c>
    </row>
    <row r="220" spans="27:28" x14ac:dyDescent="0.25">
      <c r="AA220" s="89">
        <v>45055.875</v>
      </c>
      <c r="AB220">
        <v>24.81</v>
      </c>
    </row>
    <row r="221" spans="27:28" x14ac:dyDescent="0.25">
      <c r="AA221" s="89">
        <v>45055.916666666664</v>
      </c>
      <c r="AB221">
        <v>24.81</v>
      </c>
    </row>
    <row r="222" spans="27:28" x14ac:dyDescent="0.25">
      <c r="AA222" s="89">
        <v>45055.958333333336</v>
      </c>
      <c r="AB222">
        <v>24.81</v>
      </c>
    </row>
    <row r="223" spans="27:28" x14ac:dyDescent="0.25">
      <c r="AA223" s="89">
        <v>45056</v>
      </c>
      <c r="AB223">
        <v>24.81</v>
      </c>
    </row>
    <row r="224" spans="27:28" x14ac:dyDescent="0.25">
      <c r="AA224" s="89">
        <v>45056.041666666664</v>
      </c>
      <c r="AB224">
        <v>24.81</v>
      </c>
    </row>
    <row r="225" spans="27:28" x14ac:dyDescent="0.25">
      <c r="AA225" s="89">
        <v>45056.083333333336</v>
      </c>
      <c r="AB225">
        <v>24.81</v>
      </c>
    </row>
    <row r="226" spans="27:28" x14ac:dyDescent="0.25">
      <c r="AA226" s="89">
        <v>45056.125</v>
      </c>
      <c r="AB226">
        <v>24.81</v>
      </c>
    </row>
    <row r="227" spans="27:28" x14ac:dyDescent="0.25">
      <c r="AA227" s="89">
        <v>45056.166666666664</v>
      </c>
      <c r="AB227">
        <v>24.81</v>
      </c>
    </row>
    <row r="228" spans="27:28" x14ac:dyDescent="0.25">
      <c r="AA228" s="89">
        <v>45056.208333333336</v>
      </c>
      <c r="AB228">
        <v>24.81</v>
      </c>
    </row>
    <row r="229" spans="27:28" x14ac:dyDescent="0.25">
      <c r="AA229" s="89">
        <v>45056.25</v>
      </c>
      <c r="AB229">
        <v>24.81</v>
      </c>
    </row>
    <row r="230" spans="27:28" x14ac:dyDescent="0.25">
      <c r="AA230" s="89">
        <v>45056.291666666664</v>
      </c>
      <c r="AB230">
        <v>24.81</v>
      </c>
    </row>
    <row r="231" spans="27:28" x14ac:dyDescent="0.25">
      <c r="AA231" s="89">
        <v>45056.333333333336</v>
      </c>
      <c r="AB231">
        <v>24.81</v>
      </c>
    </row>
    <row r="232" spans="27:28" x14ac:dyDescent="0.25">
      <c r="AA232" s="89">
        <v>45056.375</v>
      </c>
      <c r="AB232">
        <v>24.81</v>
      </c>
    </row>
    <row r="233" spans="27:28" x14ac:dyDescent="0.25">
      <c r="AA233" s="89">
        <v>45056.416666666664</v>
      </c>
      <c r="AB233">
        <v>24.81</v>
      </c>
    </row>
    <row r="234" spans="27:28" x14ac:dyDescent="0.25">
      <c r="AA234" s="89">
        <v>45056.458333333336</v>
      </c>
      <c r="AB234">
        <v>24.8</v>
      </c>
    </row>
    <row r="235" spans="27:28" x14ac:dyDescent="0.25">
      <c r="AA235" s="89">
        <v>45056.5</v>
      </c>
      <c r="AB235">
        <v>24.81</v>
      </c>
    </row>
    <row r="236" spans="27:28" x14ac:dyDescent="0.25">
      <c r="AA236" s="89">
        <v>45056.541666666664</v>
      </c>
      <c r="AB236">
        <v>24.81</v>
      </c>
    </row>
    <row r="237" spans="27:28" x14ac:dyDescent="0.25">
      <c r="AA237" s="89">
        <v>45056.583333333336</v>
      </c>
      <c r="AB237">
        <v>24.81</v>
      </c>
    </row>
    <row r="238" spans="27:28" x14ac:dyDescent="0.25">
      <c r="AA238" s="89">
        <v>45056.625</v>
      </c>
      <c r="AB238">
        <v>24.81</v>
      </c>
    </row>
    <row r="239" spans="27:28" x14ac:dyDescent="0.25">
      <c r="AA239" s="89">
        <v>45056.666666666664</v>
      </c>
      <c r="AB239">
        <v>24.81</v>
      </c>
    </row>
    <row r="240" spans="27:28" x14ac:dyDescent="0.25">
      <c r="AA240" s="89">
        <v>45056.708333333336</v>
      </c>
      <c r="AB240">
        <v>24.81</v>
      </c>
    </row>
    <row r="241" spans="27:28" x14ac:dyDescent="0.25">
      <c r="AA241" s="89">
        <v>45056.75</v>
      </c>
      <c r="AB241">
        <v>24.81</v>
      </c>
    </row>
    <row r="242" spans="27:28" x14ac:dyDescent="0.25">
      <c r="AA242" s="89">
        <v>45056.791666666664</v>
      </c>
      <c r="AB242">
        <v>24.81</v>
      </c>
    </row>
    <row r="243" spans="27:28" x14ac:dyDescent="0.25">
      <c r="AA243" s="89">
        <v>45056.833333333336</v>
      </c>
      <c r="AB243">
        <v>24.81</v>
      </c>
    </row>
    <row r="244" spans="27:28" x14ac:dyDescent="0.25">
      <c r="AA244" s="89">
        <v>45056.875</v>
      </c>
      <c r="AB244">
        <v>24.81</v>
      </c>
    </row>
    <row r="245" spans="27:28" x14ac:dyDescent="0.25">
      <c r="AA245" s="89">
        <v>45056.916666666664</v>
      </c>
      <c r="AB245">
        <v>24.81</v>
      </c>
    </row>
    <row r="246" spans="27:28" x14ac:dyDescent="0.25">
      <c r="AA246" s="89">
        <v>45056.958333333336</v>
      </c>
      <c r="AB246">
        <v>24.81</v>
      </c>
    </row>
    <row r="247" spans="27:28" x14ac:dyDescent="0.25">
      <c r="AA247" s="89">
        <v>45057</v>
      </c>
      <c r="AB247">
        <v>24.81</v>
      </c>
    </row>
    <row r="248" spans="27:28" x14ac:dyDescent="0.25">
      <c r="AA248" s="89">
        <v>45057.041666666664</v>
      </c>
      <c r="AB248">
        <v>24.81</v>
      </c>
    </row>
    <row r="249" spans="27:28" x14ac:dyDescent="0.25">
      <c r="AA249" s="89">
        <v>45057.083333333336</v>
      </c>
      <c r="AB249">
        <v>24.81</v>
      </c>
    </row>
    <row r="250" spans="27:28" x14ac:dyDescent="0.25">
      <c r="AA250" s="89">
        <v>45057.125</v>
      </c>
      <c r="AB250">
        <v>24.81</v>
      </c>
    </row>
    <row r="251" spans="27:28" x14ac:dyDescent="0.25">
      <c r="AA251" s="89">
        <v>45057.166666666664</v>
      </c>
      <c r="AB251">
        <v>24.81</v>
      </c>
    </row>
    <row r="252" spans="27:28" x14ac:dyDescent="0.25">
      <c r="AA252" s="89">
        <v>45057.208333333336</v>
      </c>
      <c r="AB252">
        <v>24.81</v>
      </c>
    </row>
    <row r="253" spans="27:28" x14ac:dyDescent="0.25">
      <c r="AA253" s="89">
        <v>45057.25</v>
      </c>
      <c r="AB253">
        <v>24.81</v>
      </c>
    </row>
    <row r="254" spans="27:28" x14ac:dyDescent="0.25">
      <c r="AA254" s="89">
        <v>45057.291666666664</v>
      </c>
      <c r="AB254">
        <v>24.81</v>
      </c>
    </row>
    <row r="255" spans="27:28" x14ac:dyDescent="0.25">
      <c r="AA255" s="89">
        <v>45057.333333333336</v>
      </c>
      <c r="AB255">
        <v>24.81</v>
      </c>
    </row>
    <row r="256" spans="27:28" x14ac:dyDescent="0.25">
      <c r="AA256" s="89">
        <v>45057.375</v>
      </c>
      <c r="AB256">
        <v>24.81</v>
      </c>
    </row>
    <row r="257" spans="27:28" x14ac:dyDescent="0.25">
      <c r="AA257" s="89">
        <v>45057.416666666664</v>
      </c>
      <c r="AB257">
        <v>24.81</v>
      </c>
    </row>
    <row r="258" spans="27:28" x14ac:dyDescent="0.25">
      <c r="AA258" s="89">
        <v>45057.458333333336</v>
      </c>
      <c r="AB258">
        <v>24.81</v>
      </c>
    </row>
    <row r="259" spans="27:28" x14ac:dyDescent="0.25">
      <c r="AA259" s="89">
        <v>45057.5</v>
      </c>
      <c r="AB259">
        <v>24.81</v>
      </c>
    </row>
    <row r="260" spans="27:28" x14ac:dyDescent="0.25">
      <c r="AA260" s="89">
        <v>45057.541666666664</v>
      </c>
      <c r="AB260">
        <v>24.81</v>
      </c>
    </row>
    <row r="261" spans="27:28" x14ac:dyDescent="0.25">
      <c r="AA261" s="89">
        <v>45057.583333333336</v>
      </c>
      <c r="AB261">
        <v>24.81</v>
      </c>
    </row>
    <row r="262" spans="27:28" x14ac:dyDescent="0.25">
      <c r="AA262" s="89">
        <v>45057.625</v>
      </c>
      <c r="AB262">
        <v>24.81</v>
      </c>
    </row>
    <row r="263" spans="27:28" x14ac:dyDescent="0.25">
      <c r="AA263" s="89">
        <v>45057.666666666664</v>
      </c>
      <c r="AB263">
        <v>24.8</v>
      </c>
    </row>
    <row r="264" spans="27:28" x14ac:dyDescent="0.25">
      <c r="AA264" s="89">
        <v>45057.708333333336</v>
      </c>
      <c r="AB264">
        <v>24.81</v>
      </c>
    </row>
    <row r="265" spans="27:28" x14ac:dyDescent="0.25">
      <c r="AA265" s="89">
        <v>45057.75</v>
      </c>
      <c r="AB265">
        <v>24.81</v>
      </c>
    </row>
    <row r="266" spans="27:28" x14ac:dyDescent="0.25">
      <c r="AA266" s="89">
        <v>45057.791666666664</v>
      </c>
      <c r="AB266">
        <v>24.81</v>
      </c>
    </row>
    <row r="267" spans="27:28" x14ac:dyDescent="0.25">
      <c r="AA267" s="89">
        <v>45057.833333333336</v>
      </c>
      <c r="AB267">
        <v>24.81</v>
      </c>
    </row>
    <row r="268" spans="27:28" x14ac:dyDescent="0.25">
      <c r="AA268" s="89">
        <v>45057.875</v>
      </c>
      <c r="AB268">
        <v>24.81</v>
      </c>
    </row>
    <row r="269" spans="27:28" x14ac:dyDescent="0.25">
      <c r="AA269" s="89">
        <v>45057.916666666664</v>
      </c>
      <c r="AB269">
        <v>24.81</v>
      </c>
    </row>
    <row r="270" spans="27:28" x14ac:dyDescent="0.25">
      <c r="AA270" s="89">
        <v>45057.958333333336</v>
      </c>
      <c r="AB270">
        <v>24.81</v>
      </c>
    </row>
    <row r="271" spans="27:28" x14ac:dyDescent="0.25">
      <c r="AA271" s="89">
        <v>45058</v>
      </c>
      <c r="AB271">
        <v>24.81</v>
      </c>
    </row>
    <row r="272" spans="27:28" x14ac:dyDescent="0.25">
      <c r="AA272" s="89">
        <v>45058.041666666664</v>
      </c>
      <c r="AB272">
        <v>24.81</v>
      </c>
    </row>
    <row r="273" spans="27:28" x14ac:dyDescent="0.25">
      <c r="AA273" s="89">
        <v>45058.083333333336</v>
      </c>
      <c r="AB273">
        <v>24.81</v>
      </c>
    </row>
    <row r="274" spans="27:28" x14ac:dyDescent="0.25">
      <c r="AA274" s="89">
        <v>45058.125</v>
      </c>
      <c r="AB274">
        <v>24.8</v>
      </c>
    </row>
    <row r="275" spans="27:28" x14ac:dyDescent="0.25">
      <c r="AA275" s="89">
        <v>45058.166666666664</v>
      </c>
      <c r="AB275">
        <v>24.81</v>
      </c>
    </row>
    <row r="276" spans="27:28" x14ac:dyDescent="0.25">
      <c r="AA276" s="89">
        <v>45058.208333333336</v>
      </c>
      <c r="AB276">
        <v>24.81</v>
      </c>
    </row>
    <row r="277" spans="27:28" x14ac:dyDescent="0.25">
      <c r="AA277" s="89">
        <v>45058.25</v>
      </c>
      <c r="AB277">
        <v>24.81</v>
      </c>
    </row>
    <row r="278" spans="27:28" x14ac:dyDescent="0.25">
      <c r="AA278" s="89">
        <v>45058.291666666664</v>
      </c>
      <c r="AB278">
        <v>24.81</v>
      </c>
    </row>
    <row r="279" spans="27:28" x14ac:dyDescent="0.25">
      <c r="AA279" s="89">
        <v>45058.333333333336</v>
      </c>
      <c r="AB279">
        <v>24.81</v>
      </c>
    </row>
    <row r="280" spans="27:28" x14ac:dyDescent="0.25">
      <c r="AA280" s="89">
        <v>45058.375</v>
      </c>
      <c r="AB280">
        <v>24.81</v>
      </c>
    </row>
    <row r="281" spans="27:28" x14ac:dyDescent="0.25">
      <c r="AA281" s="89">
        <v>45058.416666666664</v>
      </c>
      <c r="AB281">
        <v>24.81</v>
      </c>
    </row>
    <row r="282" spans="27:28" x14ac:dyDescent="0.25">
      <c r="AA282" s="89">
        <v>45058.458333333336</v>
      </c>
      <c r="AB282">
        <v>24.81</v>
      </c>
    </row>
    <row r="283" spans="27:28" x14ac:dyDescent="0.25">
      <c r="AA283" s="89">
        <v>45058.5</v>
      </c>
      <c r="AB283">
        <v>24.81</v>
      </c>
    </row>
    <row r="284" spans="27:28" x14ac:dyDescent="0.25">
      <c r="AA284" s="89">
        <v>45058.541666666664</v>
      </c>
      <c r="AB284">
        <v>24.81</v>
      </c>
    </row>
    <row r="285" spans="27:28" x14ac:dyDescent="0.25">
      <c r="AA285" s="89">
        <v>45058.583333333336</v>
      </c>
      <c r="AB285">
        <v>24.81</v>
      </c>
    </row>
    <row r="286" spans="27:28" x14ac:dyDescent="0.25">
      <c r="AA286" s="89">
        <v>45058.625</v>
      </c>
      <c r="AB286">
        <v>24.81</v>
      </c>
    </row>
    <row r="287" spans="27:28" x14ac:dyDescent="0.25">
      <c r="AA287" s="89">
        <v>45058.666666666664</v>
      </c>
      <c r="AB287">
        <v>24.81</v>
      </c>
    </row>
    <row r="288" spans="27:28" x14ac:dyDescent="0.25">
      <c r="AA288" s="89">
        <v>45058.708333333336</v>
      </c>
      <c r="AB288">
        <v>24.81</v>
      </c>
    </row>
    <row r="289" spans="27:28" x14ac:dyDescent="0.25">
      <c r="AA289" s="89">
        <v>45058.75</v>
      </c>
      <c r="AB289">
        <v>24.8</v>
      </c>
    </row>
    <row r="290" spans="27:28" x14ac:dyDescent="0.25">
      <c r="AA290" s="89">
        <v>45058.791666666664</v>
      </c>
      <c r="AB290">
        <v>24.81</v>
      </c>
    </row>
    <row r="291" spans="27:28" x14ac:dyDescent="0.25">
      <c r="AA291" s="89">
        <v>45058.833333333336</v>
      </c>
      <c r="AB291">
        <v>24.81</v>
      </c>
    </row>
    <row r="292" spans="27:28" x14ac:dyDescent="0.25">
      <c r="AA292" s="89">
        <v>45058.875</v>
      </c>
      <c r="AB292">
        <v>24.81</v>
      </c>
    </row>
    <row r="293" spans="27:28" x14ac:dyDescent="0.25">
      <c r="AA293" s="89">
        <v>45058.916666666664</v>
      </c>
      <c r="AB293">
        <v>24.81</v>
      </c>
    </row>
    <row r="294" spans="27:28" x14ac:dyDescent="0.25">
      <c r="AA294" s="89">
        <v>45058.958333333336</v>
      </c>
      <c r="AB294">
        <v>24.81</v>
      </c>
    </row>
    <row r="295" spans="27:28" x14ac:dyDescent="0.25">
      <c r="AA295" s="89">
        <v>45059</v>
      </c>
      <c r="AB295">
        <v>24.81</v>
      </c>
    </row>
    <row r="296" spans="27:28" x14ac:dyDescent="0.25">
      <c r="AA296" s="89">
        <v>45059.041666666664</v>
      </c>
      <c r="AB296">
        <v>24.81</v>
      </c>
    </row>
    <row r="297" spans="27:28" x14ac:dyDescent="0.25">
      <c r="AA297" s="89">
        <v>45059.083333333336</v>
      </c>
      <c r="AB297">
        <v>24.81</v>
      </c>
    </row>
    <row r="298" spans="27:28" x14ac:dyDescent="0.25">
      <c r="AA298" s="89">
        <v>45059.125</v>
      </c>
      <c r="AB298">
        <v>24.81</v>
      </c>
    </row>
    <row r="299" spans="27:28" x14ac:dyDescent="0.25">
      <c r="AA299" s="89">
        <v>45059.166666666664</v>
      </c>
      <c r="AB299">
        <v>24.81</v>
      </c>
    </row>
    <row r="300" spans="27:28" x14ac:dyDescent="0.25">
      <c r="AA300" s="89">
        <v>45059.208333333336</v>
      </c>
      <c r="AB300">
        <v>24.81</v>
      </c>
    </row>
    <row r="301" spans="27:28" x14ac:dyDescent="0.25">
      <c r="AA301" s="89">
        <v>45059.25</v>
      </c>
      <c r="AB301">
        <v>24.81</v>
      </c>
    </row>
    <row r="302" spans="27:28" x14ac:dyDescent="0.25">
      <c r="AA302" s="89">
        <v>45059.291666666664</v>
      </c>
      <c r="AB302">
        <v>24.81</v>
      </c>
    </row>
    <row r="303" spans="27:28" x14ac:dyDescent="0.25">
      <c r="AA303" s="89">
        <v>45059.333333333336</v>
      </c>
      <c r="AB303">
        <v>24.81</v>
      </c>
    </row>
    <row r="304" spans="27:28" x14ac:dyDescent="0.25">
      <c r="AA304" s="89">
        <v>45059.375</v>
      </c>
      <c r="AB304">
        <v>24.81</v>
      </c>
    </row>
    <row r="305" spans="27:28" x14ac:dyDescent="0.25">
      <c r="AA305" s="89">
        <v>45059.416666666664</v>
      </c>
      <c r="AB305">
        <v>24.81</v>
      </c>
    </row>
    <row r="306" spans="27:28" x14ac:dyDescent="0.25">
      <c r="AA306" s="89">
        <v>45059.458333333336</v>
      </c>
      <c r="AB306">
        <v>24.81</v>
      </c>
    </row>
    <row r="307" spans="27:28" x14ac:dyDescent="0.25">
      <c r="AA307" s="89">
        <v>45059.5</v>
      </c>
      <c r="AB307">
        <v>24.81</v>
      </c>
    </row>
    <row r="308" spans="27:28" x14ac:dyDescent="0.25">
      <c r="AA308" s="89">
        <v>45059.541666666664</v>
      </c>
      <c r="AB308">
        <v>24.81</v>
      </c>
    </row>
    <row r="309" spans="27:28" x14ac:dyDescent="0.25">
      <c r="AA309" s="89">
        <v>45059.583333333336</v>
      </c>
      <c r="AB309">
        <v>24.81</v>
      </c>
    </row>
    <row r="310" spans="27:28" x14ac:dyDescent="0.25">
      <c r="AA310" s="89">
        <v>45059.625</v>
      </c>
      <c r="AB310">
        <v>24.81</v>
      </c>
    </row>
    <row r="311" spans="27:28" x14ac:dyDescent="0.25">
      <c r="AA311" s="89">
        <v>45059.666666666664</v>
      </c>
      <c r="AB311">
        <v>24.81</v>
      </c>
    </row>
    <row r="312" spans="27:28" x14ac:dyDescent="0.25">
      <c r="AA312" s="89">
        <v>45059.708333333336</v>
      </c>
      <c r="AB312">
        <v>24.81</v>
      </c>
    </row>
    <row r="313" spans="27:28" x14ac:dyDescent="0.25">
      <c r="AA313" s="89">
        <v>45059.75</v>
      </c>
      <c r="AB313">
        <v>24.81</v>
      </c>
    </row>
    <row r="314" spans="27:28" x14ac:dyDescent="0.25">
      <c r="AA314" s="89">
        <v>45059.791666666664</v>
      </c>
      <c r="AB314">
        <v>24.81</v>
      </c>
    </row>
    <row r="315" spans="27:28" x14ac:dyDescent="0.25">
      <c r="AA315" s="89">
        <v>45059.833333333336</v>
      </c>
      <c r="AB315">
        <v>24.82</v>
      </c>
    </row>
    <row r="316" spans="27:28" x14ac:dyDescent="0.25">
      <c r="AA316" s="89">
        <v>45059.875</v>
      </c>
      <c r="AB316">
        <v>24.81</v>
      </c>
    </row>
    <row r="317" spans="27:28" x14ac:dyDescent="0.25">
      <c r="AA317" s="89">
        <v>45059.916666666664</v>
      </c>
      <c r="AB317">
        <v>24.81</v>
      </c>
    </row>
    <row r="318" spans="27:28" x14ac:dyDescent="0.25">
      <c r="AA318" s="89">
        <v>45059.958333333336</v>
      </c>
      <c r="AB318">
        <v>24.81</v>
      </c>
    </row>
    <row r="319" spans="27:28" x14ac:dyDescent="0.25">
      <c r="AA319" s="89">
        <v>45060</v>
      </c>
      <c r="AB319">
        <v>24.81</v>
      </c>
    </row>
    <row r="320" spans="27:28" x14ac:dyDescent="0.25">
      <c r="AA320" s="89">
        <v>45060.041666666664</v>
      </c>
      <c r="AB320">
        <v>24.81</v>
      </c>
    </row>
    <row r="321" spans="27:28" x14ac:dyDescent="0.25">
      <c r="AA321" s="89">
        <v>45060.083333333336</v>
      </c>
      <c r="AB321">
        <v>24.81</v>
      </c>
    </row>
    <row r="322" spans="27:28" x14ac:dyDescent="0.25">
      <c r="AA322" s="89">
        <v>45060.125</v>
      </c>
      <c r="AB322">
        <v>24.81</v>
      </c>
    </row>
    <row r="323" spans="27:28" x14ac:dyDescent="0.25">
      <c r="AA323" s="89">
        <v>45060.166666666664</v>
      </c>
      <c r="AB323">
        <v>24.82</v>
      </c>
    </row>
    <row r="324" spans="27:28" x14ac:dyDescent="0.25">
      <c r="AA324" s="89">
        <v>45060.208333333336</v>
      </c>
      <c r="AB324">
        <v>24.81</v>
      </c>
    </row>
    <row r="325" spans="27:28" x14ac:dyDescent="0.25">
      <c r="AA325" s="89">
        <v>45060.25</v>
      </c>
      <c r="AB325">
        <v>24.81</v>
      </c>
    </row>
    <row r="326" spans="27:28" x14ac:dyDescent="0.25">
      <c r="AA326" s="89">
        <v>45060.291666666664</v>
      </c>
      <c r="AB326">
        <v>24.81</v>
      </c>
    </row>
    <row r="327" spans="27:28" x14ac:dyDescent="0.25">
      <c r="AA327" s="89">
        <v>45060.333333333336</v>
      </c>
      <c r="AB327">
        <v>24.81</v>
      </c>
    </row>
    <row r="328" spans="27:28" x14ac:dyDescent="0.25">
      <c r="AA328" s="89">
        <v>45060.375</v>
      </c>
      <c r="AB328">
        <v>24.82</v>
      </c>
    </row>
    <row r="329" spans="27:28" x14ac:dyDescent="0.25">
      <c r="AA329" s="89">
        <v>45060.416666666664</v>
      </c>
      <c r="AB329">
        <v>24.81</v>
      </c>
    </row>
    <row r="330" spans="27:28" x14ac:dyDescent="0.25">
      <c r="AA330" s="89">
        <v>45060.458333333336</v>
      </c>
      <c r="AB330">
        <v>24.81</v>
      </c>
    </row>
    <row r="331" spans="27:28" x14ac:dyDescent="0.25">
      <c r="AA331" s="89">
        <v>45060.5</v>
      </c>
      <c r="AB331">
        <v>24.81</v>
      </c>
    </row>
    <row r="332" spans="27:28" x14ac:dyDescent="0.25">
      <c r="AA332" s="89">
        <v>45060.541666666664</v>
      </c>
      <c r="AB332">
        <v>24.82</v>
      </c>
    </row>
    <row r="333" spans="27:28" x14ac:dyDescent="0.25">
      <c r="AA333" s="89">
        <v>45060.583333333336</v>
      </c>
      <c r="AB333">
        <v>24.81</v>
      </c>
    </row>
    <row r="334" spans="27:28" x14ac:dyDescent="0.25">
      <c r="AA334" s="89">
        <v>45060.625</v>
      </c>
      <c r="AB334">
        <v>24.82</v>
      </c>
    </row>
    <row r="335" spans="27:28" x14ac:dyDescent="0.25">
      <c r="AA335" s="89">
        <v>45060.666666666664</v>
      </c>
      <c r="AB335">
        <v>24.81</v>
      </c>
    </row>
    <row r="336" spans="27:28" x14ac:dyDescent="0.25">
      <c r="AA336" s="89">
        <v>45060.708333333336</v>
      </c>
      <c r="AB336">
        <v>24.81</v>
      </c>
    </row>
    <row r="337" spans="27:28" x14ac:dyDescent="0.25">
      <c r="AA337" s="89">
        <v>45060.75</v>
      </c>
      <c r="AB337">
        <v>24.81</v>
      </c>
    </row>
    <row r="338" spans="27:28" x14ac:dyDescent="0.25">
      <c r="AA338" s="89">
        <v>45060.791666666664</v>
      </c>
      <c r="AB338">
        <v>24.82</v>
      </c>
    </row>
    <row r="339" spans="27:28" x14ac:dyDescent="0.25">
      <c r="AA339" s="89">
        <v>45060.833333333336</v>
      </c>
      <c r="AB339">
        <v>24.81</v>
      </c>
    </row>
    <row r="340" spans="27:28" x14ac:dyDescent="0.25">
      <c r="AA340" s="89">
        <v>45060.875</v>
      </c>
      <c r="AB340">
        <v>24.81</v>
      </c>
    </row>
    <row r="341" spans="27:28" x14ac:dyDescent="0.25">
      <c r="AA341" s="89">
        <v>45060.916666666664</v>
      </c>
      <c r="AB341">
        <v>24.81</v>
      </c>
    </row>
    <row r="342" spans="27:28" x14ac:dyDescent="0.25">
      <c r="AA342" s="89">
        <v>45060.958333333336</v>
      </c>
      <c r="AB342">
        <v>24.82</v>
      </c>
    </row>
    <row r="343" spans="27:28" x14ac:dyDescent="0.25">
      <c r="AA343" s="89">
        <v>45061</v>
      </c>
      <c r="AB343">
        <v>24.82</v>
      </c>
    </row>
    <row r="344" spans="27:28" x14ac:dyDescent="0.25">
      <c r="AA344" s="89">
        <v>45061.041666666664</v>
      </c>
      <c r="AB344">
        <v>24.81</v>
      </c>
    </row>
    <row r="345" spans="27:28" x14ac:dyDescent="0.25">
      <c r="AA345" s="89">
        <v>45061.083333333336</v>
      </c>
      <c r="AB345">
        <v>24.82</v>
      </c>
    </row>
    <row r="346" spans="27:28" x14ac:dyDescent="0.25">
      <c r="AA346" s="89">
        <v>45061.125</v>
      </c>
      <c r="AB346">
        <v>24.81</v>
      </c>
    </row>
    <row r="347" spans="27:28" x14ac:dyDescent="0.25">
      <c r="AA347" s="89">
        <v>45061.166666666664</v>
      </c>
      <c r="AB347">
        <v>24.81</v>
      </c>
    </row>
    <row r="348" spans="27:28" x14ac:dyDescent="0.25">
      <c r="AA348" s="89">
        <v>45061.208333333336</v>
      </c>
      <c r="AB348">
        <v>24.82</v>
      </c>
    </row>
    <row r="349" spans="27:28" x14ac:dyDescent="0.25">
      <c r="AA349" s="89">
        <v>45061.25</v>
      </c>
      <c r="AB349">
        <v>24.82</v>
      </c>
    </row>
    <row r="350" spans="27:28" x14ac:dyDescent="0.25">
      <c r="AA350" s="89">
        <v>45061.291666666664</v>
      </c>
      <c r="AB350">
        <v>24.82</v>
      </c>
    </row>
    <row r="351" spans="27:28" x14ac:dyDescent="0.25">
      <c r="AA351" s="89">
        <v>45061.333333333336</v>
      </c>
      <c r="AB351">
        <v>24.82</v>
      </c>
    </row>
    <row r="352" spans="27:28" x14ac:dyDescent="0.25">
      <c r="AA352" s="89">
        <v>45061.375</v>
      </c>
      <c r="AB352">
        <v>24.82</v>
      </c>
    </row>
    <row r="353" spans="27:28" x14ac:dyDescent="0.25">
      <c r="AA353" s="89">
        <v>45061.416666666664</v>
      </c>
      <c r="AB353">
        <v>24.82</v>
      </c>
    </row>
    <row r="354" spans="27:28" x14ac:dyDescent="0.25">
      <c r="AA354" s="89">
        <v>45061.458333333336</v>
      </c>
      <c r="AB354">
        <v>24.82</v>
      </c>
    </row>
    <row r="355" spans="27:28" x14ac:dyDescent="0.25">
      <c r="AA355" s="89">
        <v>45061.5</v>
      </c>
      <c r="AB355">
        <v>24.82</v>
      </c>
    </row>
    <row r="356" spans="27:28" x14ac:dyDescent="0.25">
      <c r="AA356" s="89">
        <v>45061.541666666664</v>
      </c>
      <c r="AB356">
        <v>24.82</v>
      </c>
    </row>
    <row r="357" spans="27:28" x14ac:dyDescent="0.25">
      <c r="AA357" s="89">
        <v>45061.583333333336</v>
      </c>
      <c r="AB357">
        <v>24.82</v>
      </c>
    </row>
    <row r="358" spans="27:28" x14ac:dyDescent="0.25">
      <c r="AA358" s="89">
        <v>45061.625</v>
      </c>
      <c r="AB358">
        <v>24.82</v>
      </c>
    </row>
    <row r="359" spans="27:28" x14ac:dyDescent="0.25">
      <c r="AA359" s="89">
        <v>45061.666666666664</v>
      </c>
      <c r="AB359">
        <v>24.81</v>
      </c>
    </row>
    <row r="360" spans="27:28" x14ac:dyDescent="0.25">
      <c r="AA360" s="89">
        <v>45061.708333333336</v>
      </c>
      <c r="AB360">
        <v>24.81</v>
      </c>
    </row>
    <row r="361" spans="27:28" x14ac:dyDescent="0.25">
      <c r="AA361" s="89">
        <v>45061.75</v>
      </c>
      <c r="AB361">
        <v>24.82</v>
      </c>
    </row>
    <row r="362" spans="27:28" x14ac:dyDescent="0.25">
      <c r="AA362" s="89">
        <v>45061.791666666664</v>
      </c>
      <c r="AB362">
        <v>24.82</v>
      </c>
    </row>
    <row r="363" spans="27:28" x14ac:dyDescent="0.25">
      <c r="AA363" s="89">
        <v>45061.833333333336</v>
      </c>
      <c r="AB363">
        <v>24.82</v>
      </c>
    </row>
    <row r="364" spans="27:28" x14ac:dyDescent="0.25">
      <c r="AA364" s="89">
        <v>45061.875</v>
      </c>
      <c r="AB364">
        <v>24.82</v>
      </c>
    </row>
    <row r="365" spans="27:28" x14ac:dyDescent="0.25">
      <c r="AA365" s="89">
        <v>45061.916666666664</v>
      </c>
      <c r="AB365">
        <v>24.82</v>
      </c>
    </row>
    <row r="366" spans="27:28" x14ac:dyDescent="0.25">
      <c r="AA366" s="89">
        <v>45061.958333333336</v>
      </c>
      <c r="AB366">
        <v>24.82</v>
      </c>
    </row>
    <row r="367" spans="27:28" x14ac:dyDescent="0.25">
      <c r="AA367" s="89">
        <v>45062</v>
      </c>
      <c r="AB367">
        <v>24.82</v>
      </c>
    </row>
    <row r="368" spans="27:28" x14ac:dyDescent="0.25">
      <c r="AA368" s="89">
        <v>45062.041666666664</v>
      </c>
      <c r="AB368">
        <v>24.82</v>
      </c>
    </row>
    <row r="369" spans="27:28" x14ac:dyDescent="0.25">
      <c r="AA369" s="89">
        <v>45062.083333333336</v>
      </c>
      <c r="AB369">
        <v>24.82</v>
      </c>
    </row>
    <row r="370" spans="27:28" x14ac:dyDescent="0.25">
      <c r="AA370" s="89">
        <v>45062.125</v>
      </c>
      <c r="AB370">
        <v>24.82</v>
      </c>
    </row>
    <row r="371" spans="27:28" x14ac:dyDescent="0.25">
      <c r="AA371" s="89">
        <v>45062.166666666664</v>
      </c>
      <c r="AB371">
        <v>24.82</v>
      </c>
    </row>
    <row r="372" spans="27:28" x14ac:dyDescent="0.25">
      <c r="AA372" s="89">
        <v>45062.208333333336</v>
      </c>
      <c r="AB372">
        <v>24.82</v>
      </c>
    </row>
    <row r="373" spans="27:28" x14ac:dyDescent="0.25">
      <c r="AA373" s="89">
        <v>45062.25</v>
      </c>
      <c r="AB373">
        <v>24.82</v>
      </c>
    </row>
    <row r="374" spans="27:28" x14ac:dyDescent="0.25">
      <c r="AA374" s="89">
        <v>45062.291666666664</v>
      </c>
      <c r="AB374">
        <v>24.82</v>
      </c>
    </row>
    <row r="375" spans="27:28" x14ac:dyDescent="0.25">
      <c r="AA375" s="89">
        <v>45062.333333333336</v>
      </c>
      <c r="AB375">
        <v>24.82</v>
      </c>
    </row>
    <row r="376" spans="27:28" x14ac:dyDescent="0.25">
      <c r="AA376" s="89">
        <v>45062.375</v>
      </c>
      <c r="AB376">
        <v>24.82</v>
      </c>
    </row>
    <row r="377" spans="27:28" x14ac:dyDescent="0.25">
      <c r="AA377" s="89">
        <v>45062.416666666664</v>
      </c>
      <c r="AB377">
        <v>24.82</v>
      </c>
    </row>
    <row r="378" spans="27:28" x14ac:dyDescent="0.25">
      <c r="AA378" s="89">
        <v>45062.458333333336</v>
      </c>
      <c r="AB378">
        <v>24.82</v>
      </c>
    </row>
    <row r="379" spans="27:28" x14ac:dyDescent="0.25">
      <c r="AA379" s="89">
        <v>45062.5</v>
      </c>
      <c r="AB379">
        <v>24.82</v>
      </c>
    </row>
    <row r="380" spans="27:28" x14ac:dyDescent="0.25">
      <c r="AA380" s="89">
        <v>45062.541666666664</v>
      </c>
      <c r="AB380">
        <v>24.82</v>
      </c>
    </row>
    <row r="381" spans="27:28" x14ac:dyDescent="0.25">
      <c r="AA381" s="89">
        <v>45062.583333333336</v>
      </c>
      <c r="AB381">
        <v>24.82</v>
      </c>
    </row>
    <row r="382" spans="27:28" x14ac:dyDescent="0.25">
      <c r="AA382" s="89">
        <v>45062.625</v>
      </c>
      <c r="AB382">
        <v>24.82</v>
      </c>
    </row>
    <row r="383" spans="27:28" x14ac:dyDescent="0.25">
      <c r="AA383" s="89">
        <v>45062.666666666664</v>
      </c>
      <c r="AB383">
        <v>24.82</v>
      </c>
    </row>
    <row r="384" spans="27:28" x14ac:dyDescent="0.25">
      <c r="AA384" s="89">
        <v>45062.708333333336</v>
      </c>
      <c r="AB384">
        <v>24.82</v>
      </c>
    </row>
    <row r="385" spans="27:28" x14ac:dyDescent="0.25">
      <c r="AA385" s="89">
        <v>45062.75</v>
      </c>
      <c r="AB385">
        <v>24.82</v>
      </c>
    </row>
    <row r="386" spans="27:28" x14ac:dyDescent="0.25">
      <c r="AA386" s="89">
        <v>45062.791666666664</v>
      </c>
      <c r="AB386">
        <v>24.82</v>
      </c>
    </row>
    <row r="387" spans="27:28" x14ac:dyDescent="0.25">
      <c r="AA387" s="89">
        <v>45062.833333333336</v>
      </c>
      <c r="AB387">
        <v>24.82</v>
      </c>
    </row>
    <row r="388" spans="27:28" x14ac:dyDescent="0.25">
      <c r="AA388" s="89">
        <v>45062.875</v>
      </c>
      <c r="AB388">
        <v>24.82</v>
      </c>
    </row>
    <row r="389" spans="27:28" x14ac:dyDescent="0.25">
      <c r="AA389" s="89">
        <v>45062.916666666664</v>
      </c>
      <c r="AB389">
        <v>24.82</v>
      </c>
    </row>
    <row r="390" spans="27:28" x14ac:dyDescent="0.25">
      <c r="AA390" s="89">
        <v>45062.958333333336</v>
      </c>
      <c r="AB390">
        <v>24.82</v>
      </c>
    </row>
    <row r="391" spans="27:28" x14ac:dyDescent="0.25">
      <c r="AA391" s="89">
        <v>45063</v>
      </c>
      <c r="AB391">
        <v>24.82</v>
      </c>
    </row>
    <row r="392" spans="27:28" x14ac:dyDescent="0.25">
      <c r="AA392" s="89">
        <v>45063.041666666664</v>
      </c>
      <c r="AB392">
        <v>24.82</v>
      </c>
    </row>
    <row r="393" spans="27:28" x14ac:dyDescent="0.25">
      <c r="AA393" s="89">
        <v>45063.083333333336</v>
      </c>
      <c r="AB393">
        <v>24.82</v>
      </c>
    </row>
    <row r="394" spans="27:28" x14ac:dyDescent="0.25">
      <c r="AA394" s="89">
        <v>45063.125</v>
      </c>
      <c r="AB394">
        <v>24.82</v>
      </c>
    </row>
    <row r="395" spans="27:28" x14ac:dyDescent="0.25">
      <c r="AA395" s="89">
        <v>45063.166666666664</v>
      </c>
      <c r="AB395">
        <v>24.82</v>
      </c>
    </row>
    <row r="396" spans="27:28" x14ac:dyDescent="0.25">
      <c r="AA396" s="89">
        <v>45063.208333333336</v>
      </c>
      <c r="AB396">
        <v>24.82</v>
      </c>
    </row>
    <row r="397" spans="27:28" x14ac:dyDescent="0.25">
      <c r="AA397" s="89">
        <v>45063.25</v>
      </c>
      <c r="AB397">
        <v>24.82</v>
      </c>
    </row>
    <row r="398" spans="27:28" x14ac:dyDescent="0.25">
      <c r="AA398" s="89">
        <v>45063.291666666664</v>
      </c>
      <c r="AB398">
        <v>24.82</v>
      </c>
    </row>
    <row r="399" spans="27:28" x14ac:dyDescent="0.25">
      <c r="AA399" s="89">
        <v>45063.333333333336</v>
      </c>
      <c r="AB399">
        <v>24.82</v>
      </c>
    </row>
    <row r="400" spans="27:28" x14ac:dyDescent="0.25">
      <c r="AA400" s="89">
        <v>45063.375</v>
      </c>
      <c r="AB400">
        <v>24.82</v>
      </c>
    </row>
    <row r="401" spans="27:28" x14ac:dyDescent="0.25">
      <c r="AA401" s="89">
        <v>45063.416666666664</v>
      </c>
      <c r="AB401">
        <v>24.82</v>
      </c>
    </row>
    <row r="402" spans="27:28" x14ac:dyDescent="0.25">
      <c r="AA402" s="89">
        <v>45063.458333333336</v>
      </c>
      <c r="AB402">
        <v>24.82</v>
      </c>
    </row>
    <row r="403" spans="27:28" x14ac:dyDescent="0.25">
      <c r="AA403" s="89">
        <v>45063.5</v>
      </c>
      <c r="AB403">
        <v>24.82</v>
      </c>
    </row>
    <row r="404" spans="27:28" x14ac:dyDescent="0.25">
      <c r="AA404" s="89">
        <v>45063.541666666664</v>
      </c>
      <c r="AB404">
        <v>24.82</v>
      </c>
    </row>
    <row r="405" spans="27:28" x14ac:dyDescent="0.25">
      <c r="AA405" s="89">
        <v>45063.583333333336</v>
      </c>
      <c r="AB405">
        <v>24.82</v>
      </c>
    </row>
    <row r="406" spans="27:28" x14ac:dyDescent="0.25">
      <c r="AA406" s="89">
        <v>45063.625</v>
      </c>
      <c r="AB406">
        <v>24.82</v>
      </c>
    </row>
    <row r="407" spans="27:28" x14ac:dyDescent="0.25">
      <c r="AA407" s="89">
        <v>45063.666666666664</v>
      </c>
      <c r="AB407">
        <v>24.82</v>
      </c>
    </row>
    <row r="408" spans="27:28" x14ac:dyDescent="0.25">
      <c r="AA408" s="89">
        <v>45063.708333333336</v>
      </c>
      <c r="AB408">
        <v>24.82</v>
      </c>
    </row>
    <row r="409" spans="27:28" x14ac:dyDescent="0.25">
      <c r="AA409" s="89">
        <v>45063.75</v>
      </c>
      <c r="AB409">
        <v>24.82</v>
      </c>
    </row>
    <row r="410" spans="27:28" x14ac:dyDescent="0.25">
      <c r="AA410" s="89">
        <v>45063.791666666664</v>
      </c>
      <c r="AB410">
        <v>24.82</v>
      </c>
    </row>
    <row r="411" spans="27:28" x14ac:dyDescent="0.25">
      <c r="AA411" s="89">
        <v>45063.833333333336</v>
      </c>
      <c r="AB411">
        <v>24.82</v>
      </c>
    </row>
    <row r="412" spans="27:28" x14ac:dyDescent="0.25">
      <c r="AA412" s="89">
        <v>45063.875</v>
      </c>
      <c r="AB412">
        <v>24.83</v>
      </c>
    </row>
    <row r="413" spans="27:28" x14ac:dyDescent="0.25">
      <c r="AA413" s="89">
        <v>45063.916666666664</v>
      </c>
      <c r="AB413">
        <v>24.82</v>
      </c>
    </row>
    <row r="414" spans="27:28" x14ac:dyDescent="0.25">
      <c r="AA414" s="89">
        <v>45063.958333333336</v>
      </c>
      <c r="AB414">
        <v>24.83</v>
      </c>
    </row>
    <row r="415" spans="27:28" x14ac:dyDescent="0.25">
      <c r="AA415" s="89">
        <v>45064</v>
      </c>
      <c r="AB415">
        <v>24.83</v>
      </c>
    </row>
    <row r="416" spans="27:28" x14ac:dyDescent="0.25">
      <c r="AA416" s="89">
        <v>45064.041666666664</v>
      </c>
      <c r="AB416">
        <v>24.82</v>
      </c>
    </row>
    <row r="417" spans="27:28" x14ac:dyDescent="0.25">
      <c r="AA417" s="89">
        <v>45064.083333333336</v>
      </c>
      <c r="AB417">
        <v>24.82</v>
      </c>
    </row>
    <row r="418" spans="27:28" x14ac:dyDescent="0.25">
      <c r="AA418" s="89">
        <v>45064.125</v>
      </c>
      <c r="AB418">
        <v>24.82</v>
      </c>
    </row>
    <row r="419" spans="27:28" x14ac:dyDescent="0.25">
      <c r="AA419" s="89">
        <v>45064.166666666664</v>
      </c>
      <c r="AB419">
        <v>24.82</v>
      </c>
    </row>
    <row r="420" spans="27:28" x14ac:dyDescent="0.25">
      <c r="AA420" s="89">
        <v>45064.208333333336</v>
      </c>
      <c r="AB420">
        <v>24.82</v>
      </c>
    </row>
    <row r="421" spans="27:28" x14ac:dyDescent="0.25">
      <c r="AA421" s="89">
        <v>45064.25</v>
      </c>
      <c r="AB421">
        <v>24.83</v>
      </c>
    </row>
    <row r="422" spans="27:28" x14ac:dyDescent="0.25">
      <c r="AA422" s="89">
        <v>45064.291666666664</v>
      </c>
      <c r="AB422">
        <v>24.82</v>
      </c>
    </row>
    <row r="423" spans="27:28" x14ac:dyDescent="0.25">
      <c r="AA423" s="89">
        <v>45064.333333333336</v>
      </c>
      <c r="AB423">
        <v>24.83</v>
      </c>
    </row>
    <row r="424" spans="27:28" x14ac:dyDescent="0.25">
      <c r="AA424" s="89">
        <v>45064.375</v>
      </c>
      <c r="AB424">
        <v>24.82</v>
      </c>
    </row>
    <row r="425" spans="27:28" x14ac:dyDescent="0.25">
      <c r="AA425" s="89">
        <v>45064.416666666664</v>
      </c>
      <c r="AB425">
        <v>24.82</v>
      </c>
    </row>
    <row r="426" spans="27:28" x14ac:dyDescent="0.25">
      <c r="AA426" s="89">
        <v>45064.458333333336</v>
      </c>
      <c r="AB426">
        <v>24.82</v>
      </c>
    </row>
    <row r="427" spans="27:28" x14ac:dyDescent="0.25">
      <c r="AA427" s="89">
        <v>45064.5</v>
      </c>
      <c r="AB427">
        <v>24.82</v>
      </c>
    </row>
    <row r="428" spans="27:28" x14ac:dyDescent="0.25">
      <c r="AA428" s="89">
        <v>45064.541666666664</v>
      </c>
      <c r="AB428">
        <v>24.83</v>
      </c>
    </row>
    <row r="429" spans="27:28" x14ac:dyDescent="0.25">
      <c r="AA429" s="89">
        <v>45064.583333333336</v>
      </c>
      <c r="AB429">
        <v>24.82</v>
      </c>
    </row>
    <row r="430" spans="27:28" x14ac:dyDescent="0.25">
      <c r="AA430" s="89">
        <v>45064.625</v>
      </c>
      <c r="AB430">
        <v>24.82</v>
      </c>
    </row>
    <row r="431" spans="27:28" x14ac:dyDescent="0.25">
      <c r="AA431" s="89">
        <v>45064.666666666664</v>
      </c>
      <c r="AB431">
        <v>24.82</v>
      </c>
    </row>
    <row r="432" spans="27:28" x14ac:dyDescent="0.25">
      <c r="AA432" s="89">
        <v>45064.708333333336</v>
      </c>
      <c r="AB432">
        <v>24.83</v>
      </c>
    </row>
    <row r="433" spans="27:28" x14ac:dyDescent="0.25">
      <c r="AA433" s="89">
        <v>45064.75</v>
      </c>
      <c r="AB433">
        <v>24.83</v>
      </c>
    </row>
    <row r="434" spans="27:28" x14ac:dyDescent="0.25">
      <c r="AA434" s="89">
        <v>45064.791666666664</v>
      </c>
      <c r="AB434">
        <v>24.82</v>
      </c>
    </row>
    <row r="435" spans="27:28" x14ac:dyDescent="0.25">
      <c r="AA435" s="89">
        <v>45064.833333333336</v>
      </c>
      <c r="AB435">
        <v>24.83</v>
      </c>
    </row>
    <row r="436" spans="27:28" x14ac:dyDescent="0.25">
      <c r="AA436" s="89">
        <v>45064.875</v>
      </c>
      <c r="AB436">
        <v>24.82</v>
      </c>
    </row>
    <row r="437" spans="27:28" x14ac:dyDescent="0.25">
      <c r="AA437" s="89">
        <v>45064.916666666664</v>
      </c>
      <c r="AB437">
        <v>24.83</v>
      </c>
    </row>
    <row r="438" spans="27:28" x14ac:dyDescent="0.25">
      <c r="AA438" s="89">
        <v>45064.958333333336</v>
      </c>
      <c r="AB438">
        <v>24.82</v>
      </c>
    </row>
    <row r="439" spans="27:28" x14ac:dyDescent="0.25">
      <c r="AA439" s="89">
        <v>45065</v>
      </c>
      <c r="AB439">
        <v>24.82</v>
      </c>
    </row>
    <row r="440" spans="27:28" x14ac:dyDescent="0.25">
      <c r="AA440" s="89">
        <v>45065.041666666664</v>
      </c>
      <c r="AB440">
        <v>24.82</v>
      </c>
    </row>
    <row r="441" spans="27:28" x14ac:dyDescent="0.25">
      <c r="AA441" s="89">
        <v>45065.083333333336</v>
      </c>
      <c r="AB441">
        <v>24.83</v>
      </c>
    </row>
    <row r="442" spans="27:28" x14ac:dyDescent="0.25">
      <c r="AA442" s="89">
        <v>45065.125</v>
      </c>
      <c r="AB442">
        <v>24.83</v>
      </c>
    </row>
    <row r="443" spans="27:28" x14ac:dyDescent="0.25">
      <c r="AA443" s="89">
        <v>45065.166666666664</v>
      </c>
      <c r="AB443">
        <v>24.83</v>
      </c>
    </row>
    <row r="444" spans="27:28" x14ac:dyDescent="0.25">
      <c r="AA444" s="89">
        <v>45065.208333333336</v>
      </c>
      <c r="AB444">
        <v>24.83</v>
      </c>
    </row>
    <row r="445" spans="27:28" x14ac:dyDescent="0.25">
      <c r="AA445" s="89">
        <v>45065.25</v>
      </c>
      <c r="AB445">
        <v>24.83</v>
      </c>
    </row>
    <row r="446" spans="27:28" x14ac:dyDescent="0.25">
      <c r="AA446" s="89">
        <v>45065.291666666664</v>
      </c>
      <c r="AB446">
        <v>24.82</v>
      </c>
    </row>
    <row r="447" spans="27:28" x14ac:dyDescent="0.25">
      <c r="AA447" s="89">
        <v>45065.333333333336</v>
      </c>
      <c r="AB447">
        <v>24.83</v>
      </c>
    </row>
    <row r="448" spans="27:28" x14ac:dyDescent="0.25">
      <c r="AA448" s="89">
        <v>45065.375</v>
      </c>
      <c r="AB448">
        <v>24.83</v>
      </c>
    </row>
    <row r="449" spans="27:28" x14ac:dyDescent="0.25">
      <c r="AA449" s="89">
        <v>45065.416666666664</v>
      </c>
      <c r="AB449">
        <v>24.82</v>
      </c>
    </row>
    <row r="450" spans="27:28" x14ac:dyDescent="0.25">
      <c r="AA450" s="89">
        <v>45065.458333333336</v>
      </c>
      <c r="AB450">
        <v>24.83</v>
      </c>
    </row>
    <row r="451" spans="27:28" x14ac:dyDescent="0.25">
      <c r="AA451" s="89">
        <v>45065.5</v>
      </c>
      <c r="AB451">
        <v>24.83</v>
      </c>
    </row>
    <row r="452" spans="27:28" x14ac:dyDescent="0.25">
      <c r="AA452" s="89">
        <v>45065.541666666664</v>
      </c>
      <c r="AB452">
        <v>24.83</v>
      </c>
    </row>
    <row r="453" spans="27:28" x14ac:dyDescent="0.25">
      <c r="AA453" s="89">
        <v>45065.583333333336</v>
      </c>
      <c r="AB453">
        <v>24.83</v>
      </c>
    </row>
    <row r="454" spans="27:28" x14ac:dyDescent="0.25">
      <c r="AA454" s="89">
        <v>45065.625</v>
      </c>
      <c r="AB454">
        <v>24.83</v>
      </c>
    </row>
    <row r="455" spans="27:28" x14ac:dyDescent="0.25">
      <c r="AA455" s="89">
        <v>45065.666666666664</v>
      </c>
      <c r="AB455">
        <v>24.83</v>
      </c>
    </row>
    <row r="456" spans="27:28" x14ac:dyDescent="0.25">
      <c r="AA456" s="89">
        <v>45065.708333333336</v>
      </c>
      <c r="AB456">
        <v>24.83</v>
      </c>
    </row>
    <row r="457" spans="27:28" x14ac:dyDescent="0.25">
      <c r="AA457" s="89">
        <v>45065.75</v>
      </c>
      <c r="AB457">
        <v>24.83</v>
      </c>
    </row>
    <row r="458" spans="27:28" x14ac:dyDescent="0.25">
      <c r="AA458" s="89">
        <v>45065.791666666664</v>
      </c>
      <c r="AB458">
        <v>24.82</v>
      </c>
    </row>
    <row r="459" spans="27:28" x14ac:dyDescent="0.25">
      <c r="AA459" s="89">
        <v>45065.833333333336</v>
      </c>
      <c r="AB459">
        <v>24.83</v>
      </c>
    </row>
    <row r="460" spans="27:28" x14ac:dyDescent="0.25">
      <c r="AA460" s="89">
        <v>45065.875</v>
      </c>
      <c r="AB460">
        <v>24.83</v>
      </c>
    </row>
    <row r="461" spans="27:28" x14ac:dyDescent="0.25">
      <c r="AA461" s="89">
        <v>45065.916666666664</v>
      </c>
      <c r="AB461">
        <v>24.83</v>
      </c>
    </row>
    <row r="462" spans="27:28" x14ac:dyDescent="0.25">
      <c r="AA462" s="89">
        <v>45065.958333333336</v>
      </c>
      <c r="AB462">
        <v>24.83</v>
      </c>
    </row>
    <row r="463" spans="27:28" x14ac:dyDescent="0.25">
      <c r="AA463" s="89">
        <v>45066</v>
      </c>
      <c r="AB463">
        <v>24.83</v>
      </c>
    </row>
    <row r="464" spans="27:28" x14ac:dyDescent="0.25">
      <c r="AA464" s="89">
        <v>45066.041666666664</v>
      </c>
      <c r="AB464">
        <v>24.83</v>
      </c>
    </row>
    <row r="465" spans="27:28" x14ac:dyDescent="0.25">
      <c r="AA465" s="89">
        <v>45066.083333333336</v>
      </c>
      <c r="AB465">
        <v>24.83</v>
      </c>
    </row>
    <row r="466" spans="27:28" x14ac:dyDescent="0.25">
      <c r="AA466" s="89">
        <v>45066.125</v>
      </c>
      <c r="AB466">
        <v>24.83</v>
      </c>
    </row>
    <row r="467" spans="27:28" x14ac:dyDescent="0.25">
      <c r="AA467" s="89">
        <v>45066.166666666664</v>
      </c>
      <c r="AB467">
        <v>24.83</v>
      </c>
    </row>
    <row r="468" spans="27:28" x14ac:dyDescent="0.25">
      <c r="AA468" s="89">
        <v>45066.208333333336</v>
      </c>
      <c r="AB468">
        <v>24.83</v>
      </c>
    </row>
    <row r="469" spans="27:28" x14ac:dyDescent="0.25">
      <c r="AA469" s="89">
        <v>45066.25</v>
      </c>
      <c r="AB469">
        <v>24.82</v>
      </c>
    </row>
    <row r="470" spans="27:28" x14ac:dyDescent="0.25">
      <c r="AA470" s="89">
        <v>45066.291666666664</v>
      </c>
      <c r="AB470">
        <v>24.82</v>
      </c>
    </row>
    <row r="471" spans="27:28" x14ac:dyDescent="0.25">
      <c r="AA471" s="89">
        <v>45066.333333333336</v>
      </c>
      <c r="AB471">
        <v>24.83</v>
      </c>
    </row>
    <row r="472" spans="27:28" x14ac:dyDescent="0.25">
      <c r="AA472" s="89">
        <v>45066.375</v>
      </c>
      <c r="AB472">
        <v>24.83</v>
      </c>
    </row>
    <row r="473" spans="27:28" x14ac:dyDescent="0.25">
      <c r="AA473" s="89">
        <v>45066.416666666664</v>
      </c>
      <c r="AB473">
        <v>24.83</v>
      </c>
    </row>
    <row r="474" spans="27:28" x14ac:dyDescent="0.25">
      <c r="AA474" s="89">
        <v>45066.458333333336</v>
      </c>
      <c r="AB474">
        <v>24.83</v>
      </c>
    </row>
    <row r="475" spans="27:28" x14ac:dyDescent="0.25">
      <c r="AA475" s="89">
        <v>45066.5</v>
      </c>
      <c r="AB475">
        <v>24.83</v>
      </c>
    </row>
    <row r="476" spans="27:28" x14ac:dyDescent="0.25">
      <c r="AA476" s="89">
        <v>45066.541666666664</v>
      </c>
      <c r="AB476">
        <v>24.83</v>
      </c>
    </row>
    <row r="477" spans="27:28" x14ac:dyDescent="0.25">
      <c r="AA477" s="89">
        <v>45066.583333333336</v>
      </c>
      <c r="AB477">
        <v>24.82</v>
      </c>
    </row>
    <row r="478" spans="27:28" x14ac:dyDescent="0.25">
      <c r="AA478" s="89">
        <v>45066.625</v>
      </c>
      <c r="AB478">
        <v>24.83</v>
      </c>
    </row>
    <row r="479" spans="27:28" x14ac:dyDescent="0.25">
      <c r="AA479" s="89">
        <v>45066.666666666664</v>
      </c>
      <c r="AB479">
        <v>24.83</v>
      </c>
    </row>
    <row r="480" spans="27:28" x14ac:dyDescent="0.25">
      <c r="AA480" s="89">
        <v>45066.708333333336</v>
      </c>
      <c r="AB480">
        <v>24.83</v>
      </c>
    </row>
    <row r="481" spans="27:28" x14ac:dyDescent="0.25">
      <c r="AA481" s="89">
        <v>45066.75</v>
      </c>
      <c r="AB481">
        <v>24.83</v>
      </c>
    </row>
    <row r="482" spans="27:28" x14ac:dyDescent="0.25">
      <c r="AA482" s="89">
        <v>45066.791666666664</v>
      </c>
      <c r="AB482">
        <v>24.83</v>
      </c>
    </row>
    <row r="483" spans="27:28" x14ac:dyDescent="0.25">
      <c r="AA483" s="89">
        <v>45066.833333333336</v>
      </c>
      <c r="AB483">
        <v>24.83</v>
      </c>
    </row>
    <row r="484" spans="27:28" x14ac:dyDescent="0.25">
      <c r="AA484" s="89">
        <v>45066.875</v>
      </c>
      <c r="AB484">
        <v>24.83</v>
      </c>
    </row>
    <row r="485" spans="27:28" x14ac:dyDescent="0.25">
      <c r="AA485" s="89">
        <v>45066.916666666664</v>
      </c>
      <c r="AB485">
        <v>24.83</v>
      </c>
    </row>
    <row r="486" spans="27:28" x14ac:dyDescent="0.25">
      <c r="AA486" s="89">
        <v>45066.958333333336</v>
      </c>
      <c r="AB486">
        <v>24.83</v>
      </c>
    </row>
    <row r="487" spans="27:28" x14ac:dyDescent="0.25">
      <c r="AA487" s="89">
        <v>45067</v>
      </c>
      <c r="AB487">
        <v>24.83</v>
      </c>
    </row>
    <row r="488" spans="27:28" x14ac:dyDescent="0.25">
      <c r="AA488" s="89">
        <v>45067.041666666664</v>
      </c>
      <c r="AB488">
        <v>24.83</v>
      </c>
    </row>
    <row r="489" spans="27:28" x14ac:dyDescent="0.25">
      <c r="AA489" s="89">
        <v>45067.083333333336</v>
      </c>
      <c r="AB489">
        <v>24.83</v>
      </c>
    </row>
    <row r="490" spans="27:28" x14ac:dyDescent="0.25">
      <c r="AA490" s="89">
        <v>45067.125</v>
      </c>
      <c r="AB490">
        <v>24.83</v>
      </c>
    </row>
    <row r="491" spans="27:28" x14ac:dyDescent="0.25">
      <c r="AA491" s="89">
        <v>45067.166666666664</v>
      </c>
      <c r="AB491">
        <v>24.83</v>
      </c>
    </row>
    <row r="492" spans="27:28" x14ac:dyDescent="0.25">
      <c r="AA492" s="89">
        <v>45067.208333333336</v>
      </c>
      <c r="AB492">
        <v>24.83</v>
      </c>
    </row>
    <row r="493" spans="27:28" x14ac:dyDescent="0.25">
      <c r="AA493" s="89">
        <v>45067.25</v>
      </c>
      <c r="AB493">
        <v>24.83</v>
      </c>
    </row>
    <row r="494" spans="27:28" x14ac:dyDescent="0.25">
      <c r="AA494" s="89">
        <v>45067.291666666664</v>
      </c>
      <c r="AB494">
        <v>24.83</v>
      </c>
    </row>
    <row r="495" spans="27:28" x14ac:dyDescent="0.25">
      <c r="AA495" s="89">
        <v>45067.333333333336</v>
      </c>
      <c r="AB495">
        <v>24.83</v>
      </c>
    </row>
    <row r="496" spans="27:28" x14ac:dyDescent="0.25">
      <c r="AA496" s="89">
        <v>45067.375</v>
      </c>
      <c r="AB496">
        <v>24.83</v>
      </c>
    </row>
    <row r="497" spans="27:28" x14ac:dyDescent="0.25">
      <c r="AA497" s="89">
        <v>45067.416666666664</v>
      </c>
      <c r="AB497">
        <v>24.83</v>
      </c>
    </row>
    <row r="498" spans="27:28" x14ac:dyDescent="0.25">
      <c r="AA498" s="89">
        <v>45067.458333333336</v>
      </c>
      <c r="AB498">
        <v>24.83</v>
      </c>
    </row>
    <row r="499" spans="27:28" x14ac:dyDescent="0.25">
      <c r="AA499" s="89">
        <v>45067.5</v>
      </c>
      <c r="AB499">
        <v>24.83</v>
      </c>
    </row>
    <row r="500" spans="27:28" x14ac:dyDescent="0.25">
      <c r="AA500" s="89">
        <v>45067.541666666664</v>
      </c>
      <c r="AB500">
        <v>24.83</v>
      </c>
    </row>
    <row r="501" spans="27:28" x14ac:dyDescent="0.25">
      <c r="AA501" s="89">
        <v>45067.583333333336</v>
      </c>
      <c r="AB501">
        <v>24.83</v>
      </c>
    </row>
    <row r="502" spans="27:28" x14ac:dyDescent="0.25">
      <c r="AA502" s="89">
        <v>45067.625</v>
      </c>
      <c r="AB502">
        <v>24.83</v>
      </c>
    </row>
    <row r="503" spans="27:28" x14ac:dyDescent="0.25">
      <c r="AA503" s="89">
        <v>45067.666666666664</v>
      </c>
      <c r="AB503">
        <v>24.83</v>
      </c>
    </row>
    <row r="504" spans="27:28" x14ac:dyDescent="0.25">
      <c r="AA504" s="89">
        <v>45067.708333333336</v>
      </c>
      <c r="AB504">
        <v>24.83</v>
      </c>
    </row>
    <row r="505" spans="27:28" x14ac:dyDescent="0.25">
      <c r="AA505" s="89">
        <v>45067.75</v>
      </c>
      <c r="AB505">
        <v>24.83</v>
      </c>
    </row>
    <row r="506" spans="27:28" x14ac:dyDescent="0.25">
      <c r="AA506" s="89">
        <v>45067.791666666664</v>
      </c>
      <c r="AB506">
        <v>24.83</v>
      </c>
    </row>
    <row r="507" spans="27:28" x14ac:dyDescent="0.25">
      <c r="AA507" s="89">
        <v>45067.833333333336</v>
      </c>
      <c r="AB507">
        <v>24.83</v>
      </c>
    </row>
    <row r="508" spans="27:28" x14ac:dyDescent="0.25">
      <c r="AA508" s="89">
        <v>45067.875</v>
      </c>
      <c r="AB508">
        <v>24.83</v>
      </c>
    </row>
    <row r="509" spans="27:28" x14ac:dyDescent="0.25">
      <c r="AA509" s="89">
        <v>45067.916666666664</v>
      </c>
      <c r="AB509">
        <v>24.83</v>
      </c>
    </row>
    <row r="510" spans="27:28" x14ac:dyDescent="0.25">
      <c r="AA510" s="89">
        <v>45067.958333333336</v>
      </c>
      <c r="AB510">
        <v>24.83</v>
      </c>
    </row>
    <row r="511" spans="27:28" x14ac:dyDescent="0.25">
      <c r="AA511" s="89">
        <v>45068</v>
      </c>
      <c r="AB511">
        <v>24.83</v>
      </c>
    </row>
    <row r="512" spans="27:28" x14ac:dyDescent="0.25">
      <c r="AA512" s="89">
        <v>45068.041666666664</v>
      </c>
      <c r="AB512">
        <v>24.83</v>
      </c>
    </row>
    <row r="513" spans="27:28" x14ac:dyDescent="0.25">
      <c r="AA513" s="89">
        <v>45068.083333333336</v>
      </c>
      <c r="AB513">
        <v>24.83</v>
      </c>
    </row>
    <row r="514" spans="27:28" x14ac:dyDescent="0.25">
      <c r="AA514" s="89">
        <v>45068.125</v>
      </c>
      <c r="AB514">
        <v>24.83</v>
      </c>
    </row>
    <row r="515" spans="27:28" x14ac:dyDescent="0.25">
      <c r="AA515" s="89">
        <v>45068.166666666664</v>
      </c>
      <c r="AB515">
        <v>24.83</v>
      </c>
    </row>
    <row r="516" spans="27:28" x14ac:dyDescent="0.25">
      <c r="AA516" s="89">
        <v>45068.208333333336</v>
      </c>
      <c r="AB516">
        <v>24.82</v>
      </c>
    </row>
    <row r="517" spans="27:28" x14ac:dyDescent="0.25">
      <c r="AA517" s="89">
        <v>45068.25</v>
      </c>
      <c r="AB517">
        <v>24.83</v>
      </c>
    </row>
    <row r="518" spans="27:28" x14ac:dyDescent="0.25">
      <c r="AA518" s="89">
        <v>45068.291666666664</v>
      </c>
      <c r="AB518">
        <v>24.83</v>
      </c>
    </row>
    <row r="519" spans="27:28" x14ac:dyDescent="0.25">
      <c r="AA519" s="89">
        <v>45068.333333333336</v>
      </c>
      <c r="AB519">
        <v>24.83</v>
      </c>
    </row>
    <row r="520" spans="27:28" x14ac:dyDescent="0.25">
      <c r="AA520" s="89">
        <v>45068.375</v>
      </c>
      <c r="AB520">
        <v>24.83</v>
      </c>
    </row>
    <row r="521" spans="27:28" x14ac:dyDescent="0.25">
      <c r="AA521" s="89">
        <v>45068.416666666664</v>
      </c>
      <c r="AB521">
        <v>24.83</v>
      </c>
    </row>
    <row r="522" spans="27:28" x14ac:dyDescent="0.25">
      <c r="AA522" s="89">
        <v>45068.458333333336</v>
      </c>
      <c r="AB522">
        <v>24.83</v>
      </c>
    </row>
    <row r="523" spans="27:28" x14ac:dyDescent="0.25">
      <c r="AA523" s="89">
        <v>45068.5</v>
      </c>
      <c r="AB523">
        <v>24.83</v>
      </c>
    </row>
    <row r="524" spans="27:28" x14ac:dyDescent="0.25">
      <c r="AA524" s="89">
        <v>45068.541666666664</v>
      </c>
      <c r="AB524">
        <v>24.83</v>
      </c>
    </row>
    <row r="525" spans="27:28" x14ac:dyDescent="0.25">
      <c r="AA525" s="89">
        <v>45068.583333333336</v>
      </c>
      <c r="AB525">
        <v>24.83</v>
      </c>
    </row>
    <row r="526" spans="27:28" x14ac:dyDescent="0.25">
      <c r="AA526" s="89">
        <v>45068.625</v>
      </c>
      <c r="AB526">
        <v>24.83</v>
      </c>
    </row>
    <row r="527" spans="27:28" x14ac:dyDescent="0.25">
      <c r="AA527" s="89">
        <v>45068.666666666664</v>
      </c>
      <c r="AB527">
        <v>24.83</v>
      </c>
    </row>
    <row r="528" spans="27:28" x14ac:dyDescent="0.25">
      <c r="AA528" s="89">
        <v>45068.708333333336</v>
      </c>
      <c r="AB528">
        <v>24.83</v>
      </c>
    </row>
    <row r="529" spans="27:28" x14ac:dyDescent="0.25">
      <c r="AA529" s="89">
        <v>45068.75</v>
      </c>
      <c r="AB529">
        <v>24.83</v>
      </c>
    </row>
    <row r="530" spans="27:28" x14ac:dyDescent="0.25">
      <c r="AA530" s="89">
        <v>45068.791666666664</v>
      </c>
      <c r="AB530">
        <v>24.83</v>
      </c>
    </row>
    <row r="531" spans="27:28" x14ac:dyDescent="0.25">
      <c r="AA531" s="89">
        <v>45068.833333333336</v>
      </c>
      <c r="AB531">
        <v>24.83</v>
      </c>
    </row>
    <row r="532" spans="27:28" x14ac:dyDescent="0.25">
      <c r="AA532" s="89">
        <v>45068.875</v>
      </c>
      <c r="AB532">
        <v>24.83</v>
      </c>
    </row>
    <row r="533" spans="27:28" x14ac:dyDescent="0.25">
      <c r="AA533" s="89">
        <v>45068.916666666664</v>
      </c>
      <c r="AB533">
        <v>24.83</v>
      </c>
    </row>
    <row r="534" spans="27:28" x14ac:dyDescent="0.25">
      <c r="AA534" s="89">
        <v>45068.958333333336</v>
      </c>
      <c r="AB534">
        <v>24.83</v>
      </c>
    </row>
    <row r="535" spans="27:28" x14ac:dyDescent="0.25">
      <c r="AA535" s="89">
        <v>45069</v>
      </c>
      <c r="AB535">
        <v>24.83</v>
      </c>
    </row>
    <row r="536" spans="27:28" x14ac:dyDescent="0.25">
      <c r="AA536" s="89">
        <v>45069.041666666664</v>
      </c>
      <c r="AB536">
        <v>24.83</v>
      </c>
    </row>
    <row r="537" spans="27:28" x14ac:dyDescent="0.25">
      <c r="AA537" s="89">
        <v>45069.083333333336</v>
      </c>
      <c r="AB537">
        <v>24.83</v>
      </c>
    </row>
    <row r="538" spans="27:28" x14ac:dyDescent="0.25">
      <c r="AA538" s="89">
        <v>45069.125</v>
      </c>
      <c r="AB538">
        <v>24.83</v>
      </c>
    </row>
    <row r="539" spans="27:28" x14ac:dyDescent="0.25">
      <c r="AA539" s="89">
        <v>45069.166666666664</v>
      </c>
      <c r="AB539">
        <v>24.83</v>
      </c>
    </row>
    <row r="540" spans="27:28" x14ac:dyDescent="0.25">
      <c r="AA540" s="89">
        <v>45069.208333333336</v>
      </c>
      <c r="AB540">
        <v>24.83</v>
      </c>
    </row>
    <row r="541" spans="27:28" x14ac:dyDescent="0.25">
      <c r="AA541" s="89">
        <v>45069.25</v>
      </c>
      <c r="AB541">
        <v>24.83</v>
      </c>
    </row>
    <row r="542" spans="27:28" x14ac:dyDescent="0.25">
      <c r="AA542" s="89">
        <v>45069.291666666664</v>
      </c>
      <c r="AB542">
        <v>24.83</v>
      </c>
    </row>
    <row r="543" spans="27:28" x14ac:dyDescent="0.25">
      <c r="AA543" s="89">
        <v>45069.333333333336</v>
      </c>
      <c r="AB543">
        <v>24.83</v>
      </c>
    </row>
    <row r="544" spans="27:28" x14ac:dyDescent="0.25">
      <c r="AA544" s="89">
        <v>45069.375</v>
      </c>
      <c r="AB544">
        <v>24.83</v>
      </c>
    </row>
    <row r="545" spans="27:28" x14ac:dyDescent="0.25">
      <c r="AA545" s="89">
        <v>45069.416666666664</v>
      </c>
      <c r="AB545">
        <v>24.83</v>
      </c>
    </row>
    <row r="546" spans="27:28" x14ac:dyDescent="0.25">
      <c r="AA546" s="89">
        <v>45069.458333333336</v>
      </c>
      <c r="AB546">
        <v>24.83</v>
      </c>
    </row>
    <row r="547" spans="27:28" x14ac:dyDescent="0.25">
      <c r="AA547" s="89">
        <v>45069.5</v>
      </c>
      <c r="AB547">
        <v>24.83</v>
      </c>
    </row>
    <row r="548" spans="27:28" x14ac:dyDescent="0.25">
      <c r="AA548" s="89">
        <v>45069.541666666664</v>
      </c>
      <c r="AB548">
        <v>24.83</v>
      </c>
    </row>
    <row r="549" spans="27:28" x14ac:dyDescent="0.25">
      <c r="AA549" s="89">
        <v>45069.583333333336</v>
      </c>
      <c r="AB549">
        <v>24.83</v>
      </c>
    </row>
    <row r="550" spans="27:28" x14ac:dyDescent="0.25">
      <c r="AA550" s="89">
        <v>45069.625</v>
      </c>
      <c r="AB550">
        <v>24.83</v>
      </c>
    </row>
    <row r="551" spans="27:28" x14ac:dyDescent="0.25">
      <c r="AA551" s="89">
        <v>45069.666666666664</v>
      </c>
      <c r="AB551">
        <v>24.83</v>
      </c>
    </row>
    <row r="552" spans="27:28" x14ac:dyDescent="0.25">
      <c r="AA552" s="89">
        <v>45069.708333333336</v>
      </c>
      <c r="AB552">
        <v>24.83</v>
      </c>
    </row>
    <row r="553" spans="27:28" x14ac:dyDescent="0.25">
      <c r="AA553" s="89">
        <v>45069.75</v>
      </c>
      <c r="AB553">
        <v>24.83</v>
      </c>
    </row>
    <row r="554" spans="27:28" x14ac:dyDescent="0.25">
      <c r="AA554" s="89">
        <v>45069.791666666664</v>
      </c>
      <c r="AB554">
        <v>24.83</v>
      </c>
    </row>
    <row r="555" spans="27:28" x14ac:dyDescent="0.25">
      <c r="AA555" s="89">
        <v>45069.833333333336</v>
      </c>
      <c r="AB555">
        <v>24.84</v>
      </c>
    </row>
    <row r="556" spans="27:28" x14ac:dyDescent="0.25">
      <c r="AA556" s="89">
        <v>45069.875</v>
      </c>
      <c r="AB556">
        <v>24.83</v>
      </c>
    </row>
    <row r="557" spans="27:28" x14ac:dyDescent="0.25">
      <c r="AA557" s="89">
        <v>45069.916666666664</v>
      </c>
      <c r="AB557">
        <v>24.83</v>
      </c>
    </row>
    <row r="558" spans="27:28" x14ac:dyDescent="0.25">
      <c r="AA558" s="89">
        <v>45069.958333333336</v>
      </c>
      <c r="AB558">
        <v>24.83</v>
      </c>
    </row>
    <row r="559" spans="27:28" x14ac:dyDescent="0.25">
      <c r="AA559" s="89">
        <v>45070</v>
      </c>
      <c r="AB559">
        <v>24.83</v>
      </c>
    </row>
    <row r="560" spans="27:28" x14ac:dyDescent="0.25">
      <c r="AA560" s="89">
        <v>45070.041666666664</v>
      </c>
      <c r="AB560">
        <v>24.83</v>
      </c>
    </row>
    <row r="561" spans="27:28" x14ac:dyDescent="0.25">
      <c r="AA561" s="89">
        <v>45070.083333333336</v>
      </c>
      <c r="AB561">
        <v>24.84</v>
      </c>
    </row>
    <row r="562" spans="27:28" x14ac:dyDescent="0.25">
      <c r="AA562" s="89">
        <v>45070.125</v>
      </c>
      <c r="AB562">
        <v>24.83</v>
      </c>
    </row>
    <row r="563" spans="27:28" x14ac:dyDescent="0.25">
      <c r="AA563" s="89">
        <v>45070.166666666664</v>
      </c>
      <c r="AB563">
        <v>24.83</v>
      </c>
    </row>
    <row r="564" spans="27:28" x14ac:dyDescent="0.25">
      <c r="AA564" s="89">
        <v>45070.208333333336</v>
      </c>
      <c r="AB564">
        <v>24.83</v>
      </c>
    </row>
    <row r="565" spans="27:28" x14ac:dyDescent="0.25">
      <c r="AA565" s="89">
        <v>45070.25</v>
      </c>
      <c r="AB565">
        <v>24.84</v>
      </c>
    </row>
    <row r="566" spans="27:28" x14ac:dyDescent="0.25">
      <c r="AA566" s="89">
        <v>45070.291666666664</v>
      </c>
      <c r="AB566">
        <v>24.83</v>
      </c>
    </row>
    <row r="567" spans="27:28" x14ac:dyDescent="0.25">
      <c r="AA567" s="89">
        <v>45070.333333333336</v>
      </c>
      <c r="AB567">
        <v>24.83</v>
      </c>
    </row>
    <row r="568" spans="27:28" x14ac:dyDescent="0.25">
      <c r="AA568" s="89">
        <v>45070.375</v>
      </c>
      <c r="AB568">
        <v>24.83</v>
      </c>
    </row>
    <row r="569" spans="27:28" x14ac:dyDescent="0.25">
      <c r="AA569" s="89">
        <v>45070.416666666664</v>
      </c>
      <c r="AB569">
        <v>24.83</v>
      </c>
    </row>
    <row r="570" spans="27:28" x14ac:dyDescent="0.25">
      <c r="AA570" s="89">
        <v>45070.458333333336</v>
      </c>
      <c r="AB570">
        <v>24.83</v>
      </c>
    </row>
    <row r="571" spans="27:28" x14ac:dyDescent="0.25">
      <c r="AA571" s="89">
        <v>45070.5</v>
      </c>
      <c r="AB571">
        <v>24.83</v>
      </c>
    </row>
    <row r="572" spans="27:28" x14ac:dyDescent="0.25">
      <c r="AA572" s="89">
        <v>45070.541666666664</v>
      </c>
      <c r="AB572">
        <v>24.83</v>
      </c>
    </row>
    <row r="573" spans="27:28" x14ac:dyDescent="0.25">
      <c r="AA573" s="89">
        <v>45070.583333333336</v>
      </c>
      <c r="AB573">
        <v>24.83</v>
      </c>
    </row>
    <row r="574" spans="27:28" x14ac:dyDescent="0.25">
      <c r="AA574" s="89">
        <v>45070.625</v>
      </c>
      <c r="AB574">
        <v>24.83</v>
      </c>
    </row>
    <row r="575" spans="27:28" x14ac:dyDescent="0.25">
      <c r="AA575" s="89">
        <v>45070.666666666664</v>
      </c>
      <c r="AB575">
        <v>24.83</v>
      </c>
    </row>
    <row r="576" spans="27:28" x14ac:dyDescent="0.25">
      <c r="AA576" s="89">
        <v>45070.708333333336</v>
      </c>
      <c r="AB576">
        <v>24.83</v>
      </c>
    </row>
    <row r="577" spans="27:28" x14ac:dyDescent="0.25">
      <c r="AA577" s="89">
        <v>45070.75</v>
      </c>
      <c r="AB577">
        <v>24.83</v>
      </c>
    </row>
    <row r="578" spans="27:28" x14ac:dyDescent="0.25">
      <c r="AA578" s="89">
        <v>45070.791666666664</v>
      </c>
      <c r="AB578">
        <v>24.83</v>
      </c>
    </row>
    <row r="579" spans="27:28" x14ac:dyDescent="0.25">
      <c r="AA579" s="89">
        <v>45070.833333333336</v>
      </c>
      <c r="AB579">
        <v>24.83</v>
      </c>
    </row>
    <row r="580" spans="27:28" x14ac:dyDescent="0.25">
      <c r="AA580" s="89">
        <v>45070.875</v>
      </c>
      <c r="AB580">
        <v>24.83</v>
      </c>
    </row>
    <row r="581" spans="27:28" x14ac:dyDescent="0.25">
      <c r="AA581" s="89">
        <v>45070.916666666664</v>
      </c>
      <c r="AB581">
        <v>24.83</v>
      </c>
    </row>
    <row r="582" spans="27:28" x14ac:dyDescent="0.25">
      <c r="AA582" s="89">
        <v>45070.958333333336</v>
      </c>
      <c r="AB582">
        <v>24.83</v>
      </c>
    </row>
    <row r="583" spans="27:28" x14ac:dyDescent="0.25">
      <c r="AA583" s="89">
        <v>45071</v>
      </c>
      <c r="AB583">
        <v>24.83</v>
      </c>
    </row>
    <row r="584" spans="27:28" x14ac:dyDescent="0.25">
      <c r="AA584" s="89">
        <v>45071.041666666664</v>
      </c>
      <c r="AB584">
        <v>24.83</v>
      </c>
    </row>
    <row r="585" spans="27:28" x14ac:dyDescent="0.25">
      <c r="AA585" s="89">
        <v>45071.083333333336</v>
      </c>
      <c r="AB585">
        <v>24.83</v>
      </c>
    </row>
    <row r="586" spans="27:28" x14ac:dyDescent="0.25">
      <c r="AA586" s="89">
        <v>45071.125</v>
      </c>
      <c r="AB586">
        <v>24.83</v>
      </c>
    </row>
    <row r="587" spans="27:28" x14ac:dyDescent="0.25">
      <c r="AA587" s="89">
        <v>45071.166666666664</v>
      </c>
      <c r="AB587">
        <v>24.84</v>
      </c>
    </row>
    <row r="588" spans="27:28" x14ac:dyDescent="0.25">
      <c r="AA588" s="89">
        <v>45071.208333333336</v>
      </c>
      <c r="AB588">
        <v>24.83</v>
      </c>
    </row>
    <row r="589" spans="27:28" x14ac:dyDescent="0.25">
      <c r="AA589" s="89">
        <v>45071.25</v>
      </c>
      <c r="AB589">
        <v>24.84</v>
      </c>
    </row>
    <row r="590" spans="27:28" x14ac:dyDescent="0.25">
      <c r="AA590" s="89">
        <v>45071.291666666664</v>
      </c>
      <c r="AB590">
        <v>24.83</v>
      </c>
    </row>
    <row r="591" spans="27:28" x14ac:dyDescent="0.25">
      <c r="AA591" s="89">
        <v>45071.333333333336</v>
      </c>
      <c r="AB591">
        <v>24.83</v>
      </c>
    </row>
    <row r="592" spans="27:28" x14ac:dyDescent="0.25">
      <c r="AA592" s="89">
        <v>45071.375</v>
      </c>
      <c r="AB592">
        <v>24.83</v>
      </c>
    </row>
    <row r="593" spans="27:28" x14ac:dyDescent="0.25">
      <c r="AA593" s="89">
        <v>45071.416666666664</v>
      </c>
      <c r="AB593">
        <v>24.84</v>
      </c>
    </row>
    <row r="594" spans="27:28" x14ac:dyDescent="0.25">
      <c r="AA594" s="89">
        <v>45071.458333333336</v>
      </c>
      <c r="AB594">
        <v>24.84</v>
      </c>
    </row>
    <row r="595" spans="27:28" x14ac:dyDescent="0.25">
      <c r="AA595" s="89">
        <v>45071.5</v>
      </c>
      <c r="AB595">
        <v>24.83</v>
      </c>
    </row>
    <row r="596" spans="27:28" x14ac:dyDescent="0.25">
      <c r="AA596" s="89">
        <v>45071.541666666664</v>
      </c>
      <c r="AB596">
        <v>24.83</v>
      </c>
    </row>
    <row r="597" spans="27:28" x14ac:dyDescent="0.25">
      <c r="AA597" s="89">
        <v>45071.583333333336</v>
      </c>
      <c r="AB597">
        <v>24.83</v>
      </c>
    </row>
    <row r="598" spans="27:28" x14ac:dyDescent="0.25">
      <c r="AA598" s="89">
        <v>45071.625</v>
      </c>
      <c r="AB598">
        <v>24.83</v>
      </c>
    </row>
    <row r="599" spans="27:28" x14ac:dyDescent="0.25">
      <c r="AA599" s="89">
        <v>45071.666666666664</v>
      </c>
      <c r="AB599">
        <v>24.84</v>
      </c>
    </row>
    <row r="600" spans="27:28" x14ac:dyDescent="0.25">
      <c r="AA600" s="89">
        <v>45071.708333333336</v>
      </c>
      <c r="AB600">
        <v>24.84</v>
      </c>
    </row>
    <row r="601" spans="27:28" x14ac:dyDescent="0.25">
      <c r="AA601" s="89">
        <v>45071.75</v>
      </c>
      <c r="AB601">
        <v>24.84</v>
      </c>
    </row>
    <row r="602" spans="27:28" x14ac:dyDescent="0.25">
      <c r="AA602" s="89">
        <v>45071.791666666664</v>
      </c>
      <c r="AB602">
        <v>24.83</v>
      </c>
    </row>
    <row r="603" spans="27:28" x14ac:dyDescent="0.25">
      <c r="AA603" s="89">
        <v>45071.833333333336</v>
      </c>
      <c r="AB603">
        <v>24.84</v>
      </c>
    </row>
    <row r="604" spans="27:28" x14ac:dyDescent="0.25">
      <c r="AA604" s="89">
        <v>45071.875</v>
      </c>
      <c r="AB604">
        <v>24.83</v>
      </c>
    </row>
    <row r="605" spans="27:28" x14ac:dyDescent="0.25">
      <c r="AA605" s="89">
        <v>45071.916666666664</v>
      </c>
      <c r="AB605">
        <v>24.84</v>
      </c>
    </row>
    <row r="606" spans="27:28" x14ac:dyDescent="0.25">
      <c r="AA606" s="89">
        <v>45071.958333333336</v>
      </c>
      <c r="AB606">
        <v>24.84</v>
      </c>
    </row>
    <row r="607" spans="27:28" x14ac:dyDescent="0.25">
      <c r="AA607" s="89">
        <v>45072</v>
      </c>
      <c r="AB607">
        <v>24.84</v>
      </c>
    </row>
    <row r="608" spans="27:28" x14ac:dyDescent="0.25">
      <c r="AA608" s="89">
        <v>45072.041666666664</v>
      </c>
      <c r="AB608">
        <v>24.84</v>
      </c>
    </row>
    <row r="609" spans="27:28" x14ac:dyDescent="0.25">
      <c r="AA609" s="89">
        <v>45072.083333333336</v>
      </c>
      <c r="AB609">
        <v>24.84</v>
      </c>
    </row>
    <row r="610" spans="27:28" x14ac:dyDescent="0.25">
      <c r="AA610" s="89">
        <v>45072.125</v>
      </c>
      <c r="AB610">
        <v>24.84</v>
      </c>
    </row>
    <row r="611" spans="27:28" x14ac:dyDescent="0.25">
      <c r="AA611" s="89">
        <v>45072.166666666664</v>
      </c>
      <c r="AB611">
        <v>24.83</v>
      </c>
    </row>
    <row r="612" spans="27:28" x14ac:dyDescent="0.25">
      <c r="AA612" s="89">
        <v>45072.208333333336</v>
      </c>
      <c r="AB612">
        <v>24.84</v>
      </c>
    </row>
    <row r="613" spans="27:28" x14ac:dyDescent="0.25">
      <c r="AA613" s="89">
        <v>45072.25</v>
      </c>
      <c r="AB613">
        <v>24.83</v>
      </c>
    </row>
    <row r="614" spans="27:28" x14ac:dyDescent="0.25">
      <c r="AA614" s="89">
        <v>45072.291666666664</v>
      </c>
      <c r="AB614">
        <v>24.84</v>
      </c>
    </row>
    <row r="615" spans="27:28" x14ac:dyDescent="0.25">
      <c r="AA615" s="89">
        <v>45072.333333333336</v>
      </c>
      <c r="AB615">
        <v>24.84</v>
      </c>
    </row>
    <row r="616" spans="27:28" x14ac:dyDescent="0.25">
      <c r="AA616" s="89">
        <v>45072.375</v>
      </c>
      <c r="AB616">
        <v>24.84</v>
      </c>
    </row>
    <row r="617" spans="27:28" x14ac:dyDescent="0.25">
      <c r="AA617" s="89">
        <v>45072.416666666664</v>
      </c>
      <c r="AB617">
        <v>24.84</v>
      </c>
    </row>
    <row r="618" spans="27:28" x14ac:dyDescent="0.25">
      <c r="AA618" s="89">
        <v>45072.458333333336</v>
      </c>
      <c r="AB618">
        <v>24.83</v>
      </c>
    </row>
    <row r="619" spans="27:28" x14ac:dyDescent="0.25">
      <c r="AA619" s="89">
        <v>45072.5</v>
      </c>
      <c r="AB619">
        <v>24.84</v>
      </c>
    </row>
    <row r="620" spans="27:28" x14ac:dyDescent="0.25">
      <c r="AA620" s="89">
        <v>45072.541666666664</v>
      </c>
      <c r="AB620">
        <v>24.84</v>
      </c>
    </row>
    <row r="621" spans="27:28" x14ac:dyDescent="0.25">
      <c r="AA621" s="89">
        <v>45072.583333333336</v>
      </c>
      <c r="AB621">
        <v>24.84</v>
      </c>
    </row>
    <row r="622" spans="27:28" x14ac:dyDescent="0.25">
      <c r="AA622" s="89">
        <v>45072.625</v>
      </c>
      <c r="AB622">
        <v>24.84</v>
      </c>
    </row>
    <row r="623" spans="27:28" x14ac:dyDescent="0.25">
      <c r="AA623" s="89">
        <v>45072.666666666664</v>
      </c>
      <c r="AB623">
        <v>24.84</v>
      </c>
    </row>
    <row r="624" spans="27:28" x14ac:dyDescent="0.25">
      <c r="AA624" s="89">
        <v>45072.708333333336</v>
      </c>
      <c r="AB624">
        <v>24.84</v>
      </c>
    </row>
    <row r="625" spans="27:28" x14ac:dyDescent="0.25">
      <c r="AA625" s="89">
        <v>45072.75</v>
      </c>
      <c r="AB625">
        <v>24.84</v>
      </c>
    </row>
    <row r="626" spans="27:28" x14ac:dyDescent="0.25">
      <c r="AA626" s="89">
        <v>45072.791666666664</v>
      </c>
      <c r="AB626">
        <v>24.84</v>
      </c>
    </row>
    <row r="627" spans="27:28" x14ac:dyDescent="0.25">
      <c r="AA627" s="89">
        <v>45072.833333333336</v>
      </c>
      <c r="AB627">
        <v>24.84</v>
      </c>
    </row>
    <row r="628" spans="27:28" x14ac:dyDescent="0.25">
      <c r="AA628" s="89">
        <v>45072.875</v>
      </c>
      <c r="AB628">
        <v>24.84</v>
      </c>
    </row>
    <row r="629" spans="27:28" x14ac:dyDescent="0.25">
      <c r="AA629" s="89">
        <v>45072.916666666664</v>
      </c>
      <c r="AB629">
        <v>24.84</v>
      </c>
    </row>
    <row r="630" spans="27:28" x14ac:dyDescent="0.25">
      <c r="AA630" s="89">
        <v>45072.958333333336</v>
      </c>
      <c r="AB630">
        <v>24.84</v>
      </c>
    </row>
    <row r="631" spans="27:28" x14ac:dyDescent="0.25">
      <c r="AA631" s="89">
        <v>45073</v>
      </c>
      <c r="AB631">
        <v>24.84</v>
      </c>
    </row>
    <row r="632" spans="27:28" x14ac:dyDescent="0.25">
      <c r="AA632" s="89">
        <v>45073.041666666664</v>
      </c>
      <c r="AB632">
        <v>24.84</v>
      </c>
    </row>
    <row r="633" spans="27:28" x14ac:dyDescent="0.25">
      <c r="AA633" s="89">
        <v>45073.083333333336</v>
      </c>
      <c r="AB633">
        <v>24.84</v>
      </c>
    </row>
    <row r="634" spans="27:28" x14ac:dyDescent="0.25">
      <c r="AA634" s="89">
        <v>45073.125</v>
      </c>
      <c r="AB634">
        <v>24.84</v>
      </c>
    </row>
    <row r="635" spans="27:28" x14ac:dyDescent="0.25">
      <c r="AA635" s="89">
        <v>45073.166666666664</v>
      </c>
      <c r="AB635">
        <v>24.84</v>
      </c>
    </row>
    <row r="636" spans="27:28" x14ac:dyDescent="0.25">
      <c r="AA636" s="89">
        <v>45073.208333333336</v>
      </c>
      <c r="AB636">
        <v>24.84</v>
      </c>
    </row>
    <row r="637" spans="27:28" x14ac:dyDescent="0.25">
      <c r="AA637" s="89">
        <v>45073.25</v>
      </c>
      <c r="AB637">
        <v>24.84</v>
      </c>
    </row>
    <row r="638" spans="27:28" x14ac:dyDescent="0.25">
      <c r="AA638" s="89">
        <v>45073.291666666664</v>
      </c>
      <c r="AB638">
        <v>24.84</v>
      </c>
    </row>
    <row r="639" spans="27:28" x14ac:dyDescent="0.25">
      <c r="AA639" s="89">
        <v>45073.333333333336</v>
      </c>
      <c r="AB639">
        <v>24.84</v>
      </c>
    </row>
    <row r="640" spans="27:28" x14ac:dyDescent="0.25">
      <c r="AA640" s="89">
        <v>45073.375</v>
      </c>
      <c r="AB640">
        <v>24.84</v>
      </c>
    </row>
    <row r="641" spans="27:28" x14ac:dyDescent="0.25">
      <c r="AA641" s="89">
        <v>45073.416666666664</v>
      </c>
      <c r="AB641">
        <v>24.84</v>
      </c>
    </row>
    <row r="642" spans="27:28" x14ac:dyDescent="0.25">
      <c r="AA642" s="89">
        <v>45073.458333333336</v>
      </c>
      <c r="AB642">
        <v>24.84</v>
      </c>
    </row>
    <row r="643" spans="27:28" x14ac:dyDescent="0.25">
      <c r="AA643" s="89">
        <v>45073.5</v>
      </c>
      <c r="AB643">
        <v>24.84</v>
      </c>
    </row>
    <row r="644" spans="27:28" x14ac:dyDescent="0.25">
      <c r="AA644" s="89">
        <v>45073.541666666664</v>
      </c>
      <c r="AB644">
        <v>24.84</v>
      </c>
    </row>
    <row r="645" spans="27:28" x14ac:dyDescent="0.25">
      <c r="AA645" s="89">
        <v>45073.583333333336</v>
      </c>
      <c r="AB645">
        <v>24.84</v>
      </c>
    </row>
    <row r="646" spans="27:28" x14ac:dyDescent="0.25">
      <c r="AA646" s="89">
        <v>45073.625</v>
      </c>
      <c r="AB646">
        <v>24.84</v>
      </c>
    </row>
    <row r="647" spans="27:28" x14ac:dyDescent="0.25">
      <c r="AA647" s="89">
        <v>45073.666666666664</v>
      </c>
      <c r="AB647">
        <v>24.84</v>
      </c>
    </row>
    <row r="648" spans="27:28" x14ac:dyDescent="0.25">
      <c r="AA648" s="89">
        <v>45073.708333333336</v>
      </c>
      <c r="AB648">
        <v>24.84</v>
      </c>
    </row>
    <row r="649" spans="27:28" x14ac:dyDescent="0.25">
      <c r="AA649" s="89">
        <v>45073.75</v>
      </c>
      <c r="AB649">
        <v>24.84</v>
      </c>
    </row>
    <row r="650" spans="27:28" x14ac:dyDescent="0.25">
      <c r="AA650" s="89">
        <v>45073.791666666664</v>
      </c>
      <c r="AB650">
        <v>24.84</v>
      </c>
    </row>
    <row r="651" spans="27:28" x14ac:dyDescent="0.25">
      <c r="AA651" s="89">
        <v>45073.833333333336</v>
      </c>
      <c r="AB651">
        <v>24.84</v>
      </c>
    </row>
    <row r="652" spans="27:28" x14ac:dyDescent="0.25">
      <c r="AA652" s="89">
        <v>45073.875</v>
      </c>
      <c r="AB652">
        <v>24.84</v>
      </c>
    </row>
    <row r="653" spans="27:28" x14ac:dyDescent="0.25">
      <c r="AA653" s="89">
        <v>45073.916666666664</v>
      </c>
      <c r="AB653">
        <v>24.84</v>
      </c>
    </row>
    <row r="654" spans="27:28" x14ac:dyDescent="0.25">
      <c r="AA654" s="89">
        <v>45073.958333333336</v>
      </c>
      <c r="AB654">
        <v>24.84</v>
      </c>
    </row>
    <row r="655" spans="27:28" x14ac:dyDescent="0.25">
      <c r="AA655" s="89">
        <v>45074</v>
      </c>
      <c r="AB655">
        <v>24.84</v>
      </c>
    </row>
    <row r="656" spans="27:28" x14ac:dyDescent="0.25">
      <c r="AA656" s="89">
        <v>45074.041666666664</v>
      </c>
      <c r="AB656">
        <v>24.85</v>
      </c>
    </row>
    <row r="657" spans="27:28" x14ac:dyDescent="0.25">
      <c r="AA657" s="89">
        <v>45074.083333333336</v>
      </c>
      <c r="AB657">
        <v>24.84</v>
      </c>
    </row>
    <row r="658" spans="27:28" x14ac:dyDescent="0.25">
      <c r="AA658" s="89">
        <v>45074.125</v>
      </c>
      <c r="AB658">
        <v>24.84</v>
      </c>
    </row>
    <row r="659" spans="27:28" x14ac:dyDescent="0.25">
      <c r="AA659" s="89">
        <v>45074.166666666664</v>
      </c>
      <c r="AB659">
        <v>24.84</v>
      </c>
    </row>
    <row r="660" spans="27:28" x14ac:dyDescent="0.25">
      <c r="AA660" s="89">
        <v>45074.208333333336</v>
      </c>
      <c r="AB660">
        <v>24.84</v>
      </c>
    </row>
    <row r="661" spans="27:28" x14ac:dyDescent="0.25">
      <c r="AA661" s="89">
        <v>45074.25</v>
      </c>
      <c r="AB661">
        <v>24.85</v>
      </c>
    </row>
    <row r="662" spans="27:28" x14ac:dyDescent="0.25">
      <c r="AA662" s="89">
        <v>45074.291666666664</v>
      </c>
      <c r="AB662">
        <v>24.84</v>
      </c>
    </row>
    <row r="663" spans="27:28" x14ac:dyDescent="0.25">
      <c r="AA663" s="89">
        <v>45074.333333333336</v>
      </c>
      <c r="AB663">
        <v>24.85</v>
      </c>
    </row>
    <row r="664" spans="27:28" x14ac:dyDescent="0.25">
      <c r="AA664" s="89">
        <v>45074.375</v>
      </c>
      <c r="AB664">
        <v>24.84</v>
      </c>
    </row>
    <row r="665" spans="27:28" x14ac:dyDescent="0.25">
      <c r="AA665" s="89">
        <v>45074.416666666664</v>
      </c>
      <c r="AB665">
        <v>24.85</v>
      </c>
    </row>
    <row r="666" spans="27:28" x14ac:dyDescent="0.25">
      <c r="AA666" s="89">
        <v>45074.458333333336</v>
      </c>
      <c r="AB666">
        <v>24.85</v>
      </c>
    </row>
    <row r="667" spans="27:28" x14ac:dyDescent="0.25">
      <c r="AA667" s="89">
        <v>45074.5</v>
      </c>
      <c r="AB667">
        <v>24.85</v>
      </c>
    </row>
    <row r="668" spans="27:28" x14ac:dyDescent="0.25">
      <c r="AA668" s="89">
        <v>45074.541666666664</v>
      </c>
      <c r="AB668">
        <v>24.84</v>
      </c>
    </row>
    <row r="669" spans="27:28" x14ac:dyDescent="0.25">
      <c r="AA669" s="89">
        <v>45074.583333333336</v>
      </c>
      <c r="AB669">
        <v>24.84</v>
      </c>
    </row>
    <row r="670" spans="27:28" x14ac:dyDescent="0.25">
      <c r="AA670" s="89">
        <v>45074.625</v>
      </c>
      <c r="AB670">
        <v>24.85</v>
      </c>
    </row>
    <row r="671" spans="27:28" x14ac:dyDescent="0.25">
      <c r="AA671" s="89">
        <v>45074.666666666664</v>
      </c>
      <c r="AB671">
        <v>24.85</v>
      </c>
    </row>
    <row r="672" spans="27:28" x14ac:dyDescent="0.25">
      <c r="AA672" s="89">
        <v>45074.708333333336</v>
      </c>
      <c r="AB672">
        <v>24.85</v>
      </c>
    </row>
    <row r="673" spans="27:28" x14ac:dyDescent="0.25">
      <c r="AA673" s="89">
        <v>45074.75</v>
      </c>
      <c r="AB673">
        <v>24.85</v>
      </c>
    </row>
    <row r="674" spans="27:28" x14ac:dyDescent="0.25">
      <c r="AA674" s="89">
        <v>45074.791666666664</v>
      </c>
      <c r="AB674">
        <v>24.85</v>
      </c>
    </row>
    <row r="675" spans="27:28" x14ac:dyDescent="0.25">
      <c r="AA675" s="89">
        <v>45074.833333333336</v>
      </c>
      <c r="AB675">
        <v>24.84</v>
      </c>
    </row>
    <row r="676" spans="27:28" x14ac:dyDescent="0.25">
      <c r="AA676" s="89">
        <v>45074.875</v>
      </c>
      <c r="AB676">
        <v>24.85</v>
      </c>
    </row>
    <row r="677" spans="27:28" x14ac:dyDescent="0.25">
      <c r="AA677" s="89">
        <v>45074.916666666664</v>
      </c>
      <c r="AB677">
        <v>24.85</v>
      </c>
    </row>
    <row r="678" spans="27:28" x14ac:dyDescent="0.25">
      <c r="AA678" s="89">
        <v>45074.958333333336</v>
      </c>
      <c r="AB678">
        <v>24.85</v>
      </c>
    </row>
    <row r="679" spans="27:28" x14ac:dyDescent="0.25">
      <c r="AA679" s="89">
        <v>45075</v>
      </c>
      <c r="AB679">
        <v>24.85</v>
      </c>
    </row>
    <row r="680" spans="27:28" x14ac:dyDescent="0.25">
      <c r="AA680" s="89">
        <v>45075.041666666664</v>
      </c>
      <c r="AB680">
        <v>24.84</v>
      </c>
    </row>
    <row r="681" spans="27:28" x14ac:dyDescent="0.25">
      <c r="AA681" s="89">
        <v>45075.083333333336</v>
      </c>
      <c r="AB681">
        <v>24.85</v>
      </c>
    </row>
    <row r="682" spans="27:28" x14ac:dyDescent="0.25">
      <c r="AA682" s="89">
        <v>45075.125</v>
      </c>
      <c r="AB682">
        <v>24.85</v>
      </c>
    </row>
    <row r="683" spans="27:28" x14ac:dyDescent="0.25">
      <c r="AA683" s="89">
        <v>45075.166666666664</v>
      </c>
      <c r="AB683">
        <v>24.85</v>
      </c>
    </row>
    <row r="684" spans="27:28" x14ac:dyDescent="0.25">
      <c r="AA684" s="89">
        <v>45075.208333333336</v>
      </c>
      <c r="AB684">
        <v>24.84</v>
      </c>
    </row>
    <row r="685" spans="27:28" x14ac:dyDescent="0.25">
      <c r="AA685" s="89">
        <v>45075.25</v>
      </c>
      <c r="AB685">
        <v>24.85</v>
      </c>
    </row>
    <row r="686" spans="27:28" x14ac:dyDescent="0.25">
      <c r="AA686" s="89">
        <v>45075.291666666664</v>
      </c>
      <c r="AB686">
        <v>24.85</v>
      </c>
    </row>
    <row r="687" spans="27:28" x14ac:dyDescent="0.25">
      <c r="AA687" s="89">
        <v>45075.333333333336</v>
      </c>
      <c r="AB687">
        <v>24.85</v>
      </c>
    </row>
    <row r="688" spans="27:28" x14ac:dyDescent="0.25">
      <c r="AA688" s="89">
        <v>45075.375</v>
      </c>
      <c r="AB688">
        <v>24.85</v>
      </c>
    </row>
    <row r="689" spans="27:28" x14ac:dyDescent="0.25">
      <c r="AA689" s="89">
        <v>45075.416666666664</v>
      </c>
      <c r="AB689">
        <v>24.85</v>
      </c>
    </row>
    <row r="690" spans="27:28" x14ac:dyDescent="0.25">
      <c r="AA690" s="89">
        <v>45075.458333333336</v>
      </c>
      <c r="AB690">
        <v>24.85</v>
      </c>
    </row>
    <row r="691" spans="27:28" x14ac:dyDescent="0.25">
      <c r="AA691" s="89">
        <v>45075.5</v>
      </c>
      <c r="AB691">
        <v>24.85</v>
      </c>
    </row>
    <row r="692" spans="27:28" x14ac:dyDescent="0.25">
      <c r="AA692" s="89">
        <v>45075.541666666664</v>
      </c>
      <c r="AB692">
        <v>24.85</v>
      </c>
    </row>
    <row r="693" spans="27:28" x14ac:dyDescent="0.25">
      <c r="AA693" s="89">
        <v>45075.583333333336</v>
      </c>
      <c r="AB693">
        <v>24.85</v>
      </c>
    </row>
    <row r="694" spans="27:28" x14ac:dyDescent="0.25">
      <c r="AA694" s="89">
        <v>45075.625</v>
      </c>
      <c r="AB694">
        <v>24.85</v>
      </c>
    </row>
    <row r="695" spans="27:28" x14ac:dyDescent="0.25">
      <c r="AA695" s="89">
        <v>45075.666666666664</v>
      </c>
      <c r="AB695">
        <v>24.85</v>
      </c>
    </row>
    <row r="696" spans="27:28" x14ac:dyDescent="0.25">
      <c r="AA696" s="89">
        <v>45075.708333333336</v>
      </c>
      <c r="AB696">
        <v>24.85</v>
      </c>
    </row>
    <row r="697" spans="27:28" x14ac:dyDescent="0.25">
      <c r="AA697" s="89">
        <v>45075.75</v>
      </c>
      <c r="AB697">
        <v>24.85</v>
      </c>
    </row>
    <row r="698" spans="27:28" x14ac:dyDescent="0.25">
      <c r="AA698" s="89">
        <v>45075.791666666664</v>
      </c>
      <c r="AB698">
        <v>24.85</v>
      </c>
    </row>
    <row r="699" spans="27:28" x14ac:dyDescent="0.25">
      <c r="AA699" s="89">
        <v>45075.833333333336</v>
      </c>
      <c r="AB699">
        <v>24.85</v>
      </c>
    </row>
    <row r="700" spans="27:28" x14ac:dyDescent="0.25">
      <c r="AA700" s="89">
        <v>45075.875</v>
      </c>
      <c r="AB700">
        <v>24.85</v>
      </c>
    </row>
    <row r="701" spans="27:28" x14ac:dyDescent="0.25">
      <c r="AA701" s="89">
        <v>45075.916666666664</v>
      </c>
      <c r="AB701">
        <v>24.85</v>
      </c>
    </row>
    <row r="702" spans="27:28" x14ac:dyDescent="0.25">
      <c r="AA702" s="89">
        <v>45075.958333333336</v>
      </c>
      <c r="AB702">
        <v>24.85</v>
      </c>
    </row>
    <row r="703" spans="27:28" x14ac:dyDescent="0.25">
      <c r="AA703" s="89">
        <v>45076</v>
      </c>
      <c r="AB703">
        <v>24.85</v>
      </c>
    </row>
    <row r="704" spans="27:28" x14ac:dyDescent="0.25">
      <c r="AA704" s="89">
        <v>45076.041666666664</v>
      </c>
      <c r="AB704">
        <v>24.85</v>
      </c>
    </row>
    <row r="705" spans="27:28" x14ac:dyDescent="0.25">
      <c r="AA705" s="89">
        <v>45076.083333333336</v>
      </c>
      <c r="AB705">
        <v>24.85</v>
      </c>
    </row>
    <row r="706" spans="27:28" x14ac:dyDescent="0.25">
      <c r="AA706" s="89">
        <v>45076.125</v>
      </c>
      <c r="AB706">
        <v>24.85</v>
      </c>
    </row>
    <row r="707" spans="27:28" x14ac:dyDescent="0.25">
      <c r="AA707" s="89">
        <v>45076.166666666664</v>
      </c>
      <c r="AB707">
        <v>24.85</v>
      </c>
    </row>
    <row r="708" spans="27:28" x14ac:dyDescent="0.25">
      <c r="AA708" s="89">
        <v>45076.208333333336</v>
      </c>
      <c r="AB708">
        <v>24.85</v>
      </c>
    </row>
    <row r="709" spans="27:28" x14ac:dyDescent="0.25">
      <c r="AA709" s="89">
        <v>45076.25</v>
      </c>
      <c r="AB709">
        <v>24.85</v>
      </c>
    </row>
    <row r="710" spans="27:28" x14ac:dyDescent="0.25">
      <c r="AA710" s="89">
        <v>45076.291666666664</v>
      </c>
      <c r="AB710">
        <v>24.85</v>
      </c>
    </row>
    <row r="711" spans="27:28" x14ac:dyDescent="0.25">
      <c r="AA711" s="89">
        <v>45076.333333333336</v>
      </c>
      <c r="AB711">
        <v>24.85</v>
      </c>
    </row>
    <row r="712" spans="27:28" x14ac:dyDescent="0.25">
      <c r="AA712" s="89">
        <v>45076.375</v>
      </c>
      <c r="AB712">
        <v>24.85</v>
      </c>
    </row>
    <row r="713" spans="27:28" x14ac:dyDescent="0.25">
      <c r="AA713" s="89">
        <v>45076.416666666664</v>
      </c>
      <c r="AB713">
        <v>24.85</v>
      </c>
    </row>
    <row r="714" spans="27:28" x14ac:dyDescent="0.25">
      <c r="AA714" s="89">
        <v>45076.458333333336</v>
      </c>
      <c r="AB714">
        <v>24.86</v>
      </c>
    </row>
    <row r="715" spans="27:28" x14ac:dyDescent="0.25">
      <c r="AA715" s="89">
        <v>45076.5</v>
      </c>
      <c r="AB715">
        <v>24.85</v>
      </c>
    </row>
    <row r="716" spans="27:28" x14ac:dyDescent="0.25">
      <c r="AA716" s="89">
        <v>45076.541666666664</v>
      </c>
      <c r="AB716">
        <v>24.85</v>
      </c>
    </row>
    <row r="717" spans="27:28" x14ac:dyDescent="0.25">
      <c r="AA717" s="89">
        <v>45076.583333333336</v>
      </c>
      <c r="AB717">
        <v>24.86</v>
      </c>
    </row>
    <row r="718" spans="27:28" x14ac:dyDescent="0.25">
      <c r="AA718" s="89">
        <v>45076.625</v>
      </c>
      <c r="AB718">
        <v>24.85</v>
      </c>
    </row>
    <row r="719" spans="27:28" x14ac:dyDescent="0.25">
      <c r="AA719" s="89">
        <v>45076.666666666664</v>
      </c>
      <c r="AB719">
        <v>24.86</v>
      </c>
    </row>
    <row r="720" spans="27:28" x14ac:dyDescent="0.25">
      <c r="AA720" s="89">
        <v>45076.708333333336</v>
      </c>
      <c r="AB720">
        <v>24.85</v>
      </c>
    </row>
    <row r="721" spans="27:28" x14ac:dyDescent="0.25">
      <c r="AA721" s="89">
        <v>45076.75</v>
      </c>
      <c r="AB721">
        <v>24.86</v>
      </c>
    </row>
    <row r="722" spans="27:28" x14ac:dyDescent="0.25">
      <c r="AA722" s="89">
        <v>45076.791666666664</v>
      </c>
      <c r="AB722">
        <v>24.86</v>
      </c>
    </row>
    <row r="723" spans="27:28" x14ac:dyDescent="0.25">
      <c r="AA723" s="89">
        <v>45076.833333333336</v>
      </c>
      <c r="AB723">
        <v>24.86</v>
      </c>
    </row>
    <row r="724" spans="27:28" x14ac:dyDescent="0.25">
      <c r="AA724" s="89">
        <v>45076.875</v>
      </c>
      <c r="AB724">
        <v>24.86</v>
      </c>
    </row>
    <row r="725" spans="27:28" x14ac:dyDescent="0.25">
      <c r="AA725" s="89">
        <v>45076.916666666664</v>
      </c>
      <c r="AB725">
        <v>24.86</v>
      </c>
    </row>
    <row r="726" spans="27:28" x14ac:dyDescent="0.25">
      <c r="AA726" s="89">
        <v>45076.958333333336</v>
      </c>
      <c r="AB726">
        <v>24.86</v>
      </c>
    </row>
    <row r="727" spans="27:28" x14ac:dyDescent="0.25">
      <c r="AA727" s="89">
        <v>45077</v>
      </c>
      <c r="AB727">
        <v>24.86</v>
      </c>
    </row>
    <row r="728" spans="27:28" x14ac:dyDescent="0.25">
      <c r="AA728" s="89">
        <v>45077.041666666664</v>
      </c>
      <c r="AB728">
        <v>24.86</v>
      </c>
    </row>
    <row r="729" spans="27:28" x14ac:dyDescent="0.25">
      <c r="AA729" s="89">
        <v>45077.083333333336</v>
      </c>
      <c r="AB729">
        <v>24.86</v>
      </c>
    </row>
    <row r="730" spans="27:28" x14ac:dyDescent="0.25">
      <c r="AA730" s="89">
        <v>45077.125</v>
      </c>
      <c r="AB730">
        <v>24.86</v>
      </c>
    </row>
    <row r="731" spans="27:28" x14ac:dyDescent="0.25">
      <c r="AA731" s="89">
        <v>45077.166666666664</v>
      </c>
      <c r="AB731">
        <v>24.86</v>
      </c>
    </row>
    <row r="732" spans="27:28" x14ac:dyDescent="0.25">
      <c r="AA732" s="89">
        <v>45077.208333333336</v>
      </c>
      <c r="AB732">
        <v>24.86</v>
      </c>
    </row>
    <row r="733" spans="27:28" x14ac:dyDescent="0.25">
      <c r="AA733" s="89">
        <v>45077.25</v>
      </c>
      <c r="AB733">
        <v>24.86</v>
      </c>
    </row>
    <row r="734" spans="27:28" x14ac:dyDescent="0.25">
      <c r="AA734" s="89">
        <v>45077.291666666664</v>
      </c>
      <c r="AB734">
        <v>24.86</v>
      </c>
    </row>
    <row r="735" spans="27:28" x14ac:dyDescent="0.25">
      <c r="AA735" s="89">
        <v>45077.333333333336</v>
      </c>
      <c r="AB735">
        <v>24.86</v>
      </c>
    </row>
    <row r="736" spans="27:28" x14ac:dyDescent="0.25">
      <c r="AA736" s="89">
        <v>45077.375</v>
      </c>
      <c r="AB736">
        <v>24.86</v>
      </c>
    </row>
    <row r="737" spans="27:28" x14ac:dyDescent="0.25">
      <c r="AA737" s="89">
        <v>45077.416666666664</v>
      </c>
      <c r="AB737">
        <v>24.86</v>
      </c>
    </row>
    <row r="738" spans="27:28" x14ac:dyDescent="0.25">
      <c r="AA738" s="89">
        <v>45077.458333333336</v>
      </c>
      <c r="AB738">
        <v>24.86</v>
      </c>
    </row>
    <row r="739" spans="27:28" x14ac:dyDescent="0.25">
      <c r="AA739" s="89">
        <v>45077.5</v>
      </c>
      <c r="AB739">
        <v>24.86</v>
      </c>
    </row>
    <row r="740" spans="27:28" x14ac:dyDescent="0.25">
      <c r="AA740" s="89">
        <v>45077.541666666664</v>
      </c>
      <c r="AB740">
        <v>24.86</v>
      </c>
    </row>
    <row r="741" spans="27:28" x14ac:dyDescent="0.25">
      <c r="AA741" s="89">
        <v>45077.583333333336</v>
      </c>
      <c r="AB741">
        <v>24.87</v>
      </c>
    </row>
    <row r="742" spans="27:28" x14ac:dyDescent="0.25">
      <c r="AA742" s="89">
        <v>45077.625</v>
      </c>
      <c r="AB742">
        <v>24.87</v>
      </c>
    </row>
    <row r="743" spans="27:28" x14ac:dyDescent="0.25">
      <c r="AA743" s="89">
        <v>45077.666666666664</v>
      </c>
      <c r="AB743">
        <v>24.86</v>
      </c>
    </row>
    <row r="744" spans="27:28" x14ac:dyDescent="0.25">
      <c r="AA744" s="89">
        <v>45077.708333333336</v>
      </c>
      <c r="AB744">
        <v>24.87</v>
      </c>
    </row>
    <row r="745" spans="27:28" x14ac:dyDescent="0.25">
      <c r="AA745" s="89">
        <v>45077.75</v>
      </c>
      <c r="AB745">
        <v>24.86</v>
      </c>
    </row>
    <row r="746" spans="27:28" x14ac:dyDescent="0.25">
      <c r="AA746" s="89">
        <v>45077.791666666664</v>
      </c>
      <c r="AB746">
        <v>24.87</v>
      </c>
    </row>
    <row r="747" spans="27:28" x14ac:dyDescent="0.25">
      <c r="AA747" s="89">
        <v>45077.833333333336</v>
      </c>
      <c r="AB747">
        <v>24.87</v>
      </c>
    </row>
    <row r="748" spans="27:28" x14ac:dyDescent="0.25">
      <c r="AA748" s="89">
        <v>45077.875</v>
      </c>
      <c r="AB748">
        <v>24.86</v>
      </c>
    </row>
    <row r="749" spans="27:28" x14ac:dyDescent="0.25">
      <c r="AA749" s="89">
        <v>45077.916666666664</v>
      </c>
      <c r="AB749">
        <v>24.87</v>
      </c>
    </row>
    <row r="750" spans="27:28" x14ac:dyDescent="0.25">
      <c r="AA750" s="89">
        <v>45077.958333333336</v>
      </c>
      <c r="AB750">
        <v>24.87</v>
      </c>
    </row>
    <row r="751" spans="27:28" x14ac:dyDescent="0.25">
      <c r="AA751" s="89">
        <v>45078</v>
      </c>
      <c r="AB751">
        <v>24.86</v>
      </c>
    </row>
    <row r="752" spans="27:28" x14ac:dyDescent="0.25">
      <c r="AA752" s="89">
        <v>45078.041666666664</v>
      </c>
      <c r="AB752">
        <v>24.87</v>
      </c>
    </row>
    <row r="753" spans="27:28" x14ac:dyDescent="0.25">
      <c r="AA753" s="89">
        <v>45078.083333333336</v>
      </c>
      <c r="AB753">
        <v>24.87</v>
      </c>
    </row>
    <row r="754" spans="27:28" x14ac:dyDescent="0.25">
      <c r="AA754" s="89">
        <v>45078.125</v>
      </c>
      <c r="AB754">
        <v>24.86</v>
      </c>
    </row>
    <row r="755" spans="27:28" x14ac:dyDescent="0.25">
      <c r="AA755" s="89">
        <v>45078.166666666664</v>
      </c>
      <c r="AB755">
        <v>24.86</v>
      </c>
    </row>
    <row r="756" spans="27:28" x14ac:dyDescent="0.25">
      <c r="AA756" s="89">
        <v>45078.208333333336</v>
      </c>
      <c r="AB756">
        <v>24.87</v>
      </c>
    </row>
    <row r="757" spans="27:28" x14ac:dyDescent="0.25">
      <c r="AA757" s="89">
        <v>45078.25</v>
      </c>
      <c r="AB757">
        <v>24.86</v>
      </c>
    </row>
    <row r="758" spans="27:28" x14ac:dyDescent="0.25">
      <c r="AA758" s="89">
        <v>45078.291666666664</v>
      </c>
      <c r="AB758">
        <v>24.86</v>
      </c>
    </row>
    <row r="759" spans="27:28" x14ac:dyDescent="0.25">
      <c r="AA759" s="89">
        <v>45078.333333333336</v>
      </c>
      <c r="AB759">
        <v>24.87</v>
      </c>
    </row>
    <row r="760" spans="27:28" x14ac:dyDescent="0.25">
      <c r="AA760" s="89">
        <v>45078.375</v>
      </c>
      <c r="AB760">
        <v>24.87</v>
      </c>
    </row>
    <row r="761" spans="27:28" x14ac:dyDescent="0.25">
      <c r="AA761" s="89">
        <v>45078.416666666664</v>
      </c>
      <c r="AB761">
        <v>24.87</v>
      </c>
    </row>
    <row r="762" spans="27:28" x14ac:dyDescent="0.25">
      <c r="AA762" s="89">
        <v>45078.458333333336</v>
      </c>
      <c r="AB762">
        <v>24.87</v>
      </c>
    </row>
    <row r="763" spans="27:28" x14ac:dyDescent="0.25">
      <c r="AA763" s="89">
        <v>45078.5</v>
      </c>
      <c r="AB763">
        <v>24.87</v>
      </c>
    </row>
    <row r="764" spans="27:28" x14ac:dyDescent="0.25">
      <c r="AA764" s="89">
        <v>45078.541666666664</v>
      </c>
      <c r="AB764">
        <v>24.87</v>
      </c>
    </row>
    <row r="765" spans="27:28" x14ac:dyDescent="0.25">
      <c r="AA765" s="89">
        <v>45078.583333333336</v>
      </c>
      <c r="AB765">
        <v>24.87</v>
      </c>
    </row>
    <row r="766" spans="27:28" x14ac:dyDescent="0.25">
      <c r="AA766" s="89">
        <v>45078.625</v>
      </c>
      <c r="AB766">
        <v>24.87</v>
      </c>
    </row>
    <row r="767" spans="27:28" x14ac:dyDescent="0.25">
      <c r="AA767" s="89">
        <v>45078.666666666664</v>
      </c>
      <c r="AB767">
        <v>24.87</v>
      </c>
    </row>
    <row r="768" spans="27:28" x14ac:dyDescent="0.25">
      <c r="AA768" s="89">
        <v>45078.708333333336</v>
      </c>
      <c r="AB768">
        <v>24.87</v>
      </c>
    </row>
    <row r="769" spans="27:28" x14ac:dyDescent="0.25">
      <c r="AA769" s="89">
        <v>45078.75</v>
      </c>
      <c r="AB769">
        <v>24.87</v>
      </c>
    </row>
    <row r="770" spans="27:28" x14ac:dyDescent="0.25">
      <c r="AA770" s="89">
        <v>45078.791666666664</v>
      </c>
      <c r="AB770">
        <v>24.87</v>
      </c>
    </row>
    <row r="771" spans="27:28" x14ac:dyDescent="0.25">
      <c r="AA771" s="89">
        <v>45078.833333333336</v>
      </c>
      <c r="AB771">
        <v>24.87</v>
      </c>
    </row>
    <row r="772" spans="27:28" x14ac:dyDescent="0.25">
      <c r="AA772" s="89">
        <v>45078.875</v>
      </c>
      <c r="AB772">
        <v>24.87</v>
      </c>
    </row>
    <row r="773" spans="27:28" x14ac:dyDescent="0.25">
      <c r="AA773" s="89">
        <v>45078.916666666664</v>
      </c>
      <c r="AB773">
        <v>24.87</v>
      </c>
    </row>
    <row r="774" spans="27:28" x14ac:dyDescent="0.25">
      <c r="AA774" s="89">
        <v>45078.958333333336</v>
      </c>
      <c r="AB774">
        <v>24.87</v>
      </c>
    </row>
    <row r="775" spans="27:28" x14ac:dyDescent="0.25">
      <c r="AA775" s="89">
        <v>45079</v>
      </c>
      <c r="AB775">
        <v>24.87</v>
      </c>
    </row>
    <row r="776" spans="27:28" x14ac:dyDescent="0.25">
      <c r="AA776" s="89">
        <v>45079.041666666664</v>
      </c>
      <c r="AB776">
        <v>24.87</v>
      </c>
    </row>
    <row r="777" spans="27:28" x14ac:dyDescent="0.25">
      <c r="AA777" s="89">
        <v>45079.083333333336</v>
      </c>
      <c r="AB777">
        <v>24.87</v>
      </c>
    </row>
    <row r="778" spans="27:28" x14ac:dyDescent="0.25">
      <c r="AA778" s="89">
        <v>45079.125</v>
      </c>
      <c r="AB778">
        <v>24.87</v>
      </c>
    </row>
    <row r="779" spans="27:28" x14ac:dyDescent="0.25">
      <c r="AA779" s="89">
        <v>45079.166666666664</v>
      </c>
      <c r="AB779">
        <v>24.87</v>
      </c>
    </row>
    <row r="780" spans="27:28" x14ac:dyDescent="0.25">
      <c r="AA780" s="89">
        <v>45079.208333333336</v>
      </c>
      <c r="AB780">
        <v>24.87</v>
      </c>
    </row>
    <row r="781" spans="27:28" x14ac:dyDescent="0.25">
      <c r="AA781" s="89">
        <v>45079.25</v>
      </c>
      <c r="AB781">
        <v>24.87</v>
      </c>
    </row>
    <row r="782" spans="27:28" x14ac:dyDescent="0.25">
      <c r="AA782" s="89">
        <v>45079.291666666664</v>
      </c>
      <c r="AB782">
        <v>24.87</v>
      </c>
    </row>
    <row r="783" spans="27:28" x14ac:dyDescent="0.25">
      <c r="AA783" s="89">
        <v>45079.333333333336</v>
      </c>
      <c r="AB783">
        <v>24.88</v>
      </c>
    </row>
    <row r="784" spans="27:28" x14ac:dyDescent="0.25">
      <c r="AA784" s="89">
        <v>45079.375</v>
      </c>
      <c r="AB784">
        <v>24.88</v>
      </c>
    </row>
    <row r="785" spans="27:28" x14ac:dyDescent="0.25">
      <c r="AA785" s="89">
        <v>45079.416666666664</v>
      </c>
      <c r="AB785">
        <v>24.88</v>
      </c>
    </row>
    <row r="786" spans="27:28" x14ac:dyDescent="0.25">
      <c r="AA786" s="89">
        <v>45079.458333333336</v>
      </c>
      <c r="AB786">
        <v>24.88</v>
      </c>
    </row>
    <row r="787" spans="27:28" x14ac:dyDescent="0.25">
      <c r="AA787" s="89">
        <v>45079.5</v>
      </c>
      <c r="AB787">
        <v>24.88</v>
      </c>
    </row>
    <row r="788" spans="27:28" x14ac:dyDescent="0.25">
      <c r="AA788" s="89">
        <v>45079.541666666664</v>
      </c>
      <c r="AB788">
        <v>24.88</v>
      </c>
    </row>
    <row r="789" spans="27:28" x14ac:dyDescent="0.25">
      <c r="AA789" s="89">
        <v>45079.583333333336</v>
      </c>
      <c r="AB789">
        <v>24.87</v>
      </c>
    </row>
    <row r="790" spans="27:28" x14ac:dyDescent="0.25">
      <c r="AA790" s="89">
        <v>45079.625</v>
      </c>
      <c r="AB790">
        <v>24.88</v>
      </c>
    </row>
    <row r="791" spans="27:28" x14ac:dyDescent="0.25">
      <c r="AA791" s="89">
        <v>45079.666666666664</v>
      </c>
      <c r="AB791">
        <v>24.88</v>
      </c>
    </row>
    <row r="792" spans="27:28" x14ac:dyDescent="0.25">
      <c r="AA792" s="89">
        <v>45079.708333333336</v>
      </c>
      <c r="AB792">
        <v>24.88</v>
      </c>
    </row>
    <row r="793" spans="27:28" x14ac:dyDescent="0.25">
      <c r="AA793" s="89">
        <v>45079.75</v>
      </c>
      <c r="AB793">
        <v>24.88</v>
      </c>
    </row>
    <row r="794" spans="27:28" x14ac:dyDescent="0.25">
      <c r="AA794" s="89">
        <v>45079.791666666664</v>
      </c>
      <c r="AB794">
        <v>24.88</v>
      </c>
    </row>
    <row r="795" spans="27:28" x14ac:dyDescent="0.25">
      <c r="AA795" s="89">
        <v>45079.833333333336</v>
      </c>
      <c r="AB795">
        <v>24.88</v>
      </c>
    </row>
    <row r="796" spans="27:28" x14ac:dyDescent="0.25">
      <c r="AA796" s="89">
        <v>45079.875</v>
      </c>
      <c r="AB796">
        <v>24.88</v>
      </c>
    </row>
    <row r="797" spans="27:28" x14ac:dyDescent="0.25">
      <c r="AA797" s="89">
        <v>45079.916666666664</v>
      </c>
      <c r="AB797">
        <v>24.88</v>
      </c>
    </row>
    <row r="798" spans="27:28" x14ac:dyDescent="0.25">
      <c r="AA798" s="89">
        <v>45079.958333333336</v>
      </c>
      <c r="AB798">
        <v>24.88</v>
      </c>
    </row>
    <row r="799" spans="27:28" x14ac:dyDescent="0.25">
      <c r="AA799" s="89">
        <v>45080</v>
      </c>
      <c r="AB799">
        <v>24.88</v>
      </c>
    </row>
    <row r="800" spans="27:28" x14ac:dyDescent="0.25">
      <c r="AA800" s="89">
        <v>45080.041666666664</v>
      </c>
      <c r="AB800">
        <v>24.88</v>
      </c>
    </row>
    <row r="801" spans="27:28" x14ac:dyDescent="0.25">
      <c r="AA801" s="89">
        <v>45080.083333333336</v>
      </c>
      <c r="AB801">
        <v>24.88</v>
      </c>
    </row>
    <row r="802" spans="27:28" x14ac:dyDescent="0.25">
      <c r="AA802" s="89">
        <v>45080.125</v>
      </c>
      <c r="AB802">
        <v>24.88</v>
      </c>
    </row>
    <row r="803" spans="27:28" x14ac:dyDescent="0.25">
      <c r="AA803" s="89">
        <v>45080.166666666664</v>
      </c>
      <c r="AB803">
        <v>24.88</v>
      </c>
    </row>
    <row r="804" spans="27:28" x14ac:dyDescent="0.25">
      <c r="AA804" s="89">
        <v>45080.208333333336</v>
      </c>
      <c r="AB804">
        <v>24.88</v>
      </c>
    </row>
    <row r="805" spans="27:28" x14ac:dyDescent="0.25">
      <c r="AA805" s="89">
        <v>45080.25</v>
      </c>
      <c r="AB805">
        <v>24.88</v>
      </c>
    </row>
    <row r="806" spans="27:28" x14ac:dyDescent="0.25">
      <c r="AA806" s="89">
        <v>45080.291666666664</v>
      </c>
      <c r="AB806">
        <v>24.88</v>
      </c>
    </row>
    <row r="807" spans="27:28" x14ac:dyDescent="0.25">
      <c r="AA807" s="89">
        <v>45080.333333333336</v>
      </c>
      <c r="AB807">
        <v>24.88</v>
      </c>
    </row>
    <row r="808" spans="27:28" x14ac:dyDescent="0.25">
      <c r="AA808" s="89">
        <v>45080.375</v>
      </c>
      <c r="AB808">
        <v>24.88</v>
      </c>
    </row>
    <row r="809" spans="27:28" x14ac:dyDescent="0.25">
      <c r="AA809" s="89">
        <v>45080.416666666664</v>
      </c>
      <c r="AB809">
        <v>24.88</v>
      </c>
    </row>
    <row r="810" spans="27:28" x14ac:dyDescent="0.25">
      <c r="AA810" s="89">
        <v>45080.458333333336</v>
      </c>
      <c r="AB810">
        <v>24.89</v>
      </c>
    </row>
    <row r="811" spans="27:28" x14ac:dyDescent="0.25">
      <c r="AA811" s="89">
        <v>45080.5</v>
      </c>
      <c r="AB811">
        <v>24.89</v>
      </c>
    </row>
    <row r="812" spans="27:28" x14ac:dyDescent="0.25">
      <c r="AA812" s="89">
        <v>45080.541666666664</v>
      </c>
      <c r="AB812">
        <v>24.88</v>
      </c>
    </row>
    <row r="813" spans="27:28" x14ac:dyDescent="0.25">
      <c r="AA813" s="89">
        <v>45080.583333333336</v>
      </c>
      <c r="AB813">
        <v>24.89</v>
      </c>
    </row>
    <row r="814" spans="27:28" x14ac:dyDescent="0.25">
      <c r="AA814" s="89">
        <v>45080.625</v>
      </c>
      <c r="AB814">
        <v>24.89</v>
      </c>
    </row>
    <row r="815" spans="27:28" x14ac:dyDescent="0.25">
      <c r="AA815" s="89">
        <v>45080.666666666664</v>
      </c>
      <c r="AB815">
        <v>24.89</v>
      </c>
    </row>
    <row r="816" spans="27:28" x14ac:dyDescent="0.25">
      <c r="AA816" s="89">
        <v>45080.708333333336</v>
      </c>
      <c r="AB816">
        <v>24.89</v>
      </c>
    </row>
    <row r="817" spans="27:28" x14ac:dyDescent="0.25">
      <c r="AA817" s="89">
        <v>45080.75</v>
      </c>
      <c r="AB817">
        <v>24.89</v>
      </c>
    </row>
    <row r="818" spans="27:28" x14ac:dyDescent="0.25">
      <c r="AA818" s="89">
        <v>45080.791666666664</v>
      </c>
      <c r="AB818">
        <v>24.89</v>
      </c>
    </row>
    <row r="819" spans="27:28" x14ac:dyDescent="0.25">
      <c r="AA819" s="89">
        <v>45080.833333333336</v>
      </c>
      <c r="AB819">
        <v>24.89</v>
      </c>
    </row>
    <row r="820" spans="27:28" x14ac:dyDescent="0.25">
      <c r="AA820" s="89">
        <v>45080.875</v>
      </c>
      <c r="AB820">
        <v>24.89</v>
      </c>
    </row>
    <row r="821" spans="27:28" x14ac:dyDescent="0.25">
      <c r="AA821" s="89">
        <v>45080.916666666664</v>
      </c>
      <c r="AB821">
        <v>24.89</v>
      </c>
    </row>
    <row r="822" spans="27:28" x14ac:dyDescent="0.25">
      <c r="AA822" s="89">
        <v>45080.958333333336</v>
      </c>
      <c r="AB822">
        <v>24.89</v>
      </c>
    </row>
    <row r="823" spans="27:28" x14ac:dyDescent="0.25">
      <c r="AA823" s="89">
        <v>45081</v>
      </c>
      <c r="AB823">
        <v>24.89</v>
      </c>
    </row>
    <row r="824" spans="27:28" x14ac:dyDescent="0.25">
      <c r="AA824" s="89">
        <v>45081.041666666664</v>
      </c>
      <c r="AB824">
        <v>24.89</v>
      </c>
    </row>
    <row r="825" spans="27:28" x14ac:dyDescent="0.25">
      <c r="AA825" s="89">
        <v>45081.083333333336</v>
      </c>
      <c r="AB825">
        <v>24.89</v>
      </c>
    </row>
    <row r="826" spans="27:28" x14ac:dyDescent="0.25">
      <c r="AA826" s="89">
        <v>45081.125</v>
      </c>
      <c r="AB826">
        <v>24.89</v>
      </c>
    </row>
    <row r="827" spans="27:28" x14ac:dyDescent="0.25">
      <c r="AA827" s="89">
        <v>45081.166666666664</v>
      </c>
      <c r="AB827">
        <v>24.89</v>
      </c>
    </row>
    <row r="828" spans="27:28" x14ac:dyDescent="0.25">
      <c r="AA828" s="89">
        <v>45081.208333333336</v>
      </c>
      <c r="AB828">
        <v>24.89</v>
      </c>
    </row>
    <row r="829" spans="27:28" x14ac:dyDescent="0.25">
      <c r="AA829" s="89">
        <v>45081.25</v>
      </c>
      <c r="AB829">
        <v>24.89</v>
      </c>
    </row>
    <row r="830" spans="27:28" x14ac:dyDescent="0.25">
      <c r="AA830" s="89">
        <v>45081.291666666664</v>
      </c>
      <c r="AB830">
        <v>24.89</v>
      </c>
    </row>
    <row r="831" spans="27:28" x14ac:dyDescent="0.25">
      <c r="AA831" s="89">
        <v>45081.333333333336</v>
      </c>
      <c r="AB831">
        <v>24.89</v>
      </c>
    </row>
    <row r="832" spans="27:28" x14ac:dyDescent="0.25">
      <c r="AA832" s="89">
        <v>45081.375</v>
      </c>
      <c r="AB832">
        <v>24.89</v>
      </c>
    </row>
    <row r="833" spans="27:28" x14ac:dyDescent="0.25">
      <c r="AA833" s="89">
        <v>45081.416666666664</v>
      </c>
      <c r="AB833">
        <v>24.89</v>
      </c>
    </row>
    <row r="834" spans="27:28" x14ac:dyDescent="0.25">
      <c r="AA834" s="89">
        <v>45081.458333333336</v>
      </c>
      <c r="AB834">
        <v>24.9</v>
      </c>
    </row>
    <row r="835" spans="27:28" x14ac:dyDescent="0.25">
      <c r="AA835" s="89">
        <v>45081.5</v>
      </c>
      <c r="AB835">
        <v>24.89</v>
      </c>
    </row>
    <row r="836" spans="27:28" x14ac:dyDescent="0.25">
      <c r="AA836" s="89">
        <v>45081.541666666664</v>
      </c>
      <c r="AB836">
        <v>24.89</v>
      </c>
    </row>
    <row r="837" spans="27:28" x14ac:dyDescent="0.25">
      <c r="AA837" s="89">
        <v>45081.583333333336</v>
      </c>
      <c r="AB837">
        <v>24.89</v>
      </c>
    </row>
    <row r="838" spans="27:28" x14ac:dyDescent="0.25">
      <c r="AA838" s="89">
        <v>45081.625</v>
      </c>
      <c r="AB838">
        <v>24.89</v>
      </c>
    </row>
    <row r="839" spans="27:28" x14ac:dyDescent="0.25">
      <c r="AA839" s="89">
        <v>45081.666666666664</v>
      </c>
      <c r="AB839">
        <v>24.9</v>
      </c>
    </row>
    <row r="840" spans="27:28" x14ac:dyDescent="0.25">
      <c r="AA840" s="89">
        <v>45081.708333333336</v>
      </c>
      <c r="AB840">
        <v>24.9</v>
      </c>
    </row>
    <row r="841" spans="27:28" x14ac:dyDescent="0.25">
      <c r="AA841" s="89">
        <v>45081.75</v>
      </c>
      <c r="AB841">
        <v>24.9</v>
      </c>
    </row>
    <row r="842" spans="27:28" x14ac:dyDescent="0.25">
      <c r="AA842" s="89">
        <v>45081.791666666664</v>
      </c>
      <c r="AB842">
        <v>24.9</v>
      </c>
    </row>
    <row r="843" spans="27:28" x14ac:dyDescent="0.25">
      <c r="AA843" s="89">
        <v>45081.833333333336</v>
      </c>
      <c r="AB843">
        <v>24.9</v>
      </c>
    </row>
    <row r="844" spans="27:28" x14ac:dyDescent="0.25">
      <c r="AA844" s="89">
        <v>45081.875</v>
      </c>
      <c r="AB844">
        <v>24.9</v>
      </c>
    </row>
    <row r="845" spans="27:28" x14ac:dyDescent="0.25">
      <c r="AA845" s="89">
        <v>45081.916666666664</v>
      </c>
      <c r="AB845">
        <v>24.9</v>
      </c>
    </row>
    <row r="846" spans="27:28" x14ac:dyDescent="0.25">
      <c r="AA846" s="89">
        <v>45081.958333333336</v>
      </c>
      <c r="AB846">
        <v>24.9</v>
      </c>
    </row>
    <row r="847" spans="27:28" x14ac:dyDescent="0.25">
      <c r="AA847" s="89">
        <v>45082</v>
      </c>
      <c r="AB847">
        <v>24.9</v>
      </c>
    </row>
    <row r="848" spans="27:28" x14ac:dyDescent="0.25">
      <c r="AA848" s="89">
        <v>45082.041666666664</v>
      </c>
      <c r="AB848">
        <v>24.9</v>
      </c>
    </row>
    <row r="849" spans="27:28" x14ac:dyDescent="0.25">
      <c r="AA849" s="89">
        <v>45082.083333333336</v>
      </c>
      <c r="AB849">
        <v>24.9</v>
      </c>
    </row>
    <row r="850" spans="27:28" x14ac:dyDescent="0.25">
      <c r="AA850" s="89">
        <v>45082.125</v>
      </c>
      <c r="AB850">
        <v>24.9</v>
      </c>
    </row>
    <row r="851" spans="27:28" x14ac:dyDescent="0.25">
      <c r="AA851" s="89">
        <v>45082.166666666664</v>
      </c>
      <c r="AB851">
        <v>24.9</v>
      </c>
    </row>
    <row r="852" spans="27:28" x14ac:dyDescent="0.25">
      <c r="AA852" s="89">
        <v>45082.208333333336</v>
      </c>
      <c r="AB852">
        <v>24.9</v>
      </c>
    </row>
    <row r="853" spans="27:28" x14ac:dyDescent="0.25">
      <c r="AA853" s="89">
        <v>45082.25</v>
      </c>
      <c r="AB853">
        <v>24.9</v>
      </c>
    </row>
    <row r="854" spans="27:28" x14ac:dyDescent="0.25">
      <c r="AA854" s="89">
        <v>45082.291666666664</v>
      </c>
      <c r="AB854">
        <v>24.9</v>
      </c>
    </row>
    <row r="855" spans="27:28" x14ac:dyDescent="0.25">
      <c r="AA855" s="89">
        <v>45082.333333333336</v>
      </c>
      <c r="AB855">
        <v>24.9</v>
      </c>
    </row>
    <row r="856" spans="27:28" x14ac:dyDescent="0.25">
      <c r="AA856" s="89">
        <v>45082.375</v>
      </c>
      <c r="AB856">
        <v>24.9</v>
      </c>
    </row>
    <row r="857" spans="27:28" x14ac:dyDescent="0.25">
      <c r="AA857" s="89">
        <v>45082.416666666664</v>
      </c>
      <c r="AB857">
        <v>24.9</v>
      </c>
    </row>
    <row r="858" spans="27:28" x14ac:dyDescent="0.25">
      <c r="AA858" s="89">
        <v>45082.458333333336</v>
      </c>
      <c r="AB858">
        <v>24.9</v>
      </c>
    </row>
    <row r="859" spans="27:28" x14ac:dyDescent="0.25">
      <c r="AA859" s="89">
        <v>45082.5</v>
      </c>
      <c r="AB859">
        <v>24.9</v>
      </c>
    </row>
    <row r="860" spans="27:28" x14ac:dyDescent="0.25">
      <c r="AA860" s="89">
        <v>45082.541666666664</v>
      </c>
      <c r="AB860">
        <v>24.9</v>
      </c>
    </row>
    <row r="861" spans="27:28" x14ac:dyDescent="0.25">
      <c r="AA861" s="89">
        <v>45082.583333333336</v>
      </c>
      <c r="AB861">
        <v>24.9</v>
      </c>
    </row>
    <row r="862" spans="27:28" x14ac:dyDescent="0.25">
      <c r="AA862" s="89">
        <v>45082.625</v>
      </c>
      <c r="AB862">
        <v>24.9</v>
      </c>
    </row>
    <row r="863" spans="27:28" x14ac:dyDescent="0.25">
      <c r="AA863" s="89">
        <v>45082.666666666664</v>
      </c>
      <c r="AB863">
        <v>24.91</v>
      </c>
    </row>
    <row r="864" spans="27:28" x14ac:dyDescent="0.25">
      <c r="AA864" s="89">
        <v>45082.708333333336</v>
      </c>
      <c r="AB864">
        <v>24.91</v>
      </c>
    </row>
    <row r="865" spans="27:28" x14ac:dyDescent="0.25">
      <c r="AA865" s="89">
        <v>45082.75</v>
      </c>
      <c r="AB865">
        <v>24.9</v>
      </c>
    </row>
    <row r="866" spans="27:28" x14ac:dyDescent="0.25">
      <c r="AA866" s="89">
        <v>45082.791666666664</v>
      </c>
      <c r="AB866">
        <v>24.9</v>
      </c>
    </row>
    <row r="867" spans="27:28" x14ac:dyDescent="0.25">
      <c r="AA867" s="89">
        <v>45082.833333333336</v>
      </c>
      <c r="AB867">
        <v>24.91</v>
      </c>
    </row>
    <row r="868" spans="27:28" x14ac:dyDescent="0.25">
      <c r="AA868" s="89">
        <v>45082.875</v>
      </c>
      <c r="AB868">
        <v>24.9</v>
      </c>
    </row>
    <row r="869" spans="27:28" x14ac:dyDescent="0.25">
      <c r="AA869" s="89">
        <v>45082.916666666664</v>
      </c>
      <c r="AB869">
        <v>24.91</v>
      </c>
    </row>
    <row r="870" spans="27:28" x14ac:dyDescent="0.25">
      <c r="AA870" s="89">
        <v>45082.958333333336</v>
      </c>
      <c r="AB870">
        <v>24.91</v>
      </c>
    </row>
    <row r="871" spans="27:28" x14ac:dyDescent="0.25">
      <c r="AA871" s="89">
        <v>45083</v>
      </c>
      <c r="AB871">
        <v>24.91</v>
      </c>
    </row>
    <row r="872" spans="27:28" x14ac:dyDescent="0.25">
      <c r="AA872" s="89">
        <v>45083.041666666664</v>
      </c>
      <c r="AB872">
        <v>24.91</v>
      </c>
    </row>
    <row r="873" spans="27:28" x14ac:dyDescent="0.25">
      <c r="AA873" s="89">
        <v>45083.083333333336</v>
      </c>
      <c r="AB873">
        <v>24.91</v>
      </c>
    </row>
    <row r="874" spans="27:28" x14ac:dyDescent="0.25">
      <c r="AA874" s="89">
        <v>45083.125</v>
      </c>
      <c r="AB874">
        <v>24.91</v>
      </c>
    </row>
    <row r="875" spans="27:28" x14ac:dyDescent="0.25">
      <c r="AA875" s="89">
        <v>45083.166666666664</v>
      </c>
      <c r="AB875">
        <v>24.91</v>
      </c>
    </row>
    <row r="876" spans="27:28" x14ac:dyDescent="0.25">
      <c r="AA876" s="89">
        <v>45083.208333333336</v>
      </c>
      <c r="AB876">
        <v>24.91</v>
      </c>
    </row>
    <row r="877" spans="27:28" x14ac:dyDescent="0.25">
      <c r="AA877" s="89">
        <v>45083.25</v>
      </c>
      <c r="AB877">
        <v>24.91</v>
      </c>
    </row>
    <row r="878" spans="27:28" x14ac:dyDescent="0.25">
      <c r="AA878" s="89">
        <v>45083.291666666664</v>
      </c>
      <c r="AB878">
        <v>24.91</v>
      </c>
    </row>
    <row r="879" spans="27:28" x14ac:dyDescent="0.25">
      <c r="AA879" s="89">
        <v>45083.333333333336</v>
      </c>
      <c r="AB879">
        <v>24.91</v>
      </c>
    </row>
    <row r="880" spans="27:28" x14ac:dyDescent="0.25">
      <c r="AA880" s="89">
        <v>45083.375</v>
      </c>
      <c r="AB880">
        <v>24.91</v>
      </c>
    </row>
    <row r="881" spans="27:28" x14ac:dyDescent="0.25">
      <c r="AA881" s="89">
        <v>45083.416666666664</v>
      </c>
      <c r="AB881">
        <v>24.91</v>
      </c>
    </row>
    <row r="882" spans="27:28" x14ac:dyDescent="0.25">
      <c r="AA882" s="89">
        <v>45083.458333333336</v>
      </c>
      <c r="AB882">
        <v>24.91</v>
      </c>
    </row>
    <row r="883" spans="27:28" x14ac:dyDescent="0.25">
      <c r="AA883" s="89">
        <v>45083.5</v>
      </c>
      <c r="AB883">
        <v>24.92</v>
      </c>
    </row>
    <row r="884" spans="27:28" x14ac:dyDescent="0.25">
      <c r="AA884" s="89">
        <v>45083.541666666664</v>
      </c>
      <c r="AB884">
        <v>24.92</v>
      </c>
    </row>
    <row r="885" spans="27:28" x14ac:dyDescent="0.25">
      <c r="AA885" s="89">
        <v>45083.583333333336</v>
      </c>
      <c r="AB885">
        <v>24.92</v>
      </c>
    </row>
    <row r="886" spans="27:28" x14ac:dyDescent="0.25">
      <c r="AA886" s="89">
        <v>45083.625</v>
      </c>
      <c r="AB886">
        <v>24.91</v>
      </c>
    </row>
    <row r="887" spans="27:28" x14ac:dyDescent="0.25">
      <c r="AA887" s="89">
        <v>45083.666666666664</v>
      </c>
      <c r="AB887">
        <v>24.92</v>
      </c>
    </row>
    <row r="888" spans="27:28" x14ac:dyDescent="0.25">
      <c r="AA888" s="89">
        <v>45083.708333333336</v>
      </c>
      <c r="AB888">
        <v>24.92</v>
      </c>
    </row>
    <row r="889" spans="27:28" x14ac:dyDescent="0.25">
      <c r="AA889" s="89">
        <v>45083.75</v>
      </c>
      <c r="AB889">
        <v>24.92</v>
      </c>
    </row>
    <row r="890" spans="27:28" x14ac:dyDescent="0.25">
      <c r="AA890" s="89">
        <v>45083.791666666664</v>
      </c>
      <c r="AB890">
        <v>24.92</v>
      </c>
    </row>
    <row r="891" spans="27:28" x14ac:dyDescent="0.25">
      <c r="AA891" s="89">
        <v>45083.833333333336</v>
      </c>
      <c r="AB891">
        <v>24.91</v>
      </c>
    </row>
    <row r="892" spans="27:28" x14ac:dyDescent="0.25">
      <c r="AA892" s="89">
        <v>45083.875</v>
      </c>
      <c r="AB892">
        <v>24.92</v>
      </c>
    </row>
    <row r="893" spans="27:28" x14ac:dyDescent="0.25">
      <c r="AA893" s="89">
        <v>45083.916666666664</v>
      </c>
      <c r="AB893">
        <v>24.91</v>
      </c>
    </row>
    <row r="894" spans="27:28" x14ac:dyDescent="0.25">
      <c r="AA894" s="89">
        <v>45083.958333333336</v>
      </c>
      <c r="AB894">
        <v>24.92</v>
      </c>
    </row>
    <row r="895" spans="27:28" x14ac:dyDescent="0.25">
      <c r="AA895" s="89">
        <v>45084</v>
      </c>
      <c r="AB895">
        <v>24.92</v>
      </c>
    </row>
    <row r="896" spans="27:28" x14ac:dyDescent="0.25">
      <c r="AA896" s="89">
        <v>45084.041666666664</v>
      </c>
      <c r="AB896">
        <v>24.92</v>
      </c>
    </row>
    <row r="897" spans="27:28" x14ac:dyDescent="0.25">
      <c r="AA897" s="89">
        <v>45084.083333333336</v>
      </c>
      <c r="AB897">
        <v>24.92</v>
      </c>
    </row>
    <row r="898" spans="27:28" x14ac:dyDescent="0.25">
      <c r="AA898" s="89">
        <v>45084.125</v>
      </c>
      <c r="AB898">
        <v>24.92</v>
      </c>
    </row>
    <row r="899" spans="27:28" x14ac:dyDescent="0.25">
      <c r="AA899" s="89">
        <v>45084.166666666664</v>
      </c>
      <c r="AB899">
        <v>24.92</v>
      </c>
    </row>
    <row r="900" spans="27:28" x14ac:dyDescent="0.25">
      <c r="AA900" s="89">
        <v>45084.208333333336</v>
      </c>
      <c r="AB900">
        <v>24.92</v>
      </c>
    </row>
    <row r="901" spans="27:28" x14ac:dyDescent="0.25">
      <c r="AA901" s="89">
        <v>45084.25</v>
      </c>
      <c r="AB901">
        <v>24.92</v>
      </c>
    </row>
    <row r="902" spans="27:28" x14ac:dyDescent="0.25">
      <c r="AA902" s="89">
        <v>45084.291666666664</v>
      </c>
      <c r="AB902">
        <v>24.92</v>
      </c>
    </row>
    <row r="903" spans="27:28" x14ac:dyDescent="0.25">
      <c r="AA903" s="89">
        <v>45084.333333333336</v>
      </c>
      <c r="AB903">
        <v>24.92</v>
      </c>
    </row>
    <row r="904" spans="27:28" x14ac:dyDescent="0.25">
      <c r="AA904" s="89">
        <v>45084.375</v>
      </c>
      <c r="AB904">
        <v>24.92</v>
      </c>
    </row>
    <row r="905" spans="27:28" x14ac:dyDescent="0.25">
      <c r="AA905" s="89">
        <v>45084.416666666664</v>
      </c>
      <c r="AB905">
        <v>24.92</v>
      </c>
    </row>
    <row r="906" spans="27:28" x14ac:dyDescent="0.25">
      <c r="AA906" s="89">
        <v>45084.458333333336</v>
      </c>
      <c r="AB906">
        <v>24.92</v>
      </c>
    </row>
    <row r="907" spans="27:28" x14ac:dyDescent="0.25">
      <c r="AA907" s="89">
        <v>45084.5</v>
      </c>
      <c r="AB907">
        <v>24.92</v>
      </c>
    </row>
    <row r="908" spans="27:28" x14ac:dyDescent="0.25">
      <c r="AA908" s="89">
        <v>45084.541666666664</v>
      </c>
      <c r="AB908">
        <v>24.92</v>
      </c>
    </row>
    <row r="909" spans="27:28" x14ac:dyDescent="0.25">
      <c r="AA909" s="89">
        <v>45084.583333333336</v>
      </c>
      <c r="AB909">
        <v>24.92</v>
      </c>
    </row>
    <row r="910" spans="27:28" x14ac:dyDescent="0.25">
      <c r="AA910" s="89">
        <v>45084.625</v>
      </c>
      <c r="AB910">
        <v>24.92</v>
      </c>
    </row>
    <row r="911" spans="27:28" x14ac:dyDescent="0.25">
      <c r="AA911" s="89">
        <v>45084.666666666664</v>
      </c>
      <c r="AB911">
        <v>24.92</v>
      </c>
    </row>
    <row r="912" spans="27:28" x14ac:dyDescent="0.25">
      <c r="AA912" s="89">
        <v>45084.708333333336</v>
      </c>
      <c r="AB912">
        <v>24.93</v>
      </c>
    </row>
    <row r="913" spans="27:28" x14ac:dyDescent="0.25">
      <c r="AA913" s="89">
        <v>45084.75</v>
      </c>
      <c r="AB913">
        <v>24.93</v>
      </c>
    </row>
    <row r="914" spans="27:28" x14ac:dyDescent="0.25">
      <c r="AA914" s="89">
        <v>45084.791666666664</v>
      </c>
      <c r="AB914">
        <v>24.93</v>
      </c>
    </row>
    <row r="915" spans="27:28" x14ac:dyDescent="0.25">
      <c r="AA915" s="89">
        <v>45084.833333333336</v>
      </c>
      <c r="AB915">
        <v>24.93</v>
      </c>
    </row>
    <row r="916" spans="27:28" x14ac:dyDescent="0.25">
      <c r="AA916" s="89">
        <v>45084.875</v>
      </c>
      <c r="AB916">
        <v>24.93</v>
      </c>
    </row>
    <row r="917" spans="27:28" x14ac:dyDescent="0.25">
      <c r="AA917" s="89">
        <v>45084.916666666664</v>
      </c>
      <c r="AB917">
        <v>24.93</v>
      </c>
    </row>
    <row r="918" spans="27:28" x14ac:dyDescent="0.25">
      <c r="AA918" s="89">
        <v>45084.958333333336</v>
      </c>
      <c r="AB918">
        <v>24.93</v>
      </c>
    </row>
    <row r="919" spans="27:28" x14ac:dyDescent="0.25">
      <c r="AA919" s="89">
        <v>45085</v>
      </c>
      <c r="AB919">
        <v>24.93</v>
      </c>
    </row>
    <row r="920" spans="27:28" x14ac:dyDescent="0.25">
      <c r="AA920" s="89">
        <v>45085.041666666664</v>
      </c>
      <c r="AB920">
        <v>24.93</v>
      </c>
    </row>
    <row r="921" spans="27:28" x14ac:dyDescent="0.25">
      <c r="AA921" s="89">
        <v>45085.083333333336</v>
      </c>
      <c r="AB921">
        <v>24.93</v>
      </c>
    </row>
    <row r="922" spans="27:28" x14ac:dyDescent="0.25">
      <c r="AA922" s="89">
        <v>45085.125</v>
      </c>
      <c r="AB922">
        <v>24.93</v>
      </c>
    </row>
    <row r="923" spans="27:28" x14ac:dyDescent="0.25">
      <c r="AA923" s="89">
        <v>45085.166666666664</v>
      </c>
      <c r="AB923">
        <v>24.93</v>
      </c>
    </row>
    <row r="924" spans="27:28" x14ac:dyDescent="0.25">
      <c r="AA924" s="89">
        <v>45085.208333333336</v>
      </c>
      <c r="AB924">
        <v>24.93</v>
      </c>
    </row>
    <row r="925" spans="27:28" x14ac:dyDescent="0.25">
      <c r="AA925" s="89">
        <v>45085.25</v>
      </c>
      <c r="AB925">
        <v>24.93</v>
      </c>
    </row>
    <row r="926" spans="27:28" x14ac:dyDescent="0.25">
      <c r="AA926" s="89">
        <v>45085.291666666664</v>
      </c>
      <c r="AB926">
        <v>24.93</v>
      </c>
    </row>
    <row r="927" spans="27:28" x14ac:dyDescent="0.25">
      <c r="AA927" s="89">
        <v>45085.333333333336</v>
      </c>
      <c r="AB927">
        <v>24.93</v>
      </c>
    </row>
    <row r="928" spans="27:28" x14ac:dyDescent="0.25">
      <c r="AA928" s="89">
        <v>45085.375</v>
      </c>
      <c r="AB928">
        <v>24.93</v>
      </c>
    </row>
    <row r="929" spans="27:28" x14ac:dyDescent="0.25">
      <c r="AA929" s="89">
        <v>45085.416666666664</v>
      </c>
      <c r="AB929">
        <v>24.93</v>
      </c>
    </row>
    <row r="930" spans="27:28" x14ac:dyDescent="0.25">
      <c r="AA930" s="89">
        <v>45085.458333333336</v>
      </c>
      <c r="AB930">
        <v>24.94</v>
      </c>
    </row>
    <row r="931" spans="27:28" x14ac:dyDescent="0.25">
      <c r="AA931" s="89">
        <v>45085.5</v>
      </c>
      <c r="AB931">
        <v>24.94</v>
      </c>
    </row>
    <row r="932" spans="27:28" x14ac:dyDescent="0.25">
      <c r="AA932" s="89">
        <v>45085.541666666664</v>
      </c>
      <c r="AB932">
        <v>24.93</v>
      </c>
    </row>
    <row r="933" spans="27:28" x14ac:dyDescent="0.25">
      <c r="AA933" s="89">
        <v>45085.583333333336</v>
      </c>
      <c r="AB933">
        <v>24.94</v>
      </c>
    </row>
    <row r="934" spans="27:28" x14ac:dyDescent="0.25">
      <c r="AA934" s="89">
        <v>45085.625</v>
      </c>
      <c r="AB934">
        <v>24.94</v>
      </c>
    </row>
    <row r="935" spans="27:28" x14ac:dyDescent="0.25">
      <c r="AA935" s="89">
        <v>45085.666666666664</v>
      </c>
      <c r="AB935">
        <v>24.94</v>
      </c>
    </row>
    <row r="936" spans="27:28" x14ac:dyDescent="0.25">
      <c r="AA936" s="89">
        <v>45085.708333333336</v>
      </c>
      <c r="AB936">
        <v>24.94</v>
      </c>
    </row>
    <row r="937" spans="27:28" x14ac:dyDescent="0.25">
      <c r="AA937" s="89">
        <v>45085.75</v>
      </c>
      <c r="AB937">
        <v>24.94</v>
      </c>
    </row>
    <row r="938" spans="27:28" x14ac:dyDescent="0.25">
      <c r="AA938" s="89">
        <v>45085.791666666664</v>
      </c>
      <c r="AB938">
        <v>24.94</v>
      </c>
    </row>
    <row r="939" spans="27:28" x14ac:dyDescent="0.25">
      <c r="AA939" s="89">
        <v>45085.833333333336</v>
      </c>
      <c r="AB939">
        <v>24.94</v>
      </c>
    </row>
    <row r="940" spans="27:28" x14ac:dyDescent="0.25">
      <c r="AA940" s="89">
        <v>45085.875</v>
      </c>
      <c r="AB940">
        <v>24.94</v>
      </c>
    </row>
    <row r="941" spans="27:28" x14ac:dyDescent="0.25">
      <c r="AA941" s="89">
        <v>45085.916666666664</v>
      </c>
      <c r="AB941">
        <v>24.95</v>
      </c>
    </row>
    <row r="942" spans="27:28" x14ac:dyDescent="0.25">
      <c r="AA942" s="89">
        <v>45085.958333333336</v>
      </c>
      <c r="AB942">
        <v>24.94</v>
      </c>
    </row>
    <row r="943" spans="27:28" x14ac:dyDescent="0.25">
      <c r="AA943" s="89">
        <v>45086</v>
      </c>
      <c r="AB943">
        <v>24.95</v>
      </c>
    </row>
    <row r="944" spans="27:28" x14ac:dyDescent="0.25">
      <c r="AA944" s="89">
        <v>45086.041666666664</v>
      </c>
      <c r="AB944">
        <v>24.94</v>
      </c>
    </row>
    <row r="945" spans="27:28" x14ac:dyDescent="0.25">
      <c r="AA945" s="89">
        <v>45086.083333333336</v>
      </c>
      <c r="AB945">
        <v>24.94</v>
      </c>
    </row>
    <row r="946" spans="27:28" x14ac:dyDescent="0.25">
      <c r="AA946" s="89">
        <v>45086.125</v>
      </c>
      <c r="AB946">
        <v>24.95</v>
      </c>
    </row>
    <row r="947" spans="27:28" x14ac:dyDescent="0.25">
      <c r="AA947" s="89">
        <v>45086.166666666664</v>
      </c>
      <c r="AB947">
        <v>24.94</v>
      </c>
    </row>
    <row r="948" spans="27:28" x14ac:dyDescent="0.25">
      <c r="AA948" s="89">
        <v>45086.208333333336</v>
      </c>
      <c r="AB948">
        <v>24.95</v>
      </c>
    </row>
    <row r="949" spans="27:28" x14ac:dyDescent="0.25">
      <c r="AA949" s="89">
        <v>45086.25</v>
      </c>
      <c r="AB949">
        <v>24.95</v>
      </c>
    </row>
    <row r="950" spans="27:28" x14ac:dyDescent="0.25">
      <c r="AA950" s="89">
        <v>45086.291666666664</v>
      </c>
      <c r="AB950">
        <v>24.95</v>
      </c>
    </row>
    <row r="951" spans="27:28" x14ac:dyDescent="0.25">
      <c r="AA951" s="89">
        <v>45086.333333333336</v>
      </c>
      <c r="AB951">
        <v>24.95</v>
      </c>
    </row>
    <row r="952" spans="27:28" x14ac:dyDescent="0.25">
      <c r="AA952" s="89">
        <v>45086.375</v>
      </c>
      <c r="AB952">
        <v>24.95</v>
      </c>
    </row>
    <row r="953" spans="27:28" x14ac:dyDescent="0.25">
      <c r="AA953" s="89">
        <v>45086.416666666664</v>
      </c>
      <c r="AB953">
        <v>24.95</v>
      </c>
    </row>
    <row r="954" spans="27:28" x14ac:dyDescent="0.25">
      <c r="AA954" s="89">
        <v>45086.458333333336</v>
      </c>
      <c r="AB954">
        <v>24.95</v>
      </c>
    </row>
    <row r="955" spans="27:28" x14ac:dyDescent="0.25">
      <c r="AA955" s="89">
        <v>45086.5</v>
      </c>
      <c r="AB955">
        <v>24.95</v>
      </c>
    </row>
    <row r="956" spans="27:28" x14ac:dyDescent="0.25">
      <c r="AA956" s="89">
        <v>45086.541666666664</v>
      </c>
      <c r="AB956">
        <v>24.96</v>
      </c>
    </row>
    <row r="957" spans="27:28" x14ac:dyDescent="0.25">
      <c r="AA957" s="89">
        <v>45086.583333333336</v>
      </c>
      <c r="AB957">
        <v>24.96</v>
      </c>
    </row>
    <row r="958" spans="27:28" x14ac:dyDescent="0.25">
      <c r="AA958" s="89">
        <v>45086.625</v>
      </c>
      <c r="AB958">
        <v>24.96</v>
      </c>
    </row>
    <row r="959" spans="27:28" x14ac:dyDescent="0.25">
      <c r="AA959" s="89">
        <v>45086.666666666664</v>
      </c>
      <c r="AB959">
        <v>24.96</v>
      </c>
    </row>
    <row r="960" spans="27:28" x14ac:dyDescent="0.25">
      <c r="AA960" s="89">
        <v>45086.708333333336</v>
      </c>
      <c r="AB960">
        <v>24.96</v>
      </c>
    </row>
    <row r="961" spans="27:28" x14ac:dyDescent="0.25">
      <c r="AA961" s="89">
        <v>45086.75</v>
      </c>
      <c r="AB961">
        <v>24.96</v>
      </c>
    </row>
    <row r="962" spans="27:28" x14ac:dyDescent="0.25">
      <c r="AA962" s="89">
        <v>45086.791666666664</v>
      </c>
      <c r="AB962">
        <v>24.96</v>
      </c>
    </row>
    <row r="963" spans="27:28" x14ac:dyDescent="0.25">
      <c r="AA963" s="89">
        <v>45086.833333333336</v>
      </c>
      <c r="AB963">
        <v>24.96</v>
      </c>
    </row>
    <row r="964" spans="27:28" x14ac:dyDescent="0.25">
      <c r="AA964" s="89">
        <v>45086.875</v>
      </c>
      <c r="AB964">
        <v>24.96</v>
      </c>
    </row>
    <row r="965" spans="27:28" x14ac:dyDescent="0.25">
      <c r="AA965" s="89">
        <v>45086.916666666664</v>
      </c>
      <c r="AB965">
        <v>24.96</v>
      </c>
    </row>
    <row r="966" spans="27:28" x14ac:dyDescent="0.25">
      <c r="AA966" s="89">
        <v>45086.958333333336</v>
      </c>
      <c r="AB966">
        <v>24.96</v>
      </c>
    </row>
    <row r="967" spans="27:28" x14ac:dyDescent="0.25">
      <c r="AA967" s="89">
        <v>45087</v>
      </c>
      <c r="AB967">
        <v>24.97</v>
      </c>
    </row>
    <row r="968" spans="27:28" x14ac:dyDescent="0.25">
      <c r="AA968" s="89">
        <v>45087.041666666664</v>
      </c>
      <c r="AB968">
        <v>24.97</v>
      </c>
    </row>
    <row r="969" spans="27:28" x14ac:dyDescent="0.25">
      <c r="AA969" s="89">
        <v>45087.083333333336</v>
      </c>
      <c r="AB969">
        <v>24.97</v>
      </c>
    </row>
    <row r="970" spans="27:28" x14ac:dyDescent="0.25">
      <c r="AA970" s="89">
        <v>45087.125</v>
      </c>
      <c r="AB970">
        <v>24.97</v>
      </c>
    </row>
    <row r="971" spans="27:28" x14ac:dyDescent="0.25">
      <c r="AA971" s="89">
        <v>45087.166666666664</v>
      </c>
      <c r="AB971">
        <v>24.97</v>
      </c>
    </row>
    <row r="972" spans="27:28" x14ac:dyDescent="0.25">
      <c r="AA972" s="89">
        <v>45087.208333333336</v>
      </c>
      <c r="AB972">
        <v>24.98</v>
      </c>
    </row>
    <row r="973" spans="27:28" x14ac:dyDescent="0.25">
      <c r="AA973" s="89">
        <v>45087.25</v>
      </c>
      <c r="AB973">
        <v>24.98</v>
      </c>
    </row>
    <row r="974" spans="27:28" x14ac:dyDescent="0.25">
      <c r="AA974" s="89">
        <v>45087.291666666664</v>
      </c>
      <c r="AB974">
        <v>24.98</v>
      </c>
    </row>
    <row r="975" spans="27:28" x14ac:dyDescent="0.25">
      <c r="AA975" s="89">
        <v>45087.333333333336</v>
      </c>
      <c r="AB975">
        <v>24.98</v>
      </c>
    </row>
    <row r="976" spans="27:28" x14ac:dyDescent="0.25">
      <c r="AA976" s="89">
        <v>45087.375</v>
      </c>
      <c r="AB976">
        <v>24.98</v>
      </c>
    </row>
    <row r="977" spans="27:28" x14ac:dyDescent="0.25">
      <c r="AA977" s="89">
        <v>45087.416666666664</v>
      </c>
      <c r="AB977">
        <v>24.98</v>
      </c>
    </row>
    <row r="978" spans="27:28" x14ac:dyDescent="0.25">
      <c r="AA978" s="89">
        <v>45087.458333333336</v>
      </c>
      <c r="AB978">
        <v>24.99</v>
      </c>
    </row>
    <row r="979" spans="27:28" x14ac:dyDescent="0.25">
      <c r="AA979" s="89">
        <v>45087.5</v>
      </c>
      <c r="AB979">
        <v>24.99</v>
      </c>
    </row>
    <row r="980" spans="27:28" x14ac:dyDescent="0.25">
      <c r="AA980" s="89">
        <v>45087.541666666664</v>
      </c>
      <c r="AB980">
        <v>24.99</v>
      </c>
    </row>
    <row r="981" spans="27:28" x14ac:dyDescent="0.25">
      <c r="AA981" s="89">
        <v>45087.583333333336</v>
      </c>
      <c r="AB981">
        <v>24.99</v>
      </c>
    </row>
    <row r="982" spans="27:28" x14ac:dyDescent="0.25">
      <c r="AA982" s="89">
        <v>45087.625</v>
      </c>
      <c r="AB982">
        <v>24.99</v>
      </c>
    </row>
    <row r="983" spans="27:28" x14ac:dyDescent="0.25">
      <c r="AA983" s="89">
        <v>45087.666666666664</v>
      </c>
      <c r="AB983">
        <v>25</v>
      </c>
    </row>
    <row r="984" spans="27:28" x14ac:dyDescent="0.25">
      <c r="AA984" s="89">
        <v>45087.708333333336</v>
      </c>
      <c r="AB984">
        <v>25</v>
      </c>
    </row>
    <row r="985" spans="27:28" x14ac:dyDescent="0.25">
      <c r="AA985" s="89">
        <v>45087.75</v>
      </c>
      <c r="AB985">
        <v>25</v>
      </c>
    </row>
    <row r="986" spans="27:28" x14ac:dyDescent="0.25">
      <c r="AA986" s="89">
        <v>45087.791666666664</v>
      </c>
      <c r="AB986">
        <v>25</v>
      </c>
    </row>
    <row r="987" spans="27:28" x14ac:dyDescent="0.25">
      <c r="AA987" s="89">
        <v>45087.833333333336</v>
      </c>
      <c r="AB987">
        <v>25</v>
      </c>
    </row>
    <row r="988" spans="27:28" x14ac:dyDescent="0.25">
      <c r="AA988" s="89">
        <v>45087.875</v>
      </c>
      <c r="AB988">
        <v>25</v>
      </c>
    </row>
    <row r="989" spans="27:28" x14ac:dyDescent="0.25">
      <c r="AA989" s="89">
        <v>45087.916666666664</v>
      </c>
      <c r="AB989">
        <v>25</v>
      </c>
    </row>
    <row r="990" spans="27:28" x14ac:dyDescent="0.25">
      <c r="AA990" s="89">
        <v>45087.958333333336</v>
      </c>
      <c r="AB990">
        <v>25.01</v>
      </c>
    </row>
    <row r="991" spans="27:28" x14ac:dyDescent="0.25">
      <c r="AA991" s="89">
        <v>45088</v>
      </c>
      <c r="AB991">
        <v>25</v>
      </c>
    </row>
    <row r="992" spans="27:28" x14ac:dyDescent="0.25">
      <c r="AA992" s="89">
        <v>45088.041666666664</v>
      </c>
      <c r="AB992">
        <v>25.01</v>
      </c>
    </row>
    <row r="993" spans="27:28" x14ac:dyDescent="0.25">
      <c r="AA993" s="89">
        <v>45088.083333333336</v>
      </c>
      <c r="AB993">
        <v>25.01</v>
      </c>
    </row>
    <row r="994" spans="27:28" x14ac:dyDescent="0.25">
      <c r="AA994" s="89">
        <v>45088.125</v>
      </c>
      <c r="AB994">
        <v>25.01</v>
      </c>
    </row>
    <row r="995" spans="27:28" x14ac:dyDescent="0.25">
      <c r="AA995" s="89">
        <v>45088.166666666664</v>
      </c>
      <c r="AB995">
        <v>25.02</v>
      </c>
    </row>
    <row r="996" spans="27:28" x14ac:dyDescent="0.25">
      <c r="AA996" s="89">
        <v>45088.208333333336</v>
      </c>
      <c r="AB996">
        <v>25.01</v>
      </c>
    </row>
    <row r="997" spans="27:28" x14ac:dyDescent="0.25">
      <c r="AA997" s="89">
        <v>45088.25</v>
      </c>
      <c r="AB997">
        <v>25.01</v>
      </c>
    </row>
    <row r="998" spans="27:28" x14ac:dyDescent="0.25">
      <c r="AA998" s="89">
        <v>45088.291666666664</v>
      </c>
      <c r="AB998">
        <v>25.02</v>
      </c>
    </row>
    <row r="999" spans="27:28" x14ac:dyDescent="0.25">
      <c r="AA999" s="89">
        <v>45088.333333333336</v>
      </c>
      <c r="AB999">
        <v>25.02</v>
      </c>
    </row>
    <row r="1000" spans="27:28" x14ac:dyDescent="0.25">
      <c r="AA1000" s="89">
        <v>45088.375</v>
      </c>
      <c r="AB1000">
        <v>25.02</v>
      </c>
    </row>
    <row r="1001" spans="27:28" x14ac:dyDescent="0.25">
      <c r="AA1001" s="89">
        <v>45088.416666666664</v>
      </c>
      <c r="AB1001">
        <v>25.03</v>
      </c>
    </row>
    <row r="1002" spans="27:28" x14ac:dyDescent="0.25">
      <c r="AA1002" s="89">
        <v>45088.458333333336</v>
      </c>
      <c r="AB1002">
        <v>25.03</v>
      </c>
    </row>
    <row r="1003" spans="27:28" x14ac:dyDescent="0.25">
      <c r="AA1003" s="89">
        <v>45088.5</v>
      </c>
      <c r="AB1003">
        <v>25.03</v>
      </c>
    </row>
    <row r="1004" spans="27:28" x14ac:dyDescent="0.25">
      <c r="AA1004" s="89">
        <v>45088.541666666664</v>
      </c>
      <c r="AB1004">
        <v>25.03</v>
      </c>
    </row>
    <row r="1005" spans="27:28" x14ac:dyDescent="0.25">
      <c r="AA1005" s="89">
        <v>45088.583333333336</v>
      </c>
      <c r="AB1005">
        <v>25.04</v>
      </c>
    </row>
    <row r="1006" spans="27:28" x14ac:dyDescent="0.25">
      <c r="AA1006" s="89">
        <v>45088.625</v>
      </c>
      <c r="AB1006">
        <v>25.03</v>
      </c>
    </row>
    <row r="1007" spans="27:28" x14ac:dyDescent="0.25">
      <c r="AA1007" s="89">
        <v>45088.666666666664</v>
      </c>
      <c r="AB1007">
        <v>25.04</v>
      </c>
    </row>
    <row r="1008" spans="27:28" x14ac:dyDescent="0.25">
      <c r="AA1008" s="89">
        <v>45088.708333333336</v>
      </c>
      <c r="AB1008">
        <v>25.03</v>
      </c>
    </row>
    <row r="1009" spans="27:28" x14ac:dyDescent="0.25">
      <c r="AA1009" s="89">
        <v>45088.75</v>
      </c>
      <c r="AB1009">
        <v>25.04</v>
      </c>
    </row>
    <row r="1010" spans="27:28" x14ac:dyDescent="0.25">
      <c r="AA1010" s="89">
        <v>45088.791666666664</v>
      </c>
      <c r="AB1010">
        <v>25.04</v>
      </c>
    </row>
    <row r="1011" spans="27:28" x14ac:dyDescent="0.25">
      <c r="AA1011" s="89">
        <v>45088.833333333336</v>
      </c>
      <c r="AB1011">
        <v>25.04</v>
      </c>
    </row>
    <row r="1012" spans="27:28" x14ac:dyDescent="0.25">
      <c r="AA1012" s="89">
        <v>45088.875</v>
      </c>
      <c r="AB1012">
        <v>25.04</v>
      </c>
    </row>
    <row r="1013" spans="27:28" x14ac:dyDescent="0.25">
      <c r="AA1013" s="89">
        <v>45088.916666666664</v>
      </c>
      <c r="AB1013">
        <v>25.04</v>
      </c>
    </row>
    <row r="1014" spans="27:28" x14ac:dyDescent="0.25">
      <c r="AA1014" s="89">
        <v>45088.958333333336</v>
      </c>
      <c r="AB1014">
        <v>25.04</v>
      </c>
    </row>
    <row r="1015" spans="27:28" x14ac:dyDescent="0.25">
      <c r="AA1015" s="89">
        <v>45089</v>
      </c>
      <c r="AB1015">
        <v>25.05</v>
      </c>
    </row>
    <row r="1016" spans="27:28" x14ac:dyDescent="0.25">
      <c r="AA1016" s="89">
        <v>45089.041666666664</v>
      </c>
      <c r="AB1016">
        <v>25.05</v>
      </c>
    </row>
    <row r="1017" spans="27:28" x14ac:dyDescent="0.25">
      <c r="AA1017" s="89">
        <v>45089.083333333336</v>
      </c>
      <c r="AB1017">
        <v>25.05</v>
      </c>
    </row>
    <row r="1018" spans="27:28" x14ac:dyDescent="0.25">
      <c r="AA1018" s="89">
        <v>45089.125</v>
      </c>
      <c r="AB1018">
        <v>25.05</v>
      </c>
    </row>
    <row r="1019" spans="27:28" x14ac:dyDescent="0.25">
      <c r="AA1019" s="89">
        <v>45089.166666666664</v>
      </c>
      <c r="AB1019">
        <v>25.05</v>
      </c>
    </row>
    <row r="1020" spans="27:28" x14ac:dyDescent="0.25">
      <c r="AA1020" s="89">
        <v>45089.208333333336</v>
      </c>
      <c r="AB1020">
        <v>25.05</v>
      </c>
    </row>
    <row r="1021" spans="27:28" x14ac:dyDescent="0.25">
      <c r="AA1021" s="89">
        <v>45089.25</v>
      </c>
      <c r="AB1021">
        <v>25.05</v>
      </c>
    </row>
    <row r="1022" spans="27:28" x14ac:dyDescent="0.25">
      <c r="AA1022" s="89">
        <v>45089.291666666664</v>
      </c>
      <c r="AB1022">
        <v>25.06</v>
      </c>
    </row>
    <row r="1023" spans="27:28" x14ac:dyDescent="0.25">
      <c r="AA1023" s="89">
        <v>45089.333333333336</v>
      </c>
      <c r="AB1023">
        <v>25.06</v>
      </c>
    </row>
    <row r="1024" spans="27:28" x14ac:dyDescent="0.25">
      <c r="AA1024" s="89">
        <v>45089.375</v>
      </c>
      <c r="AB1024">
        <v>25.06</v>
      </c>
    </row>
    <row r="1025" spans="27:28" x14ac:dyDescent="0.25">
      <c r="AA1025" s="89">
        <v>45089.416666666664</v>
      </c>
      <c r="AB1025">
        <v>25.06</v>
      </c>
    </row>
    <row r="1026" spans="27:28" x14ac:dyDescent="0.25">
      <c r="AA1026" s="89">
        <v>45089.458333333336</v>
      </c>
      <c r="AB1026">
        <v>25.06</v>
      </c>
    </row>
    <row r="1027" spans="27:28" x14ac:dyDescent="0.25">
      <c r="AA1027" s="89">
        <v>45089.5</v>
      </c>
      <c r="AB1027">
        <v>25.07</v>
      </c>
    </row>
    <row r="1028" spans="27:28" x14ac:dyDescent="0.25">
      <c r="AA1028" s="89">
        <v>45089.541666666664</v>
      </c>
      <c r="AB1028">
        <v>25.06</v>
      </c>
    </row>
    <row r="1029" spans="27:28" x14ac:dyDescent="0.25">
      <c r="AA1029" s="89">
        <v>45089.583333333336</v>
      </c>
      <c r="AB1029">
        <v>25.07</v>
      </c>
    </row>
    <row r="1030" spans="27:28" x14ac:dyDescent="0.25">
      <c r="AA1030" s="89">
        <v>45089.625</v>
      </c>
      <c r="AB1030">
        <v>25.07</v>
      </c>
    </row>
    <row r="1031" spans="27:28" x14ac:dyDescent="0.25">
      <c r="AA1031" s="89">
        <v>45089.666666666664</v>
      </c>
      <c r="AB1031">
        <v>25.08</v>
      </c>
    </row>
    <row r="1032" spans="27:28" x14ac:dyDescent="0.25">
      <c r="AA1032" s="89">
        <v>45089.708333333336</v>
      </c>
      <c r="AB1032">
        <v>25.07</v>
      </c>
    </row>
    <row r="1033" spans="27:28" x14ac:dyDescent="0.25">
      <c r="AA1033" s="89">
        <v>45089.75</v>
      </c>
      <c r="AB1033">
        <v>25.08</v>
      </c>
    </row>
    <row r="1034" spans="27:28" x14ac:dyDescent="0.25">
      <c r="AA1034" s="89">
        <v>45089.791666666664</v>
      </c>
      <c r="AB1034">
        <v>25.08</v>
      </c>
    </row>
    <row r="1035" spans="27:28" x14ac:dyDescent="0.25">
      <c r="AA1035" s="89">
        <v>45089.833333333336</v>
      </c>
      <c r="AB1035">
        <v>25.08</v>
      </c>
    </row>
    <row r="1036" spans="27:28" x14ac:dyDescent="0.25">
      <c r="AA1036" s="89">
        <v>45089.875</v>
      </c>
      <c r="AB1036">
        <v>25.09</v>
      </c>
    </row>
    <row r="1037" spans="27:28" x14ac:dyDescent="0.25">
      <c r="AA1037" s="89">
        <v>45089.916666666664</v>
      </c>
      <c r="AB1037">
        <v>25.09</v>
      </c>
    </row>
    <row r="1038" spans="27:28" x14ac:dyDescent="0.25">
      <c r="AA1038" s="89">
        <v>45089.958333333336</v>
      </c>
      <c r="AB1038">
        <v>25.09</v>
      </c>
    </row>
    <row r="1039" spans="27:28" x14ac:dyDescent="0.25">
      <c r="AA1039" s="89">
        <v>45090</v>
      </c>
      <c r="AB1039">
        <v>25.09</v>
      </c>
    </row>
    <row r="1040" spans="27:28" x14ac:dyDescent="0.25">
      <c r="AA1040" s="89">
        <v>45090.041666666664</v>
      </c>
      <c r="AB1040">
        <v>25.1</v>
      </c>
    </row>
    <row r="1041" spans="27:28" x14ac:dyDescent="0.25">
      <c r="AA1041" s="89">
        <v>45090.083333333336</v>
      </c>
      <c r="AB1041">
        <v>25.1</v>
      </c>
    </row>
    <row r="1042" spans="27:28" x14ac:dyDescent="0.25">
      <c r="AA1042" s="89">
        <v>45090.125</v>
      </c>
      <c r="AB1042">
        <v>25.11</v>
      </c>
    </row>
    <row r="1043" spans="27:28" x14ac:dyDescent="0.25">
      <c r="AA1043" s="89">
        <v>45090.166666666664</v>
      </c>
      <c r="AB1043">
        <v>25.11</v>
      </c>
    </row>
    <row r="1044" spans="27:28" x14ac:dyDescent="0.25">
      <c r="AA1044" s="89">
        <v>45090.208333333336</v>
      </c>
      <c r="AB1044">
        <v>25.12</v>
      </c>
    </row>
    <row r="1045" spans="27:28" x14ac:dyDescent="0.25">
      <c r="AA1045" s="89">
        <v>45090.25</v>
      </c>
      <c r="AB1045">
        <v>25.12</v>
      </c>
    </row>
    <row r="1046" spans="27:28" x14ac:dyDescent="0.25">
      <c r="AA1046" s="89">
        <v>45090.291666666664</v>
      </c>
      <c r="AB1046">
        <v>25.12</v>
      </c>
    </row>
    <row r="1047" spans="27:28" x14ac:dyDescent="0.25">
      <c r="AA1047" s="89">
        <v>45090.333333333336</v>
      </c>
      <c r="AB1047">
        <v>25.12</v>
      </c>
    </row>
    <row r="1048" spans="27:28" x14ac:dyDescent="0.25">
      <c r="AA1048" s="89">
        <v>45090.375</v>
      </c>
      <c r="AB1048">
        <v>25.13</v>
      </c>
    </row>
    <row r="1049" spans="27:28" x14ac:dyDescent="0.25">
      <c r="AA1049" s="89">
        <v>45090.416666666664</v>
      </c>
      <c r="AB1049">
        <v>25.14</v>
      </c>
    </row>
    <row r="1050" spans="27:28" x14ac:dyDescent="0.25">
      <c r="AA1050" s="89">
        <v>45090.458333333336</v>
      </c>
      <c r="AB1050">
        <v>25.14</v>
      </c>
    </row>
    <row r="1051" spans="27:28" x14ac:dyDescent="0.25">
      <c r="AA1051" s="89">
        <v>45090.5</v>
      </c>
      <c r="AB1051">
        <v>25.14</v>
      </c>
    </row>
    <row r="1052" spans="27:28" x14ac:dyDescent="0.25">
      <c r="AA1052" s="89">
        <v>45090.541666666664</v>
      </c>
      <c r="AB1052">
        <v>25.15</v>
      </c>
    </row>
    <row r="1053" spans="27:28" x14ac:dyDescent="0.25">
      <c r="AA1053" s="89">
        <v>45090.583333333336</v>
      </c>
      <c r="AB1053">
        <v>25.15</v>
      </c>
    </row>
    <row r="1054" spans="27:28" x14ac:dyDescent="0.25">
      <c r="AA1054" s="89">
        <v>45090.625</v>
      </c>
      <c r="AB1054">
        <v>25.16</v>
      </c>
    </row>
    <row r="1055" spans="27:28" x14ac:dyDescent="0.25">
      <c r="AA1055" s="89">
        <v>45090.666666666664</v>
      </c>
      <c r="AB1055">
        <v>25.16</v>
      </c>
    </row>
    <row r="1056" spans="27:28" x14ac:dyDescent="0.25">
      <c r="AA1056" s="89">
        <v>45090.708333333336</v>
      </c>
      <c r="AB1056">
        <v>25.16</v>
      </c>
    </row>
    <row r="1057" spans="27:28" x14ac:dyDescent="0.25">
      <c r="AA1057" s="89">
        <v>45090.75</v>
      </c>
      <c r="AB1057">
        <v>25.17</v>
      </c>
    </row>
    <row r="1058" spans="27:28" x14ac:dyDescent="0.25">
      <c r="AA1058" s="89">
        <v>45090.791666666664</v>
      </c>
      <c r="AB1058">
        <v>25.17</v>
      </c>
    </row>
    <row r="1059" spans="27:28" x14ac:dyDescent="0.25">
      <c r="AA1059" s="89">
        <v>45090.833333333336</v>
      </c>
      <c r="AB1059">
        <v>25.18</v>
      </c>
    </row>
    <row r="1060" spans="27:28" x14ac:dyDescent="0.25">
      <c r="AA1060" s="89">
        <v>45090.875</v>
      </c>
      <c r="AB1060">
        <v>25.18</v>
      </c>
    </row>
    <row r="1061" spans="27:28" x14ac:dyDescent="0.25">
      <c r="AA1061" s="89">
        <v>45090.916666666664</v>
      </c>
      <c r="AB1061">
        <v>25.18</v>
      </c>
    </row>
    <row r="1062" spans="27:28" x14ac:dyDescent="0.25">
      <c r="AA1062" s="89">
        <v>45090.958333333336</v>
      </c>
      <c r="AB1062">
        <v>25.19</v>
      </c>
    </row>
    <row r="1063" spans="27:28" x14ac:dyDescent="0.25">
      <c r="AA1063" s="89">
        <v>45091</v>
      </c>
      <c r="AB1063">
        <v>25.19</v>
      </c>
    </row>
    <row r="1064" spans="27:28" x14ac:dyDescent="0.25">
      <c r="AA1064" s="89">
        <v>45091.041666666664</v>
      </c>
      <c r="AB1064">
        <v>25.19</v>
      </c>
    </row>
    <row r="1065" spans="27:28" x14ac:dyDescent="0.25">
      <c r="AA1065" s="89">
        <v>45091.083333333336</v>
      </c>
      <c r="AB1065">
        <v>25.2</v>
      </c>
    </row>
    <row r="1066" spans="27:28" x14ac:dyDescent="0.25">
      <c r="AA1066" s="89">
        <v>45091.125</v>
      </c>
      <c r="AB1066">
        <v>25.2</v>
      </c>
    </row>
    <row r="1067" spans="27:28" x14ac:dyDescent="0.25">
      <c r="AA1067" s="89">
        <v>45091.166666666664</v>
      </c>
      <c r="AB1067">
        <v>25.21</v>
      </c>
    </row>
    <row r="1068" spans="27:28" x14ac:dyDescent="0.25">
      <c r="AA1068" s="89">
        <v>45091.208333333336</v>
      </c>
      <c r="AB1068">
        <v>25.21</v>
      </c>
    </row>
    <row r="1069" spans="27:28" x14ac:dyDescent="0.25">
      <c r="AA1069" s="89">
        <v>45091.25</v>
      </c>
      <c r="AB1069">
        <v>25.21</v>
      </c>
    </row>
    <row r="1070" spans="27:28" x14ac:dyDescent="0.25">
      <c r="AA1070" s="89">
        <v>45091.291666666664</v>
      </c>
      <c r="AB1070">
        <v>25.22</v>
      </c>
    </row>
    <row r="1071" spans="27:28" x14ac:dyDescent="0.25">
      <c r="AA1071" s="89">
        <v>45091.333333333336</v>
      </c>
      <c r="AB1071">
        <v>25.22</v>
      </c>
    </row>
    <row r="1072" spans="27:28" x14ac:dyDescent="0.25">
      <c r="AA1072" s="89">
        <v>45091.375</v>
      </c>
      <c r="AB1072">
        <v>25.23</v>
      </c>
    </row>
    <row r="1073" spans="27:28" x14ac:dyDescent="0.25">
      <c r="AA1073" s="89">
        <v>45091.416666666664</v>
      </c>
      <c r="AB1073">
        <v>25.23</v>
      </c>
    </row>
    <row r="1074" spans="27:28" x14ac:dyDescent="0.25">
      <c r="AA1074" s="89">
        <v>45091.458333333336</v>
      </c>
      <c r="AB1074">
        <v>25.23</v>
      </c>
    </row>
    <row r="1075" spans="27:28" x14ac:dyDescent="0.25">
      <c r="AA1075" s="89">
        <v>45091.5</v>
      </c>
      <c r="AB1075">
        <v>25.24</v>
      </c>
    </row>
    <row r="1076" spans="27:28" x14ac:dyDescent="0.25">
      <c r="AA1076" s="89">
        <v>45091.541666666664</v>
      </c>
      <c r="AB1076">
        <v>25.24</v>
      </c>
    </row>
    <row r="1077" spans="27:28" x14ac:dyDescent="0.25">
      <c r="AA1077" s="89">
        <v>45091.583333333336</v>
      </c>
      <c r="AB1077">
        <v>25.24</v>
      </c>
    </row>
    <row r="1078" spans="27:28" x14ac:dyDescent="0.25">
      <c r="AA1078" s="89">
        <v>45091.625</v>
      </c>
      <c r="AB1078">
        <v>25.25</v>
      </c>
    </row>
    <row r="1079" spans="27:28" x14ac:dyDescent="0.25">
      <c r="AA1079" s="89">
        <v>45091.666666666664</v>
      </c>
      <c r="AB1079">
        <v>25.25</v>
      </c>
    </row>
    <row r="1080" spans="27:28" x14ac:dyDescent="0.25">
      <c r="AA1080" s="89">
        <v>45091.708333333336</v>
      </c>
      <c r="AB1080">
        <v>25.26</v>
      </c>
    </row>
    <row r="1081" spans="27:28" x14ac:dyDescent="0.25">
      <c r="AA1081" s="89">
        <v>45091.75</v>
      </c>
      <c r="AB1081">
        <v>25.26</v>
      </c>
    </row>
    <row r="1082" spans="27:28" x14ac:dyDescent="0.25">
      <c r="AA1082" s="89">
        <v>45091.791666666664</v>
      </c>
      <c r="AB1082">
        <v>25.27</v>
      </c>
    </row>
    <row r="1083" spans="27:28" x14ac:dyDescent="0.25">
      <c r="AA1083" s="89">
        <v>45091.833333333336</v>
      </c>
      <c r="AB1083">
        <v>25.27</v>
      </c>
    </row>
    <row r="1084" spans="27:28" x14ac:dyDescent="0.25">
      <c r="AA1084" s="89">
        <v>45091.875</v>
      </c>
      <c r="AB1084">
        <v>25.27</v>
      </c>
    </row>
    <row r="1085" spans="27:28" x14ac:dyDescent="0.25">
      <c r="AA1085" s="89">
        <v>45091.916666666664</v>
      </c>
      <c r="AB1085">
        <v>25.27</v>
      </c>
    </row>
    <row r="1086" spans="27:28" x14ac:dyDescent="0.25">
      <c r="AA1086" s="89">
        <v>45091.958333333336</v>
      </c>
      <c r="AB1086">
        <v>25.27</v>
      </c>
    </row>
    <row r="1087" spans="27:28" x14ac:dyDescent="0.25">
      <c r="AA1087" s="89">
        <v>45092</v>
      </c>
      <c r="AB1087">
        <v>25.28</v>
      </c>
    </row>
    <row r="1088" spans="27:28" x14ac:dyDescent="0.25">
      <c r="AA1088" s="89">
        <v>45092.041666666664</v>
      </c>
      <c r="AB1088">
        <v>25.28</v>
      </c>
    </row>
    <row r="1089" spans="27:28" x14ac:dyDescent="0.25">
      <c r="AA1089" s="89">
        <v>45092.083333333336</v>
      </c>
      <c r="AB1089">
        <v>25.28</v>
      </c>
    </row>
    <row r="1090" spans="27:28" x14ac:dyDescent="0.25">
      <c r="AA1090" s="89">
        <v>45092.125</v>
      </c>
      <c r="AB1090">
        <v>25.28</v>
      </c>
    </row>
    <row r="1091" spans="27:28" x14ac:dyDescent="0.25">
      <c r="AA1091" s="89">
        <v>45092.166666666664</v>
      </c>
      <c r="AB1091">
        <v>25.29</v>
      </c>
    </row>
    <row r="1092" spans="27:28" x14ac:dyDescent="0.25">
      <c r="AA1092" s="89">
        <v>45092.208333333336</v>
      </c>
      <c r="AB1092">
        <v>25.29</v>
      </c>
    </row>
    <row r="1093" spans="27:28" x14ac:dyDescent="0.25">
      <c r="AA1093" s="89">
        <v>45092.25</v>
      </c>
      <c r="AB1093">
        <v>25.3</v>
      </c>
    </row>
    <row r="1094" spans="27:28" x14ac:dyDescent="0.25">
      <c r="AA1094" s="89">
        <v>45092.291666666664</v>
      </c>
      <c r="AB1094">
        <v>25.3</v>
      </c>
    </row>
    <row r="1095" spans="27:28" x14ac:dyDescent="0.25">
      <c r="AA1095" s="89">
        <v>45092.333333333336</v>
      </c>
      <c r="AB1095">
        <v>25.3</v>
      </c>
    </row>
    <row r="1096" spans="27:28" x14ac:dyDescent="0.25">
      <c r="AA1096" s="89">
        <v>45092.375</v>
      </c>
      <c r="AB1096">
        <v>25.31</v>
      </c>
    </row>
    <row r="1097" spans="27:28" x14ac:dyDescent="0.25">
      <c r="AA1097" s="89">
        <v>45092.416666666664</v>
      </c>
      <c r="AB1097">
        <v>25.31</v>
      </c>
    </row>
    <row r="1098" spans="27:28" x14ac:dyDescent="0.25">
      <c r="AA1098" s="89">
        <v>45092.458333333336</v>
      </c>
      <c r="AB1098">
        <v>25.32</v>
      </c>
    </row>
    <row r="1099" spans="27:28" x14ac:dyDescent="0.25">
      <c r="AA1099" s="89">
        <v>45092.5</v>
      </c>
      <c r="AB1099">
        <v>25.32</v>
      </c>
    </row>
    <row r="1100" spans="27:28" x14ac:dyDescent="0.25">
      <c r="AA1100" s="89">
        <v>45092.541666666664</v>
      </c>
      <c r="AB1100">
        <v>25.32</v>
      </c>
    </row>
    <row r="1101" spans="27:28" x14ac:dyDescent="0.25">
      <c r="AA1101" s="89">
        <v>45092.583333333336</v>
      </c>
      <c r="AB1101">
        <v>25.32</v>
      </c>
    </row>
    <row r="1102" spans="27:28" x14ac:dyDescent="0.25">
      <c r="AA1102" s="89">
        <v>45092.625</v>
      </c>
      <c r="AB1102">
        <v>25.33</v>
      </c>
    </row>
    <row r="1103" spans="27:28" x14ac:dyDescent="0.25">
      <c r="AA1103" s="89">
        <v>45092.666666666664</v>
      </c>
      <c r="AB1103">
        <v>25.34</v>
      </c>
    </row>
    <row r="1104" spans="27:28" x14ac:dyDescent="0.25">
      <c r="AA1104" s="89">
        <v>45092.708333333336</v>
      </c>
      <c r="AB1104">
        <v>25.34</v>
      </c>
    </row>
    <row r="1105" spans="27:28" x14ac:dyDescent="0.25">
      <c r="AA1105" s="89">
        <v>45092.75</v>
      </c>
      <c r="AB1105">
        <v>25.34</v>
      </c>
    </row>
    <row r="1106" spans="27:28" x14ac:dyDescent="0.25">
      <c r="AA1106" s="89">
        <v>45092.791666666664</v>
      </c>
      <c r="AB1106">
        <v>25.35</v>
      </c>
    </row>
    <row r="1107" spans="27:28" x14ac:dyDescent="0.25">
      <c r="AA1107" s="89">
        <v>45092.833333333336</v>
      </c>
      <c r="AB1107">
        <v>25.35</v>
      </c>
    </row>
    <row r="1108" spans="27:28" x14ac:dyDescent="0.25">
      <c r="AA1108" s="89">
        <v>45092.875</v>
      </c>
      <c r="AB1108">
        <v>25.36</v>
      </c>
    </row>
    <row r="1109" spans="27:28" x14ac:dyDescent="0.25">
      <c r="AA1109" s="89">
        <v>45092.916666666664</v>
      </c>
      <c r="AB1109">
        <v>25.37</v>
      </c>
    </row>
    <row r="1110" spans="27:28" x14ac:dyDescent="0.25">
      <c r="AA1110" s="89">
        <v>45092.958333333336</v>
      </c>
      <c r="AB1110">
        <v>25.38</v>
      </c>
    </row>
    <row r="1111" spans="27:28" x14ac:dyDescent="0.25">
      <c r="AA1111" s="89">
        <v>45093</v>
      </c>
      <c r="AB1111">
        <v>25.38</v>
      </c>
    </row>
    <row r="1112" spans="27:28" x14ac:dyDescent="0.25">
      <c r="AA1112" s="89">
        <v>45093.041666666664</v>
      </c>
      <c r="AB1112">
        <v>25.39</v>
      </c>
    </row>
    <row r="1113" spans="27:28" x14ac:dyDescent="0.25">
      <c r="AA1113" s="89">
        <v>45093.083333333336</v>
      </c>
      <c r="AB1113">
        <v>25.4</v>
      </c>
    </row>
    <row r="1114" spans="27:28" x14ac:dyDescent="0.25">
      <c r="AA1114" s="89">
        <v>45093.125</v>
      </c>
      <c r="AB1114">
        <v>25.41</v>
      </c>
    </row>
    <row r="1115" spans="27:28" x14ac:dyDescent="0.25">
      <c r="AA1115" s="89">
        <v>45093.166666666664</v>
      </c>
      <c r="AB1115">
        <v>25.42</v>
      </c>
    </row>
    <row r="1116" spans="27:28" x14ac:dyDescent="0.25">
      <c r="AA1116" s="89">
        <v>45093.208333333336</v>
      </c>
      <c r="AB1116">
        <v>25.43</v>
      </c>
    </row>
    <row r="1117" spans="27:28" x14ac:dyDescent="0.25">
      <c r="AA1117" s="89">
        <v>45093.25</v>
      </c>
      <c r="AB1117">
        <v>25.43</v>
      </c>
    </row>
    <row r="1118" spans="27:28" x14ac:dyDescent="0.25">
      <c r="AA1118" s="89">
        <v>45093.291666666664</v>
      </c>
      <c r="AB1118">
        <v>25.45</v>
      </c>
    </row>
    <row r="1119" spans="27:28" x14ac:dyDescent="0.25">
      <c r="AA1119" s="89">
        <v>45093.333333333336</v>
      </c>
      <c r="AB1119">
        <v>25.46</v>
      </c>
    </row>
    <row r="1120" spans="27:28" x14ac:dyDescent="0.25">
      <c r="AA1120" s="89">
        <v>45093.375</v>
      </c>
      <c r="AB1120">
        <v>25.47</v>
      </c>
    </row>
    <row r="1121" spans="27:28" x14ac:dyDescent="0.25">
      <c r="AA1121" s="89">
        <v>45093.416666666664</v>
      </c>
      <c r="AB1121">
        <v>25.48</v>
      </c>
    </row>
    <row r="1122" spans="27:28" x14ac:dyDescent="0.25">
      <c r="AA1122" s="89">
        <v>45093.458333333336</v>
      </c>
      <c r="AB1122">
        <v>25.49</v>
      </c>
    </row>
    <row r="1123" spans="27:28" x14ac:dyDescent="0.25">
      <c r="AA1123" s="89">
        <v>45093.5</v>
      </c>
      <c r="AB1123">
        <v>25.5</v>
      </c>
    </row>
    <row r="1124" spans="27:28" x14ac:dyDescent="0.25">
      <c r="AA1124" s="89">
        <v>45093.541666666664</v>
      </c>
      <c r="AB1124">
        <v>25.51</v>
      </c>
    </row>
    <row r="1125" spans="27:28" x14ac:dyDescent="0.25">
      <c r="AA1125" s="89">
        <v>45093.583333333336</v>
      </c>
      <c r="AB1125">
        <v>25.52</v>
      </c>
    </row>
    <row r="1126" spans="27:28" x14ac:dyDescent="0.25">
      <c r="AA1126" s="89">
        <v>45093.625</v>
      </c>
      <c r="AB1126">
        <v>25.53</v>
      </c>
    </row>
    <row r="1127" spans="27:28" x14ac:dyDescent="0.25">
      <c r="AA1127" s="89">
        <v>45093.666666666664</v>
      </c>
      <c r="AB1127">
        <v>25.54</v>
      </c>
    </row>
    <row r="1128" spans="27:28" x14ac:dyDescent="0.25">
      <c r="AA1128" s="89">
        <v>45093.708333333336</v>
      </c>
      <c r="AB1128">
        <v>25.55</v>
      </c>
    </row>
    <row r="1129" spans="27:28" x14ac:dyDescent="0.25">
      <c r="AA1129" s="89">
        <v>45093.75</v>
      </c>
      <c r="AB1129">
        <v>25.56</v>
      </c>
    </row>
    <row r="1130" spans="27:28" x14ac:dyDescent="0.25">
      <c r="AA1130" s="89">
        <v>45093.791666666664</v>
      </c>
      <c r="AB1130">
        <v>25.57</v>
      </c>
    </row>
    <row r="1131" spans="27:28" x14ac:dyDescent="0.25">
      <c r="AA1131" s="89">
        <v>45093.833333333336</v>
      </c>
      <c r="AB1131">
        <v>25.58</v>
      </c>
    </row>
    <row r="1132" spans="27:28" x14ac:dyDescent="0.25">
      <c r="AA1132" s="89">
        <v>45093.875</v>
      </c>
      <c r="AB1132">
        <v>25.59</v>
      </c>
    </row>
    <row r="1133" spans="27:28" x14ac:dyDescent="0.25">
      <c r="AA1133" s="89">
        <v>45093.916666666664</v>
      </c>
      <c r="AB1133">
        <v>25.6</v>
      </c>
    </row>
    <row r="1134" spans="27:28" x14ac:dyDescent="0.25">
      <c r="AA1134" s="89">
        <v>45093.958333333336</v>
      </c>
      <c r="AB1134">
        <v>25.61</v>
      </c>
    </row>
    <row r="1135" spans="27:28" x14ac:dyDescent="0.25">
      <c r="AA1135" s="89">
        <v>45094</v>
      </c>
      <c r="AB1135">
        <v>25.62</v>
      </c>
    </row>
    <row r="1136" spans="27:28" x14ac:dyDescent="0.25">
      <c r="AA1136" s="89">
        <v>45094.041666666664</v>
      </c>
      <c r="AB1136">
        <v>25.63</v>
      </c>
    </row>
    <row r="1137" spans="27:28" x14ac:dyDescent="0.25">
      <c r="AA1137" s="89">
        <v>45094.083333333336</v>
      </c>
      <c r="AB1137">
        <v>25.64</v>
      </c>
    </row>
    <row r="1138" spans="27:28" x14ac:dyDescent="0.25">
      <c r="AA1138" s="89">
        <v>45094.125</v>
      </c>
      <c r="AB1138">
        <v>25.65</v>
      </c>
    </row>
    <row r="1139" spans="27:28" x14ac:dyDescent="0.25">
      <c r="AA1139" s="89">
        <v>45094.166666666664</v>
      </c>
      <c r="AB1139">
        <v>25.66</v>
      </c>
    </row>
    <row r="1140" spans="27:28" x14ac:dyDescent="0.25">
      <c r="AA1140" s="89">
        <v>45094.208333333336</v>
      </c>
      <c r="AB1140">
        <v>25.67</v>
      </c>
    </row>
    <row r="1141" spans="27:28" x14ac:dyDescent="0.25">
      <c r="AA1141" s="89">
        <v>45094.25</v>
      </c>
      <c r="AB1141">
        <v>25.67</v>
      </c>
    </row>
    <row r="1142" spans="27:28" x14ac:dyDescent="0.25">
      <c r="AA1142" s="89">
        <v>45094.291666666664</v>
      </c>
      <c r="AB1142">
        <v>25.69</v>
      </c>
    </row>
    <row r="1143" spans="27:28" x14ac:dyDescent="0.25">
      <c r="AA1143" s="89">
        <v>45094.333333333336</v>
      </c>
      <c r="AB1143">
        <v>25.7</v>
      </c>
    </row>
    <row r="1144" spans="27:28" x14ac:dyDescent="0.25">
      <c r="AA1144" s="89">
        <v>45094.375</v>
      </c>
      <c r="AB1144">
        <v>25.71</v>
      </c>
    </row>
    <row r="1145" spans="27:28" x14ac:dyDescent="0.25">
      <c r="AA1145" s="89">
        <v>45094.416666666664</v>
      </c>
      <c r="AB1145">
        <v>25.72</v>
      </c>
    </row>
    <row r="1146" spans="27:28" x14ac:dyDescent="0.25">
      <c r="AA1146" s="89">
        <v>45094.458333333336</v>
      </c>
      <c r="AB1146">
        <v>25.73</v>
      </c>
    </row>
    <row r="1147" spans="27:28" x14ac:dyDescent="0.25">
      <c r="AA1147" s="89">
        <v>45094.5</v>
      </c>
      <c r="AB1147">
        <v>25.74</v>
      </c>
    </row>
    <row r="1148" spans="27:28" x14ac:dyDescent="0.25">
      <c r="AA1148" s="89">
        <v>45094.541666666664</v>
      </c>
      <c r="AB1148">
        <v>25.75</v>
      </c>
    </row>
    <row r="1149" spans="27:28" x14ac:dyDescent="0.25">
      <c r="AA1149" s="89">
        <v>45094.583333333336</v>
      </c>
      <c r="AB1149">
        <v>25.76</v>
      </c>
    </row>
    <row r="1150" spans="27:28" x14ac:dyDescent="0.25">
      <c r="AA1150" s="89">
        <v>45094.625</v>
      </c>
      <c r="AB1150">
        <v>25.76</v>
      </c>
    </row>
    <row r="1151" spans="27:28" x14ac:dyDescent="0.25">
      <c r="AA1151" s="89">
        <v>45094.666666666664</v>
      </c>
      <c r="AB1151">
        <v>25.77</v>
      </c>
    </row>
    <row r="1152" spans="27:28" x14ac:dyDescent="0.25">
      <c r="AA1152" s="89">
        <v>45094.708333333336</v>
      </c>
      <c r="AB1152">
        <v>25.78</v>
      </c>
    </row>
    <row r="1153" spans="27:28" x14ac:dyDescent="0.25">
      <c r="AA1153" s="89">
        <v>45094.75</v>
      </c>
      <c r="AB1153">
        <v>25.79</v>
      </c>
    </row>
    <row r="1154" spans="27:28" x14ac:dyDescent="0.25">
      <c r="AA1154" s="89">
        <v>45094.791666666664</v>
      </c>
      <c r="AB1154">
        <v>25.8</v>
      </c>
    </row>
    <row r="1155" spans="27:28" x14ac:dyDescent="0.25">
      <c r="AA1155" s="89">
        <v>45094.833333333336</v>
      </c>
      <c r="AB1155">
        <v>25.81</v>
      </c>
    </row>
    <row r="1156" spans="27:28" x14ac:dyDescent="0.25">
      <c r="AA1156" s="89">
        <v>45094.875</v>
      </c>
      <c r="AB1156">
        <v>25.82</v>
      </c>
    </row>
    <row r="1157" spans="27:28" x14ac:dyDescent="0.25">
      <c r="AA1157" s="89">
        <v>45094.916666666664</v>
      </c>
      <c r="AB1157">
        <v>25.83</v>
      </c>
    </row>
    <row r="1158" spans="27:28" x14ac:dyDescent="0.25">
      <c r="AA1158" s="89">
        <v>45094.958333333336</v>
      </c>
      <c r="AB1158">
        <v>25.83</v>
      </c>
    </row>
    <row r="1159" spans="27:28" x14ac:dyDescent="0.25">
      <c r="AA1159" s="89">
        <v>45095</v>
      </c>
      <c r="AB1159">
        <v>25.85</v>
      </c>
    </row>
    <row r="1160" spans="27:28" x14ac:dyDescent="0.25">
      <c r="AA1160" s="89">
        <v>45095.041666666664</v>
      </c>
      <c r="AB1160">
        <v>25.86</v>
      </c>
    </row>
    <row r="1161" spans="27:28" x14ac:dyDescent="0.25">
      <c r="AA1161" s="89">
        <v>45095.083333333336</v>
      </c>
      <c r="AB1161">
        <v>25.86</v>
      </c>
    </row>
    <row r="1162" spans="27:28" x14ac:dyDescent="0.25">
      <c r="AA1162" s="89">
        <v>45095.125</v>
      </c>
      <c r="AB1162">
        <v>25.87</v>
      </c>
    </row>
    <row r="1163" spans="27:28" x14ac:dyDescent="0.25">
      <c r="AA1163" s="89">
        <v>45095.166666666664</v>
      </c>
      <c r="AB1163">
        <v>25.88</v>
      </c>
    </row>
    <row r="1164" spans="27:28" x14ac:dyDescent="0.25">
      <c r="AA1164" s="89">
        <v>45095.208333333336</v>
      </c>
      <c r="AB1164">
        <v>25.89</v>
      </c>
    </row>
    <row r="1165" spans="27:28" x14ac:dyDescent="0.25">
      <c r="AA1165" s="89">
        <v>45095.25</v>
      </c>
      <c r="AB1165">
        <v>25.9</v>
      </c>
    </row>
    <row r="1166" spans="27:28" x14ac:dyDescent="0.25">
      <c r="AA1166" s="89">
        <v>45095.291666666664</v>
      </c>
      <c r="AB1166">
        <v>25.9</v>
      </c>
    </row>
    <row r="1167" spans="27:28" x14ac:dyDescent="0.25">
      <c r="AA1167" s="89">
        <v>45095.333333333336</v>
      </c>
      <c r="AB1167">
        <v>25.91</v>
      </c>
    </row>
    <row r="1168" spans="27:28" x14ac:dyDescent="0.25">
      <c r="AA1168" s="89">
        <v>45095.375</v>
      </c>
      <c r="AB1168">
        <v>25.92</v>
      </c>
    </row>
    <row r="1169" spans="27:28" x14ac:dyDescent="0.25">
      <c r="AA1169" s="89">
        <v>45095.416666666664</v>
      </c>
      <c r="AB1169">
        <v>25.93</v>
      </c>
    </row>
    <row r="1170" spans="27:28" x14ac:dyDescent="0.25">
      <c r="AA1170" s="89">
        <v>45095.458333333336</v>
      </c>
      <c r="AB1170">
        <v>25.94</v>
      </c>
    </row>
    <row r="1171" spans="27:28" x14ac:dyDescent="0.25">
      <c r="AA1171" s="89">
        <v>45095.5</v>
      </c>
      <c r="AB1171">
        <v>25.95</v>
      </c>
    </row>
    <row r="1172" spans="27:28" x14ac:dyDescent="0.25">
      <c r="AA1172" s="89">
        <v>45095.541666666664</v>
      </c>
      <c r="AB1172">
        <v>25.96</v>
      </c>
    </row>
    <row r="1173" spans="27:28" x14ac:dyDescent="0.25">
      <c r="AA1173" s="89">
        <v>45095.583333333336</v>
      </c>
      <c r="AB1173">
        <v>25.96</v>
      </c>
    </row>
    <row r="1174" spans="27:28" x14ac:dyDescent="0.25">
      <c r="AA1174" s="89">
        <v>45095.625</v>
      </c>
      <c r="AB1174">
        <v>25.98</v>
      </c>
    </row>
    <row r="1175" spans="27:28" x14ac:dyDescent="0.25">
      <c r="AA1175" s="89">
        <v>45095.666666666664</v>
      </c>
      <c r="AB1175">
        <v>25.98</v>
      </c>
    </row>
    <row r="1176" spans="27:28" x14ac:dyDescent="0.25">
      <c r="AA1176" s="89">
        <v>45095.708333333336</v>
      </c>
      <c r="AB1176">
        <v>25.99</v>
      </c>
    </row>
    <row r="1177" spans="27:28" x14ac:dyDescent="0.25">
      <c r="AA1177" s="89">
        <v>45095.75</v>
      </c>
      <c r="AB1177">
        <v>26</v>
      </c>
    </row>
    <row r="1178" spans="27:28" x14ac:dyDescent="0.25">
      <c r="AA1178" s="89">
        <v>45095.791666666664</v>
      </c>
      <c r="AB1178">
        <v>26.01</v>
      </c>
    </row>
    <row r="1179" spans="27:28" x14ac:dyDescent="0.25">
      <c r="AA1179" s="89">
        <v>45095.833333333336</v>
      </c>
      <c r="AB1179">
        <v>26.02</v>
      </c>
    </row>
    <row r="1180" spans="27:28" x14ac:dyDescent="0.25">
      <c r="AA1180" s="89">
        <v>45095.875</v>
      </c>
      <c r="AB1180">
        <v>26.02</v>
      </c>
    </row>
    <row r="1181" spans="27:28" x14ac:dyDescent="0.25">
      <c r="AA1181" s="89">
        <v>45095.916666666664</v>
      </c>
      <c r="AB1181">
        <v>26.03</v>
      </c>
    </row>
    <row r="1182" spans="27:28" x14ac:dyDescent="0.25">
      <c r="AA1182" s="89">
        <v>45095.958333333336</v>
      </c>
      <c r="AB1182">
        <v>26.04</v>
      </c>
    </row>
    <row r="1183" spans="27:28" x14ac:dyDescent="0.25">
      <c r="AA1183" s="89">
        <v>45096</v>
      </c>
      <c r="AB1183">
        <v>26.05</v>
      </c>
    </row>
    <row r="1184" spans="27:28" x14ac:dyDescent="0.25">
      <c r="AA1184" s="89">
        <v>45096.041666666664</v>
      </c>
      <c r="AB1184">
        <v>26.05</v>
      </c>
    </row>
    <row r="1185" spans="27:28" x14ac:dyDescent="0.25">
      <c r="AA1185" s="89">
        <v>45096.083333333336</v>
      </c>
      <c r="AB1185">
        <v>26.06</v>
      </c>
    </row>
    <row r="1186" spans="27:28" x14ac:dyDescent="0.25">
      <c r="AA1186" s="89">
        <v>45096.125</v>
      </c>
      <c r="AB1186">
        <v>26.07</v>
      </c>
    </row>
    <row r="1187" spans="27:28" x14ac:dyDescent="0.25">
      <c r="AA1187" s="89">
        <v>45096.166666666664</v>
      </c>
      <c r="AB1187">
        <v>26.08</v>
      </c>
    </row>
    <row r="1188" spans="27:28" x14ac:dyDescent="0.25">
      <c r="AA1188" s="89">
        <v>45096.208333333336</v>
      </c>
      <c r="AB1188">
        <v>26.08</v>
      </c>
    </row>
    <row r="1189" spans="27:28" x14ac:dyDescent="0.25">
      <c r="AA1189" s="89">
        <v>45096.25</v>
      </c>
      <c r="AB1189">
        <v>26.09</v>
      </c>
    </row>
    <row r="1190" spans="27:28" x14ac:dyDescent="0.25">
      <c r="AA1190" s="89">
        <v>45096.291666666664</v>
      </c>
      <c r="AB1190">
        <v>26.1</v>
      </c>
    </row>
    <row r="1191" spans="27:28" x14ac:dyDescent="0.25">
      <c r="AA1191" s="89">
        <v>45096.333333333336</v>
      </c>
      <c r="AB1191">
        <v>26.11</v>
      </c>
    </row>
    <row r="1192" spans="27:28" x14ac:dyDescent="0.25">
      <c r="AA1192" s="89">
        <v>45096.375</v>
      </c>
      <c r="AB1192">
        <v>26.12</v>
      </c>
    </row>
    <row r="1193" spans="27:28" x14ac:dyDescent="0.25">
      <c r="AA1193" s="89">
        <v>45096.416666666664</v>
      </c>
      <c r="AB1193">
        <v>26.12</v>
      </c>
    </row>
    <row r="1194" spans="27:28" x14ac:dyDescent="0.25">
      <c r="AA1194" s="89">
        <v>45096.458333333336</v>
      </c>
      <c r="AB1194">
        <v>26.13</v>
      </c>
    </row>
    <row r="1195" spans="27:28" x14ac:dyDescent="0.25">
      <c r="AA1195" s="89">
        <v>45096.5</v>
      </c>
      <c r="AB1195">
        <v>26.14</v>
      </c>
    </row>
    <row r="1196" spans="27:28" x14ac:dyDescent="0.25">
      <c r="AA1196" s="89">
        <v>45096.541666666664</v>
      </c>
      <c r="AB1196">
        <v>26.15</v>
      </c>
    </row>
    <row r="1197" spans="27:28" x14ac:dyDescent="0.25">
      <c r="AA1197" s="89">
        <v>45096.583333333336</v>
      </c>
      <c r="AB1197">
        <v>26.16</v>
      </c>
    </row>
    <row r="1198" spans="27:28" x14ac:dyDescent="0.25">
      <c r="AA1198" s="89">
        <v>45096.625</v>
      </c>
      <c r="AB1198">
        <v>26.16</v>
      </c>
    </row>
    <row r="1199" spans="27:28" x14ac:dyDescent="0.25">
      <c r="AA1199" s="89">
        <v>45096.666666666664</v>
      </c>
      <c r="AB1199">
        <v>26.17</v>
      </c>
    </row>
    <row r="1200" spans="27:28" x14ac:dyDescent="0.25">
      <c r="AA1200" s="89">
        <v>45096.708333333336</v>
      </c>
      <c r="AB1200">
        <v>26.18</v>
      </c>
    </row>
    <row r="1201" spans="27:28" x14ac:dyDescent="0.25">
      <c r="AA1201" s="89">
        <v>45096.75</v>
      </c>
      <c r="AB1201">
        <v>26.19</v>
      </c>
    </row>
    <row r="1202" spans="27:28" x14ac:dyDescent="0.25">
      <c r="AA1202" s="89">
        <v>45096.791666666664</v>
      </c>
      <c r="AB1202">
        <v>26.2</v>
      </c>
    </row>
    <row r="1203" spans="27:28" x14ac:dyDescent="0.25">
      <c r="AA1203" s="89">
        <v>45096.833333333336</v>
      </c>
      <c r="AB1203">
        <v>26.21</v>
      </c>
    </row>
    <row r="1204" spans="27:28" x14ac:dyDescent="0.25">
      <c r="AA1204" s="89">
        <v>45096.875</v>
      </c>
      <c r="AB1204">
        <v>26.22</v>
      </c>
    </row>
    <row r="1205" spans="27:28" x14ac:dyDescent="0.25">
      <c r="AA1205" s="89">
        <v>45096.916666666664</v>
      </c>
      <c r="AB1205">
        <v>26.23</v>
      </c>
    </row>
    <row r="1206" spans="27:28" x14ac:dyDescent="0.25">
      <c r="AA1206" s="89">
        <v>45096.958333333336</v>
      </c>
      <c r="AB1206">
        <v>26.24</v>
      </c>
    </row>
    <row r="1207" spans="27:28" x14ac:dyDescent="0.25">
      <c r="AA1207" s="89">
        <v>45097</v>
      </c>
      <c r="AB1207">
        <v>26.25</v>
      </c>
    </row>
    <row r="1208" spans="27:28" x14ac:dyDescent="0.25">
      <c r="AA1208" s="89">
        <v>45097.041666666664</v>
      </c>
      <c r="AB1208">
        <v>26.27</v>
      </c>
    </row>
    <row r="1209" spans="27:28" x14ac:dyDescent="0.25">
      <c r="AA1209" s="89">
        <v>45097.083333333336</v>
      </c>
      <c r="AB1209">
        <v>26.28</v>
      </c>
    </row>
    <row r="1210" spans="27:28" x14ac:dyDescent="0.25">
      <c r="AA1210" s="89">
        <v>45097.125</v>
      </c>
      <c r="AB1210">
        <v>26.29</v>
      </c>
    </row>
    <row r="1211" spans="27:28" x14ac:dyDescent="0.25">
      <c r="AA1211" s="89">
        <v>45097.166666666664</v>
      </c>
      <c r="AB1211">
        <v>26.31</v>
      </c>
    </row>
    <row r="1212" spans="27:28" x14ac:dyDescent="0.25">
      <c r="AA1212" s="89">
        <v>45097.208333333336</v>
      </c>
      <c r="AB1212">
        <v>26.32</v>
      </c>
    </row>
    <row r="1213" spans="27:28" x14ac:dyDescent="0.25">
      <c r="AA1213" s="89">
        <v>45097.25</v>
      </c>
      <c r="AB1213">
        <v>26.33</v>
      </c>
    </row>
    <row r="1214" spans="27:28" x14ac:dyDescent="0.25">
      <c r="AA1214" s="89">
        <v>45097.291666666664</v>
      </c>
      <c r="AB1214">
        <v>26.34</v>
      </c>
    </row>
    <row r="1215" spans="27:28" x14ac:dyDescent="0.25">
      <c r="AA1215" s="89">
        <v>45097.333333333336</v>
      </c>
      <c r="AB1215">
        <v>26.36</v>
      </c>
    </row>
    <row r="1216" spans="27:28" x14ac:dyDescent="0.25">
      <c r="AA1216" s="89">
        <v>45097.375</v>
      </c>
      <c r="AB1216">
        <v>26.38</v>
      </c>
    </row>
    <row r="1217" spans="27:28" x14ac:dyDescent="0.25">
      <c r="AA1217" s="89">
        <v>45097.416666666664</v>
      </c>
      <c r="AB1217">
        <v>26.39</v>
      </c>
    </row>
    <row r="1218" spans="27:28" x14ac:dyDescent="0.25">
      <c r="AA1218" s="89">
        <v>45097.458333333336</v>
      </c>
      <c r="AB1218">
        <v>26.4</v>
      </c>
    </row>
    <row r="1219" spans="27:28" x14ac:dyDescent="0.25">
      <c r="AA1219" s="89">
        <v>45097.5</v>
      </c>
      <c r="AB1219">
        <v>26.42</v>
      </c>
    </row>
    <row r="1220" spans="27:28" x14ac:dyDescent="0.25">
      <c r="AA1220" s="89">
        <v>45097.541666666664</v>
      </c>
      <c r="AB1220">
        <v>26.43</v>
      </c>
    </row>
    <row r="1221" spans="27:28" x14ac:dyDescent="0.25">
      <c r="AA1221" s="89">
        <v>45097.583333333336</v>
      </c>
      <c r="AB1221">
        <v>26.45</v>
      </c>
    </row>
    <row r="1222" spans="27:28" x14ac:dyDescent="0.25">
      <c r="AA1222" s="89">
        <v>45097.625</v>
      </c>
      <c r="AB1222">
        <v>26.46</v>
      </c>
    </row>
    <row r="1223" spans="27:28" x14ac:dyDescent="0.25">
      <c r="AA1223" s="89">
        <v>45097.666666666664</v>
      </c>
      <c r="AB1223">
        <v>26.48</v>
      </c>
    </row>
    <row r="1224" spans="27:28" x14ac:dyDescent="0.25">
      <c r="AA1224" s="89">
        <v>45097.708333333336</v>
      </c>
      <c r="AB1224">
        <v>26.49</v>
      </c>
    </row>
    <row r="1225" spans="27:28" x14ac:dyDescent="0.25">
      <c r="AA1225" s="89">
        <v>45097.75</v>
      </c>
      <c r="AB1225">
        <v>26.51</v>
      </c>
    </row>
    <row r="1226" spans="27:28" x14ac:dyDescent="0.25">
      <c r="AA1226" s="89">
        <v>45097.791666666664</v>
      </c>
      <c r="AB1226">
        <v>26.52</v>
      </c>
    </row>
    <row r="1227" spans="27:28" x14ac:dyDescent="0.25">
      <c r="AA1227" s="89">
        <v>45097.833333333336</v>
      </c>
      <c r="AB1227">
        <v>26.53</v>
      </c>
    </row>
    <row r="1228" spans="27:28" x14ac:dyDescent="0.25">
      <c r="AA1228" s="89">
        <v>45097.875</v>
      </c>
      <c r="AB1228">
        <v>26.55</v>
      </c>
    </row>
    <row r="1229" spans="27:28" x14ac:dyDescent="0.25">
      <c r="AA1229" s="89">
        <v>45097.916666666664</v>
      </c>
      <c r="AB1229">
        <v>26.57</v>
      </c>
    </row>
    <row r="1230" spans="27:28" x14ac:dyDescent="0.25">
      <c r="AA1230" s="89">
        <v>45097.958333333336</v>
      </c>
      <c r="AB1230">
        <v>26.58</v>
      </c>
    </row>
    <row r="1231" spans="27:28" x14ac:dyDescent="0.25">
      <c r="AA1231" s="89">
        <v>45098</v>
      </c>
      <c r="AB1231">
        <v>26.59</v>
      </c>
    </row>
    <row r="1232" spans="27:28" x14ac:dyDescent="0.25">
      <c r="AA1232" s="89">
        <v>45098.041666666664</v>
      </c>
      <c r="AB1232">
        <v>26.61</v>
      </c>
    </row>
    <row r="1233" spans="27:28" x14ac:dyDescent="0.25">
      <c r="AA1233" s="89">
        <v>45098.083333333336</v>
      </c>
      <c r="AB1233">
        <v>26.62</v>
      </c>
    </row>
    <row r="1234" spans="27:28" x14ac:dyDescent="0.25">
      <c r="AA1234" s="89">
        <v>45098.125</v>
      </c>
      <c r="AB1234">
        <v>26.63</v>
      </c>
    </row>
    <row r="1235" spans="27:28" x14ac:dyDescent="0.25">
      <c r="AA1235" s="89">
        <v>45098.166666666664</v>
      </c>
      <c r="AB1235">
        <v>26.65</v>
      </c>
    </row>
    <row r="1236" spans="27:28" x14ac:dyDescent="0.25">
      <c r="AA1236" s="89">
        <v>45098.208333333336</v>
      </c>
      <c r="AB1236">
        <v>26.66</v>
      </c>
    </row>
    <row r="1237" spans="27:28" x14ac:dyDescent="0.25">
      <c r="AA1237" s="89">
        <v>45098.25</v>
      </c>
      <c r="AB1237">
        <v>26.68</v>
      </c>
    </row>
    <row r="1238" spans="27:28" x14ac:dyDescent="0.25">
      <c r="AA1238" s="89">
        <v>45098.291666666664</v>
      </c>
      <c r="AB1238">
        <v>26.69</v>
      </c>
    </row>
    <row r="1239" spans="27:28" x14ac:dyDescent="0.25">
      <c r="AA1239" s="89">
        <v>45098.333333333336</v>
      </c>
      <c r="AB1239">
        <v>26.7</v>
      </c>
    </row>
    <row r="1240" spans="27:28" x14ac:dyDescent="0.25">
      <c r="AA1240" s="89">
        <v>45098.375</v>
      </c>
      <c r="AB1240">
        <v>26.72</v>
      </c>
    </row>
    <row r="1241" spans="27:28" x14ac:dyDescent="0.25">
      <c r="AA1241" s="89">
        <v>45098.416666666664</v>
      </c>
      <c r="AB1241">
        <v>26.73</v>
      </c>
    </row>
    <row r="1242" spans="27:28" x14ac:dyDescent="0.25">
      <c r="AA1242" s="89">
        <v>45098.458333333336</v>
      </c>
      <c r="AB1242">
        <v>26.75</v>
      </c>
    </row>
    <row r="1243" spans="27:28" x14ac:dyDescent="0.25">
      <c r="AA1243" s="89">
        <v>45098.5</v>
      </c>
      <c r="AB1243">
        <v>26.77</v>
      </c>
    </row>
    <row r="1244" spans="27:28" x14ac:dyDescent="0.25">
      <c r="AA1244" s="89">
        <v>45098.541666666664</v>
      </c>
      <c r="AB1244">
        <v>26.78</v>
      </c>
    </row>
    <row r="1245" spans="27:28" x14ac:dyDescent="0.25">
      <c r="AA1245" s="89">
        <v>45098.583333333336</v>
      </c>
      <c r="AB1245">
        <v>26.79</v>
      </c>
    </row>
    <row r="1246" spans="27:28" x14ac:dyDescent="0.25">
      <c r="AA1246" s="89">
        <v>45098.625</v>
      </c>
      <c r="AB1246">
        <v>26.81</v>
      </c>
    </row>
    <row r="1247" spans="27:28" x14ac:dyDescent="0.25">
      <c r="AA1247" s="89">
        <v>45098.666666666664</v>
      </c>
      <c r="AB1247">
        <v>26.82</v>
      </c>
    </row>
    <row r="1248" spans="27:28" x14ac:dyDescent="0.25">
      <c r="AA1248" s="89">
        <v>45098.708333333336</v>
      </c>
      <c r="AB1248">
        <v>26.83</v>
      </c>
    </row>
    <row r="1249" spans="27:28" x14ac:dyDescent="0.25">
      <c r="AA1249" s="89">
        <v>45098.75</v>
      </c>
      <c r="AB1249">
        <v>26.85</v>
      </c>
    </row>
    <row r="1250" spans="27:28" x14ac:dyDescent="0.25">
      <c r="AA1250" s="89">
        <v>45098.791666666664</v>
      </c>
      <c r="AB1250">
        <v>26.86</v>
      </c>
    </row>
    <row r="1251" spans="27:28" x14ac:dyDescent="0.25">
      <c r="AA1251" s="89">
        <v>45098.833333333336</v>
      </c>
      <c r="AB1251">
        <v>26.88</v>
      </c>
    </row>
    <row r="1252" spans="27:28" x14ac:dyDescent="0.25">
      <c r="AA1252" s="89">
        <v>45098.875</v>
      </c>
      <c r="AB1252">
        <v>26.89</v>
      </c>
    </row>
    <row r="1253" spans="27:28" x14ac:dyDescent="0.25">
      <c r="AA1253" s="89">
        <v>45098.916666666664</v>
      </c>
      <c r="AB1253">
        <v>26.9</v>
      </c>
    </row>
    <row r="1254" spans="27:28" x14ac:dyDescent="0.25">
      <c r="AA1254" s="89">
        <v>45098.958333333336</v>
      </c>
      <c r="AB1254">
        <v>26.91</v>
      </c>
    </row>
    <row r="1255" spans="27:28" x14ac:dyDescent="0.25">
      <c r="AA1255" s="89">
        <v>45099</v>
      </c>
      <c r="AB1255">
        <v>26.92</v>
      </c>
    </row>
    <row r="1256" spans="27:28" x14ac:dyDescent="0.25">
      <c r="AA1256" s="89">
        <v>45099.041666666664</v>
      </c>
      <c r="AB1256">
        <v>26.94</v>
      </c>
    </row>
    <row r="1257" spans="27:28" x14ac:dyDescent="0.25">
      <c r="AA1257" s="89">
        <v>45099.083333333336</v>
      </c>
      <c r="AB1257">
        <v>26.95</v>
      </c>
    </row>
    <row r="1258" spans="27:28" x14ac:dyDescent="0.25">
      <c r="AA1258" s="89">
        <v>45099.125</v>
      </c>
      <c r="AB1258">
        <v>26.97</v>
      </c>
    </row>
    <row r="1259" spans="27:28" x14ac:dyDescent="0.25">
      <c r="AA1259" s="89">
        <v>45099.166666666664</v>
      </c>
      <c r="AB1259">
        <v>26.98</v>
      </c>
    </row>
    <row r="1260" spans="27:28" x14ac:dyDescent="0.25">
      <c r="AA1260" s="89">
        <v>45099.208333333336</v>
      </c>
      <c r="AB1260">
        <v>26.99</v>
      </c>
    </row>
    <row r="1261" spans="27:28" x14ac:dyDescent="0.25">
      <c r="AA1261" s="89">
        <v>45099.25</v>
      </c>
      <c r="AB1261">
        <v>27.01</v>
      </c>
    </row>
    <row r="1262" spans="27:28" x14ac:dyDescent="0.25">
      <c r="AA1262" s="89">
        <v>45099.291666666664</v>
      </c>
      <c r="AB1262">
        <v>27.02</v>
      </c>
    </row>
    <row r="1263" spans="27:28" x14ac:dyDescent="0.25">
      <c r="AA1263" s="89">
        <v>45099.333333333336</v>
      </c>
      <c r="AB1263">
        <v>27.04</v>
      </c>
    </row>
    <row r="1264" spans="27:28" x14ac:dyDescent="0.25">
      <c r="AA1264" s="89">
        <v>45099.375</v>
      </c>
      <c r="AB1264">
        <v>27.05</v>
      </c>
    </row>
    <row r="1265" spans="27:28" x14ac:dyDescent="0.25">
      <c r="AA1265" s="89">
        <v>45099.416666666664</v>
      </c>
      <c r="AB1265">
        <v>27.07</v>
      </c>
    </row>
    <row r="1266" spans="27:28" x14ac:dyDescent="0.25">
      <c r="AA1266" s="89">
        <v>45099.458333333336</v>
      </c>
      <c r="AB1266">
        <v>27.09</v>
      </c>
    </row>
    <row r="1267" spans="27:28" x14ac:dyDescent="0.25">
      <c r="AA1267" s="89">
        <v>45099.5</v>
      </c>
      <c r="AB1267">
        <v>27.1</v>
      </c>
    </row>
    <row r="1268" spans="27:28" x14ac:dyDescent="0.25">
      <c r="AA1268" s="89">
        <v>45099.541666666664</v>
      </c>
      <c r="AB1268">
        <v>27.11</v>
      </c>
    </row>
    <row r="1269" spans="27:28" x14ac:dyDescent="0.25">
      <c r="AA1269" s="89">
        <v>45099.583333333336</v>
      </c>
      <c r="AB1269">
        <v>27.13</v>
      </c>
    </row>
    <row r="1270" spans="27:28" x14ac:dyDescent="0.25">
      <c r="AA1270" s="89">
        <v>45099.625</v>
      </c>
      <c r="AB1270">
        <v>27.15</v>
      </c>
    </row>
    <row r="1271" spans="27:28" x14ac:dyDescent="0.25">
      <c r="AA1271" s="89">
        <v>45099.666666666664</v>
      </c>
      <c r="AB1271">
        <v>27.17</v>
      </c>
    </row>
    <row r="1272" spans="27:28" x14ac:dyDescent="0.25">
      <c r="AA1272" s="89">
        <v>45099.708333333336</v>
      </c>
      <c r="AB1272">
        <v>27.18</v>
      </c>
    </row>
    <row r="1273" spans="27:28" x14ac:dyDescent="0.25">
      <c r="AA1273" s="89">
        <v>45099.75</v>
      </c>
      <c r="AB1273">
        <v>27.2</v>
      </c>
    </row>
    <row r="1274" spans="27:28" x14ac:dyDescent="0.25">
      <c r="AA1274" s="89">
        <v>45099.791666666664</v>
      </c>
      <c r="AB1274">
        <v>27.22</v>
      </c>
    </row>
    <row r="1275" spans="27:28" x14ac:dyDescent="0.25">
      <c r="AA1275" s="89">
        <v>45099.833333333336</v>
      </c>
      <c r="AB1275">
        <v>27.24</v>
      </c>
    </row>
    <row r="1276" spans="27:28" x14ac:dyDescent="0.25">
      <c r="AA1276" s="89">
        <v>45099.875</v>
      </c>
      <c r="AB1276">
        <v>27.25</v>
      </c>
    </row>
    <row r="1277" spans="27:28" x14ac:dyDescent="0.25">
      <c r="AA1277" s="89">
        <v>45099.916666666664</v>
      </c>
      <c r="AB1277">
        <v>27.27</v>
      </c>
    </row>
    <row r="1278" spans="27:28" x14ac:dyDescent="0.25">
      <c r="AA1278" s="89">
        <v>45099.958333333336</v>
      </c>
      <c r="AB1278">
        <v>27.29</v>
      </c>
    </row>
    <row r="1279" spans="27:28" x14ac:dyDescent="0.25">
      <c r="AA1279" s="89">
        <v>45100</v>
      </c>
      <c r="AB1279">
        <v>27.31</v>
      </c>
    </row>
    <row r="1280" spans="27:28" x14ac:dyDescent="0.25">
      <c r="AA1280" s="89">
        <v>45100.041666666664</v>
      </c>
      <c r="AB1280">
        <v>27.32</v>
      </c>
    </row>
    <row r="1281" spans="27:28" x14ac:dyDescent="0.25">
      <c r="AA1281" s="89">
        <v>45100.083333333336</v>
      </c>
      <c r="AB1281">
        <v>27.34</v>
      </c>
    </row>
    <row r="1282" spans="27:28" x14ac:dyDescent="0.25">
      <c r="AA1282" s="89">
        <v>45100.125</v>
      </c>
      <c r="AB1282">
        <v>27.36</v>
      </c>
    </row>
    <row r="1283" spans="27:28" x14ac:dyDescent="0.25">
      <c r="AA1283" s="89">
        <v>45100.166666666664</v>
      </c>
      <c r="AB1283">
        <v>27.37</v>
      </c>
    </row>
    <row r="1284" spans="27:28" x14ac:dyDescent="0.25">
      <c r="AA1284" s="89">
        <v>45100.208333333336</v>
      </c>
      <c r="AB1284">
        <v>27.39</v>
      </c>
    </row>
    <row r="1285" spans="27:28" x14ac:dyDescent="0.25">
      <c r="AA1285" s="89">
        <v>45100.25</v>
      </c>
      <c r="AB1285">
        <v>27.41</v>
      </c>
    </row>
    <row r="1286" spans="27:28" x14ac:dyDescent="0.25">
      <c r="AA1286" s="89">
        <v>45100.291666666664</v>
      </c>
      <c r="AB1286">
        <v>27.42</v>
      </c>
    </row>
    <row r="1287" spans="27:28" x14ac:dyDescent="0.25">
      <c r="AA1287" s="89">
        <v>45100.333333333336</v>
      </c>
      <c r="AB1287">
        <v>27.45</v>
      </c>
    </row>
    <row r="1288" spans="27:28" x14ac:dyDescent="0.25">
      <c r="AA1288" s="89">
        <v>45100.375</v>
      </c>
      <c r="AB1288">
        <v>27.47</v>
      </c>
    </row>
    <row r="1289" spans="27:28" x14ac:dyDescent="0.25">
      <c r="AA1289" s="89">
        <v>45100.416666666664</v>
      </c>
      <c r="AB1289">
        <v>27.48</v>
      </c>
    </row>
    <row r="1290" spans="27:28" x14ac:dyDescent="0.25">
      <c r="AA1290" s="89">
        <v>45100.458333333336</v>
      </c>
      <c r="AB1290">
        <v>27.5</v>
      </c>
    </row>
    <row r="1291" spans="27:28" x14ac:dyDescent="0.25">
      <c r="AA1291" s="89">
        <v>45100.5</v>
      </c>
      <c r="AB1291">
        <v>27.52</v>
      </c>
    </row>
    <row r="1292" spans="27:28" x14ac:dyDescent="0.25">
      <c r="AA1292" s="89">
        <v>45100.541666666664</v>
      </c>
      <c r="AB1292">
        <v>27.54</v>
      </c>
    </row>
    <row r="1293" spans="27:28" x14ac:dyDescent="0.25">
      <c r="AA1293" s="89">
        <v>45100.583333333336</v>
      </c>
      <c r="AB1293">
        <v>27.55</v>
      </c>
    </row>
    <row r="1294" spans="27:28" x14ac:dyDescent="0.25">
      <c r="AA1294" s="89">
        <v>45100.625</v>
      </c>
      <c r="AB1294">
        <v>27.57</v>
      </c>
    </row>
    <row r="1295" spans="27:28" x14ac:dyDescent="0.25">
      <c r="AA1295" s="89">
        <v>45100.666666666664</v>
      </c>
      <c r="AB1295">
        <v>27.59</v>
      </c>
    </row>
    <row r="1296" spans="27:28" x14ac:dyDescent="0.25">
      <c r="AA1296" s="89">
        <v>45100.708333333336</v>
      </c>
      <c r="AB1296">
        <v>27.61</v>
      </c>
    </row>
    <row r="1297" spans="27:28" x14ac:dyDescent="0.25">
      <c r="AA1297" s="89">
        <v>45100.75</v>
      </c>
      <c r="AB1297">
        <v>27.63</v>
      </c>
    </row>
    <row r="1298" spans="27:28" x14ac:dyDescent="0.25">
      <c r="AA1298" s="89">
        <v>45100.791666666664</v>
      </c>
      <c r="AB1298">
        <v>27.65</v>
      </c>
    </row>
    <row r="1299" spans="27:28" x14ac:dyDescent="0.25">
      <c r="AA1299" s="89">
        <v>45100.833333333336</v>
      </c>
      <c r="AB1299">
        <v>27.66</v>
      </c>
    </row>
    <row r="1300" spans="27:28" x14ac:dyDescent="0.25">
      <c r="AA1300" s="89">
        <v>45100.875</v>
      </c>
      <c r="AB1300">
        <v>27.68</v>
      </c>
    </row>
    <row r="1301" spans="27:28" x14ac:dyDescent="0.25">
      <c r="AA1301" s="89">
        <v>45100.916666666664</v>
      </c>
      <c r="AB1301">
        <v>27.7</v>
      </c>
    </row>
    <row r="1302" spans="27:28" x14ac:dyDescent="0.25">
      <c r="AA1302" s="89">
        <v>45100.958333333336</v>
      </c>
      <c r="AB1302">
        <v>27.71</v>
      </c>
    </row>
    <row r="1303" spans="27:28" x14ac:dyDescent="0.25">
      <c r="AA1303" s="89">
        <v>45101</v>
      </c>
      <c r="AB1303">
        <v>27.72</v>
      </c>
    </row>
    <row r="1304" spans="27:28" x14ac:dyDescent="0.25">
      <c r="AA1304" s="89">
        <v>45101.041666666664</v>
      </c>
      <c r="AB1304">
        <v>27.74</v>
      </c>
    </row>
    <row r="1305" spans="27:28" x14ac:dyDescent="0.25">
      <c r="AA1305" s="89">
        <v>45101.083333333336</v>
      </c>
      <c r="AB1305">
        <v>27.77</v>
      </c>
    </row>
    <row r="1306" spans="27:28" x14ac:dyDescent="0.25">
      <c r="AA1306" s="89">
        <v>45101.125</v>
      </c>
      <c r="AB1306">
        <v>27.78</v>
      </c>
    </row>
    <row r="1307" spans="27:28" x14ac:dyDescent="0.25">
      <c r="AA1307" s="89">
        <v>45101.166666666664</v>
      </c>
      <c r="AB1307">
        <v>27.8</v>
      </c>
    </row>
    <row r="1308" spans="27:28" x14ac:dyDescent="0.25">
      <c r="AA1308" s="89">
        <v>45101.208333333336</v>
      </c>
      <c r="AB1308">
        <v>27.81</v>
      </c>
    </row>
    <row r="1309" spans="27:28" x14ac:dyDescent="0.25">
      <c r="AA1309" s="89">
        <v>45101.25</v>
      </c>
      <c r="AB1309">
        <v>27.83</v>
      </c>
    </row>
    <row r="1310" spans="27:28" x14ac:dyDescent="0.25">
      <c r="AA1310" s="89">
        <v>45101.291666666664</v>
      </c>
      <c r="AB1310">
        <v>27.85</v>
      </c>
    </row>
    <row r="1311" spans="27:28" x14ac:dyDescent="0.25">
      <c r="AA1311" s="89">
        <v>45101.333333333336</v>
      </c>
      <c r="AB1311">
        <v>27.87</v>
      </c>
    </row>
    <row r="1312" spans="27:28" x14ac:dyDescent="0.25">
      <c r="AA1312" s="89">
        <v>45101.375</v>
      </c>
      <c r="AB1312">
        <v>27.88</v>
      </c>
    </row>
    <row r="1313" spans="27:28" x14ac:dyDescent="0.25">
      <c r="AA1313" s="89">
        <v>45101.416666666664</v>
      </c>
      <c r="AB1313">
        <v>27.9</v>
      </c>
    </row>
    <row r="1314" spans="27:28" x14ac:dyDescent="0.25">
      <c r="AA1314" s="89">
        <v>45101.458333333336</v>
      </c>
      <c r="AB1314">
        <v>27.91</v>
      </c>
    </row>
    <row r="1315" spans="27:28" x14ac:dyDescent="0.25">
      <c r="AA1315" s="89">
        <v>45101.5</v>
      </c>
      <c r="AB1315">
        <v>27.93</v>
      </c>
    </row>
    <row r="1316" spans="27:28" x14ac:dyDescent="0.25">
      <c r="AA1316" s="89">
        <v>45101.541666666664</v>
      </c>
      <c r="AB1316">
        <v>27.95</v>
      </c>
    </row>
    <row r="1317" spans="27:28" x14ac:dyDescent="0.25">
      <c r="AA1317" s="89">
        <v>45101.583333333336</v>
      </c>
      <c r="AB1317">
        <v>27.97</v>
      </c>
    </row>
    <row r="1318" spans="27:28" x14ac:dyDescent="0.25">
      <c r="AA1318" s="89">
        <v>45101.625</v>
      </c>
      <c r="AB1318">
        <v>27.98</v>
      </c>
    </row>
    <row r="1319" spans="27:28" x14ac:dyDescent="0.25">
      <c r="AA1319" s="89">
        <v>45101.666666666664</v>
      </c>
      <c r="AB1319">
        <v>28</v>
      </c>
    </row>
    <row r="1320" spans="27:28" x14ac:dyDescent="0.25">
      <c r="AA1320" s="89">
        <v>45101.708333333336</v>
      </c>
      <c r="AB1320">
        <v>28.02</v>
      </c>
    </row>
    <row r="1321" spans="27:28" x14ac:dyDescent="0.25">
      <c r="AA1321" s="89">
        <v>45101.75</v>
      </c>
      <c r="AB1321">
        <v>28.04</v>
      </c>
    </row>
    <row r="1322" spans="27:28" x14ac:dyDescent="0.25">
      <c r="AA1322" s="89">
        <v>45101.791666666664</v>
      </c>
      <c r="AB1322">
        <v>28.06</v>
      </c>
    </row>
    <row r="1323" spans="27:28" x14ac:dyDescent="0.25">
      <c r="AA1323" s="89">
        <v>45101.833333333336</v>
      </c>
      <c r="AB1323">
        <v>28.08</v>
      </c>
    </row>
    <row r="1324" spans="27:28" x14ac:dyDescent="0.25">
      <c r="AA1324" s="89">
        <v>45101.875</v>
      </c>
      <c r="AB1324">
        <v>28.1</v>
      </c>
    </row>
    <row r="1325" spans="27:28" x14ac:dyDescent="0.25">
      <c r="AA1325" s="89">
        <v>45101.916666666664</v>
      </c>
      <c r="AB1325">
        <v>28.12</v>
      </c>
    </row>
    <row r="1326" spans="27:28" x14ac:dyDescent="0.25">
      <c r="AA1326" s="89">
        <v>45101.958333333336</v>
      </c>
      <c r="AB1326">
        <v>28.14</v>
      </c>
    </row>
    <row r="1327" spans="27:28" x14ac:dyDescent="0.25">
      <c r="AA1327" s="89">
        <v>45102</v>
      </c>
      <c r="AB1327">
        <v>28.15</v>
      </c>
    </row>
    <row r="1328" spans="27:28" x14ac:dyDescent="0.25">
      <c r="AA1328" s="89">
        <v>45102.041666666664</v>
      </c>
      <c r="AB1328">
        <v>28.18</v>
      </c>
    </row>
    <row r="1329" spans="27:28" x14ac:dyDescent="0.25">
      <c r="AA1329" s="89">
        <v>45102.083333333336</v>
      </c>
      <c r="AB1329">
        <v>28.19</v>
      </c>
    </row>
    <row r="1330" spans="27:28" x14ac:dyDescent="0.25">
      <c r="AA1330" s="89">
        <v>45102.125</v>
      </c>
      <c r="AB1330">
        <v>28.21</v>
      </c>
    </row>
    <row r="1331" spans="27:28" x14ac:dyDescent="0.25">
      <c r="AA1331" s="89">
        <v>45102.166666666664</v>
      </c>
      <c r="AB1331">
        <v>28.24</v>
      </c>
    </row>
    <row r="1332" spans="27:28" x14ac:dyDescent="0.25">
      <c r="AA1332" s="89">
        <v>45102.208333333336</v>
      </c>
      <c r="AB1332">
        <v>28.26</v>
      </c>
    </row>
    <row r="1333" spans="27:28" x14ac:dyDescent="0.25">
      <c r="AA1333" s="89">
        <v>45102.25</v>
      </c>
      <c r="AB1333">
        <v>28.28</v>
      </c>
    </row>
    <row r="1334" spans="27:28" x14ac:dyDescent="0.25">
      <c r="AA1334" s="89">
        <v>45102.291666666664</v>
      </c>
      <c r="AB1334">
        <v>28.3</v>
      </c>
    </row>
    <row r="1335" spans="27:28" x14ac:dyDescent="0.25">
      <c r="AA1335" s="89">
        <v>45102.333333333336</v>
      </c>
      <c r="AB1335">
        <v>28.32</v>
      </c>
    </row>
    <row r="1336" spans="27:28" x14ac:dyDescent="0.25">
      <c r="AA1336" s="89">
        <v>45102.375</v>
      </c>
      <c r="AB1336">
        <v>28.35</v>
      </c>
    </row>
    <row r="1337" spans="27:28" x14ac:dyDescent="0.25">
      <c r="AA1337" s="89">
        <v>45102.416666666664</v>
      </c>
      <c r="AB1337">
        <v>28.36</v>
      </c>
    </row>
    <row r="1338" spans="27:28" x14ac:dyDescent="0.25">
      <c r="AA1338" s="89">
        <v>45102.458333333336</v>
      </c>
      <c r="AB1338">
        <v>28.39</v>
      </c>
    </row>
    <row r="1339" spans="27:28" x14ac:dyDescent="0.25">
      <c r="AA1339" s="89">
        <v>45102.5</v>
      </c>
      <c r="AB1339">
        <v>28.41</v>
      </c>
    </row>
    <row r="1340" spans="27:28" x14ac:dyDescent="0.25">
      <c r="AA1340" s="89">
        <v>45102.541666666664</v>
      </c>
      <c r="AB1340">
        <v>28.43</v>
      </c>
    </row>
    <row r="1341" spans="27:28" x14ac:dyDescent="0.25">
      <c r="AA1341" s="89">
        <v>45102.583333333336</v>
      </c>
      <c r="AB1341">
        <v>28.45</v>
      </c>
    </row>
    <row r="1342" spans="27:28" x14ac:dyDescent="0.25">
      <c r="AA1342" s="89">
        <v>45102.625</v>
      </c>
      <c r="AB1342">
        <v>28.47</v>
      </c>
    </row>
    <row r="1343" spans="27:28" x14ac:dyDescent="0.25">
      <c r="AA1343" s="89">
        <v>45102.666666666664</v>
      </c>
      <c r="AB1343">
        <v>28.48</v>
      </c>
    </row>
    <row r="1344" spans="27:28" x14ac:dyDescent="0.25">
      <c r="AA1344" s="89">
        <v>45102.708333333336</v>
      </c>
      <c r="AB1344">
        <v>28.5</v>
      </c>
    </row>
    <row r="1345" spans="27:28" x14ac:dyDescent="0.25">
      <c r="AA1345" s="89">
        <v>45102.75</v>
      </c>
      <c r="AB1345">
        <v>28.52</v>
      </c>
    </row>
    <row r="1346" spans="27:28" x14ac:dyDescent="0.25">
      <c r="AA1346" s="89">
        <v>45102.791666666664</v>
      </c>
      <c r="AB1346">
        <v>28.54</v>
      </c>
    </row>
    <row r="1347" spans="27:28" x14ac:dyDescent="0.25">
      <c r="AA1347" s="89">
        <v>45102.833333333336</v>
      </c>
      <c r="AB1347">
        <v>28.56</v>
      </c>
    </row>
    <row r="1348" spans="27:28" x14ac:dyDescent="0.25">
      <c r="AA1348" s="89">
        <v>45102.875</v>
      </c>
      <c r="AB1348">
        <v>28.57</v>
      </c>
    </row>
    <row r="1349" spans="27:28" x14ac:dyDescent="0.25">
      <c r="AA1349" s="89">
        <v>45102.916666666664</v>
      </c>
      <c r="AB1349">
        <v>28.59</v>
      </c>
    </row>
    <row r="1350" spans="27:28" x14ac:dyDescent="0.25">
      <c r="AA1350" s="89">
        <v>45102.958333333336</v>
      </c>
      <c r="AB1350">
        <v>28.61</v>
      </c>
    </row>
    <row r="1351" spans="27:28" x14ac:dyDescent="0.25">
      <c r="AA1351" s="89">
        <v>45103</v>
      </c>
      <c r="AB1351">
        <v>28.62</v>
      </c>
    </row>
    <row r="1352" spans="27:28" x14ac:dyDescent="0.25">
      <c r="AA1352" s="89">
        <v>45103.041666666664</v>
      </c>
      <c r="AB1352">
        <v>28.64</v>
      </c>
    </row>
    <row r="1353" spans="27:28" x14ac:dyDescent="0.25">
      <c r="AA1353" s="89">
        <v>45103.083333333336</v>
      </c>
      <c r="AB1353">
        <v>28.66</v>
      </c>
    </row>
    <row r="1354" spans="27:28" x14ac:dyDescent="0.25">
      <c r="AA1354" s="89">
        <v>45103.125</v>
      </c>
      <c r="AB1354">
        <v>28.67</v>
      </c>
    </row>
    <row r="1355" spans="27:28" x14ac:dyDescent="0.25">
      <c r="AA1355" s="89">
        <v>45103.166666666664</v>
      </c>
      <c r="AB1355">
        <v>28.69</v>
      </c>
    </row>
    <row r="1356" spans="27:28" x14ac:dyDescent="0.25">
      <c r="AA1356" s="89">
        <v>45103.208333333336</v>
      </c>
      <c r="AB1356">
        <v>28.71</v>
      </c>
    </row>
    <row r="1357" spans="27:28" x14ac:dyDescent="0.25">
      <c r="AA1357" s="89">
        <v>45103.25</v>
      </c>
      <c r="AB1357">
        <v>28.72</v>
      </c>
    </row>
    <row r="1358" spans="27:28" x14ac:dyDescent="0.25">
      <c r="AA1358" s="89">
        <v>45103.291666666664</v>
      </c>
      <c r="AB1358">
        <v>28.74</v>
      </c>
    </row>
    <row r="1359" spans="27:28" x14ac:dyDescent="0.25">
      <c r="AA1359" s="89">
        <v>45103.333333333336</v>
      </c>
      <c r="AB1359">
        <v>28.76</v>
      </c>
    </row>
    <row r="1360" spans="27:28" x14ac:dyDescent="0.25">
      <c r="AA1360" s="89">
        <v>45103.375</v>
      </c>
      <c r="AB1360">
        <v>28.78</v>
      </c>
    </row>
    <row r="1361" spans="27:28" x14ac:dyDescent="0.25">
      <c r="AA1361" s="89">
        <v>45103.416666666664</v>
      </c>
      <c r="AB1361">
        <v>28.79</v>
      </c>
    </row>
    <row r="1362" spans="27:28" x14ac:dyDescent="0.25">
      <c r="AA1362" s="89">
        <v>45103.458333333336</v>
      </c>
      <c r="AB1362">
        <v>28.81</v>
      </c>
    </row>
    <row r="1363" spans="27:28" x14ac:dyDescent="0.25">
      <c r="AA1363" s="89">
        <v>45103.5</v>
      </c>
      <c r="AB1363">
        <v>28.83</v>
      </c>
    </row>
    <row r="1364" spans="27:28" x14ac:dyDescent="0.25">
      <c r="AA1364" s="89">
        <v>45103.541666666664</v>
      </c>
      <c r="AB1364">
        <v>28.84</v>
      </c>
    </row>
    <row r="1365" spans="27:28" x14ac:dyDescent="0.25">
      <c r="AA1365" s="89">
        <v>45103.583333333336</v>
      </c>
      <c r="AB1365">
        <v>28.86</v>
      </c>
    </row>
    <row r="1366" spans="27:28" x14ac:dyDescent="0.25">
      <c r="AA1366" s="89">
        <v>45103.625</v>
      </c>
      <c r="AB1366">
        <v>28.88</v>
      </c>
    </row>
    <row r="1367" spans="27:28" x14ac:dyDescent="0.25">
      <c r="AA1367" s="89">
        <v>45103.666666666664</v>
      </c>
      <c r="AB1367">
        <v>28.9</v>
      </c>
    </row>
    <row r="1368" spans="27:28" x14ac:dyDescent="0.25">
      <c r="AA1368" s="89">
        <v>45103.708333333336</v>
      </c>
      <c r="AB1368">
        <v>28.91</v>
      </c>
    </row>
    <row r="1369" spans="27:28" x14ac:dyDescent="0.25">
      <c r="AA1369" s="89">
        <v>45103.75</v>
      </c>
      <c r="AB1369">
        <v>28.93</v>
      </c>
    </row>
    <row r="1370" spans="27:28" x14ac:dyDescent="0.25">
      <c r="AA1370" s="89">
        <v>45103.791666666664</v>
      </c>
      <c r="AB1370">
        <v>28.95</v>
      </c>
    </row>
    <row r="1371" spans="27:28" x14ac:dyDescent="0.25">
      <c r="AA1371" s="89">
        <v>45103.833333333336</v>
      </c>
      <c r="AB1371">
        <v>28.96</v>
      </c>
    </row>
    <row r="1372" spans="27:28" x14ac:dyDescent="0.25">
      <c r="AA1372" s="89">
        <v>45103.875</v>
      </c>
      <c r="AB1372">
        <v>28.98</v>
      </c>
    </row>
    <row r="1373" spans="27:28" x14ac:dyDescent="0.25">
      <c r="AA1373" s="89">
        <v>45103.916666666664</v>
      </c>
      <c r="AB1373">
        <v>28.99</v>
      </c>
    </row>
    <row r="1374" spans="27:28" x14ac:dyDescent="0.25">
      <c r="AA1374" s="89">
        <v>45103.958333333336</v>
      </c>
      <c r="AB1374">
        <v>29.01</v>
      </c>
    </row>
    <row r="1375" spans="27:28" x14ac:dyDescent="0.25">
      <c r="AA1375" s="89">
        <v>45104</v>
      </c>
      <c r="AB1375">
        <v>29.02</v>
      </c>
    </row>
    <row r="1376" spans="27:28" x14ac:dyDescent="0.25">
      <c r="AA1376" s="89">
        <v>45104.041666666664</v>
      </c>
      <c r="AB1376">
        <v>29.04</v>
      </c>
    </row>
    <row r="1377" spans="27:28" x14ac:dyDescent="0.25">
      <c r="AA1377" s="89">
        <v>45104.083333333336</v>
      </c>
      <c r="AB1377">
        <v>29.06</v>
      </c>
    </row>
    <row r="1378" spans="27:28" x14ac:dyDescent="0.25">
      <c r="AA1378" s="89">
        <v>45104.125</v>
      </c>
      <c r="AB1378">
        <v>29.07</v>
      </c>
    </row>
    <row r="1379" spans="27:28" x14ac:dyDescent="0.25">
      <c r="AA1379" s="89">
        <v>45104.166666666664</v>
      </c>
      <c r="AB1379">
        <v>29.09</v>
      </c>
    </row>
    <row r="1380" spans="27:28" x14ac:dyDescent="0.25">
      <c r="AA1380" s="89">
        <v>45104.208333333336</v>
      </c>
      <c r="AB1380">
        <v>29.1</v>
      </c>
    </row>
    <row r="1381" spans="27:28" x14ac:dyDescent="0.25">
      <c r="AA1381" s="89">
        <v>45104.25</v>
      </c>
      <c r="AB1381">
        <v>29.11</v>
      </c>
    </row>
    <row r="1382" spans="27:28" x14ac:dyDescent="0.25">
      <c r="AA1382" s="89">
        <v>45104.291666666664</v>
      </c>
      <c r="AB1382">
        <v>29.13</v>
      </c>
    </row>
    <row r="1383" spans="27:28" x14ac:dyDescent="0.25">
      <c r="AA1383" s="89">
        <v>45104.333333333336</v>
      </c>
      <c r="AB1383">
        <v>29.15</v>
      </c>
    </row>
    <row r="1384" spans="27:28" x14ac:dyDescent="0.25">
      <c r="AA1384" s="89">
        <v>45104.375</v>
      </c>
      <c r="AB1384">
        <v>29.17</v>
      </c>
    </row>
    <row r="1385" spans="27:28" x14ac:dyDescent="0.25">
      <c r="AA1385" s="89">
        <v>45104.416666666664</v>
      </c>
      <c r="AB1385">
        <v>29.19</v>
      </c>
    </row>
    <row r="1386" spans="27:28" x14ac:dyDescent="0.25">
      <c r="AA1386" s="89">
        <v>45104.458333333336</v>
      </c>
      <c r="AB1386">
        <v>29.2</v>
      </c>
    </row>
    <row r="1387" spans="27:28" x14ac:dyDescent="0.25">
      <c r="AA1387" s="89">
        <v>45104.5</v>
      </c>
      <c r="AB1387">
        <v>29.22</v>
      </c>
    </row>
    <row r="1388" spans="27:28" x14ac:dyDescent="0.25">
      <c r="AA1388" s="89">
        <v>45104.541666666664</v>
      </c>
      <c r="AB1388">
        <v>29.24</v>
      </c>
    </row>
    <row r="1389" spans="27:28" x14ac:dyDescent="0.25">
      <c r="AA1389" s="89">
        <v>45104.583333333336</v>
      </c>
      <c r="AB1389">
        <v>29.25</v>
      </c>
    </row>
    <row r="1390" spans="27:28" x14ac:dyDescent="0.25">
      <c r="AA1390" s="89">
        <v>45104.625</v>
      </c>
      <c r="AB1390">
        <v>29.27</v>
      </c>
    </row>
    <row r="1391" spans="27:28" x14ac:dyDescent="0.25">
      <c r="AA1391" s="89">
        <v>45104.666666666664</v>
      </c>
      <c r="AB1391">
        <v>29.29</v>
      </c>
    </row>
    <row r="1392" spans="27:28" x14ac:dyDescent="0.25">
      <c r="AA1392" s="89">
        <v>45104.708333333336</v>
      </c>
      <c r="AB1392">
        <v>29.31</v>
      </c>
    </row>
    <row r="1393" spans="27:28" x14ac:dyDescent="0.25">
      <c r="AA1393" s="89">
        <v>45104.75</v>
      </c>
      <c r="AB1393">
        <v>29.33</v>
      </c>
    </row>
    <row r="1394" spans="27:28" x14ac:dyDescent="0.25">
      <c r="AA1394" s="89">
        <v>45104.791666666664</v>
      </c>
      <c r="AB1394">
        <v>29.34</v>
      </c>
    </row>
    <row r="1395" spans="27:28" x14ac:dyDescent="0.25">
      <c r="AA1395" s="89">
        <v>45104.833333333336</v>
      </c>
      <c r="AB1395">
        <v>29.36</v>
      </c>
    </row>
    <row r="1396" spans="27:28" x14ac:dyDescent="0.25">
      <c r="AA1396" s="89">
        <v>45104.875</v>
      </c>
      <c r="AB1396">
        <v>29.38</v>
      </c>
    </row>
    <row r="1397" spans="27:28" x14ac:dyDescent="0.25">
      <c r="AA1397" s="89">
        <v>45104.916666666664</v>
      </c>
      <c r="AB1397">
        <v>29.39</v>
      </c>
    </row>
    <row r="1398" spans="27:28" x14ac:dyDescent="0.25">
      <c r="AA1398" s="89">
        <v>45104.958333333336</v>
      </c>
      <c r="AB1398">
        <v>29.42</v>
      </c>
    </row>
    <row r="1399" spans="27:28" x14ac:dyDescent="0.25">
      <c r="AA1399" s="89">
        <v>45105</v>
      </c>
      <c r="AB1399">
        <v>29.43</v>
      </c>
    </row>
    <row r="1400" spans="27:28" x14ac:dyDescent="0.25">
      <c r="AA1400" s="89">
        <v>45105.041666666664</v>
      </c>
      <c r="AB1400">
        <v>29.44</v>
      </c>
    </row>
    <row r="1401" spans="27:28" x14ac:dyDescent="0.25">
      <c r="AA1401" s="89">
        <v>45105.083333333336</v>
      </c>
      <c r="AB1401">
        <v>29.47</v>
      </c>
    </row>
    <row r="1402" spans="27:28" x14ac:dyDescent="0.25">
      <c r="AA1402" s="89">
        <v>45105.125</v>
      </c>
      <c r="AB1402">
        <v>29.48</v>
      </c>
    </row>
    <row r="1403" spans="27:28" x14ac:dyDescent="0.25">
      <c r="AA1403" s="89">
        <v>45105.166666666664</v>
      </c>
      <c r="AB1403">
        <v>29.5</v>
      </c>
    </row>
    <row r="1404" spans="27:28" x14ac:dyDescent="0.25">
      <c r="AA1404" s="89">
        <v>45105.208333333336</v>
      </c>
      <c r="AB1404">
        <v>29.52</v>
      </c>
    </row>
    <row r="1405" spans="27:28" x14ac:dyDescent="0.25">
      <c r="AA1405" s="89">
        <v>45105.25</v>
      </c>
      <c r="AB1405">
        <v>29.54</v>
      </c>
    </row>
    <row r="1406" spans="27:28" x14ac:dyDescent="0.25">
      <c r="AA1406" s="89">
        <v>45105.291666666664</v>
      </c>
      <c r="AB1406">
        <v>29.55</v>
      </c>
    </row>
    <row r="1407" spans="27:28" x14ac:dyDescent="0.25">
      <c r="AA1407" s="89">
        <v>45105.333333333336</v>
      </c>
      <c r="AB1407">
        <v>29.57</v>
      </c>
    </row>
    <row r="1408" spans="27:28" x14ac:dyDescent="0.25">
      <c r="AA1408" s="89">
        <v>45105.375</v>
      </c>
      <c r="AB1408">
        <v>29.59</v>
      </c>
    </row>
    <row r="1409" spans="27:28" x14ac:dyDescent="0.25">
      <c r="AA1409" s="89">
        <v>45105.416666666664</v>
      </c>
      <c r="AB1409">
        <v>29.61</v>
      </c>
    </row>
    <row r="1410" spans="27:28" x14ac:dyDescent="0.25">
      <c r="AA1410" s="89">
        <v>45105.458333333336</v>
      </c>
      <c r="AB1410">
        <v>29.63</v>
      </c>
    </row>
    <row r="1411" spans="27:28" x14ac:dyDescent="0.25">
      <c r="AA1411" s="89">
        <v>45105.5</v>
      </c>
      <c r="AB1411">
        <v>29.65</v>
      </c>
    </row>
    <row r="1412" spans="27:28" x14ac:dyDescent="0.25">
      <c r="AA1412" s="89">
        <v>45105.541666666664</v>
      </c>
      <c r="AB1412">
        <v>29.67</v>
      </c>
    </row>
    <row r="1413" spans="27:28" x14ac:dyDescent="0.25">
      <c r="AA1413" s="89">
        <v>45105.583333333336</v>
      </c>
      <c r="AB1413">
        <v>29.69</v>
      </c>
    </row>
    <row r="1414" spans="27:28" x14ac:dyDescent="0.25">
      <c r="AA1414" s="89">
        <v>45105.625</v>
      </c>
      <c r="AB1414">
        <v>29.71</v>
      </c>
    </row>
    <row r="1415" spans="27:28" x14ac:dyDescent="0.25">
      <c r="AA1415" s="89">
        <v>45105.666666666664</v>
      </c>
      <c r="AB1415">
        <v>29.75</v>
      </c>
    </row>
    <row r="1416" spans="27:28" x14ac:dyDescent="0.25">
      <c r="AA1416" s="89">
        <v>45105.708333333336</v>
      </c>
      <c r="AB1416">
        <v>29.78</v>
      </c>
    </row>
    <row r="1417" spans="27:28" x14ac:dyDescent="0.25">
      <c r="AA1417" s="89">
        <v>45105.75</v>
      </c>
      <c r="AB1417">
        <v>29.83</v>
      </c>
    </row>
    <row r="1418" spans="27:28" x14ac:dyDescent="0.25">
      <c r="AA1418" s="89">
        <v>45105.791666666664</v>
      </c>
      <c r="AB1418">
        <v>29.87</v>
      </c>
    </row>
    <row r="1419" spans="27:28" x14ac:dyDescent="0.25">
      <c r="AA1419" s="89">
        <v>45105.833333333336</v>
      </c>
      <c r="AB1419">
        <v>29.91</v>
      </c>
    </row>
    <row r="1420" spans="27:28" x14ac:dyDescent="0.25">
      <c r="AA1420" s="89">
        <v>45105.875</v>
      </c>
      <c r="AB1420">
        <v>29.95</v>
      </c>
    </row>
    <row r="1421" spans="27:28" x14ac:dyDescent="0.25">
      <c r="AA1421" s="89">
        <v>45105.916666666664</v>
      </c>
      <c r="AB1421">
        <v>29.99</v>
      </c>
    </row>
    <row r="1422" spans="27:28" x14ac:dyDescent="0.25">
      <c r="AA1422" s="89">
        <v>45105.958333333336</v>
      </c>
      <c r="AB1422">
        <v>30.02</v>
      </c>
    </row>
    <row r="1423" spans="27:28" x14ac:dyDescent="0.25">
      <c r="AA1423" s="89">
        <v>45106</v>
      </c>
      <c r="AB1423">
        <v>30.06</v>
      </c>
    </row>
    <row r="1424" spans="27:28" x14ac:dyDescent="0.25">
      <c r="AA1424" s="89">
        <v>45106.041666666664</v>
      </c>
      <c r="AB1424">
        <v>30.09</v>
      </c>
    </row>
    <row r="1425" spans="27:28" x14ac:dyDescent="0.25">
      <c r="AA1425" s="89">
        <v>45106.083333333336</v>
      </c>
      <c r="AB1425">
        <v>30.13</v>
      </c>
    </row>
    <row r="1426" spans="27:28" x14ac:dyDescent="0.25">
      <c r="AA1426" s="89">
        <v>45106.125</v>
      </c>
      <c r="AB1426">
        <v>30.16</v>
      </c>
    </row>
    <row r="1427" spans="27:28" x14ac:dyDescent="0.25">
      <c r="AA1427" s="89">
        <v>45106.166666666664</v>
      </c>
      <c r="AB1427">
        <v>30.2</v>
      </c>
    </row>
    <row r="1428" spans="27:28" x14ac:dyDescent="0.25">
      <c r="AA1428" s="89">
        <v>45106.208333333336</v>
      </c>
      <c r="AB1428">
        <v>30.23</v>
      </c>
    </row>
    <row r="1429" spans="27:28" x14ac:dyDescent="0.25">
      <c r="AA1429" s="89">
        <v>45106.25</v>
      </c>
      <c r="AB1429">
        <v>30.26</v>
      </c>
    </row>
    <row r="1430" spans="27:28" x14ac:dyDescent="0.25">
      <c r="AA1430" s="89">
        <v>45106.291666666664</v>
      </c>
      <c r="AB1430">
        <v>30.29</v>
      </c>
    </row>
    <row r="1431" spans="27:28" x14ac:dyDescent="0.25">
      <c r="AA1431" s="89">
        <v>45106.333333333336</v>
      </c>
      <c r="AB1431">
        <v>30.32</v>
      </c>
    </row>
    <row r="1432" spans="27:28" x14ac:dyDescent="0.25">
      <c r="AA1432" s="89">
        <v>45106.375</v>
      </c>
      <c r="AB1432">
        <v>30.35</v>
      </c>
    </row>
    <row r="1433" spans="27:28" x14ac:dyDescent="0.25">
      <c r="AA1433" s="89">
        <v>45106.416666666664</v>
      </c>
      <c r="AB1433">
        <v>30.39</v>
      </c>
    </row>
    <row r="1434" spans="27:28" x14ac:dyDescent="0.25">
      <c r="AA1434" s="89">
        <v>45106.458333333336</v>
      </c>
      <c r="AB1434">
        <v>30.42</v>
      </c>
    </row>
    <row r="1435" spans="27:28" x14ac:dyDescent="0.25">
      <c r="AA1435" s="89">
        <v>45106.5</v>
      </c>
      <c r="AB1435">
        <v>30.45</v>
      </c>
    </row>
    <row r="1436" spans="27:28" x14ac:dyDescent="0.25">
      <c r="AA1436" s="89">
        <v>45106.541666666664</v>
      </c>
      <c r="AB1436">
        <v>30.48</v>
      </c>
    </row>
    <row r="1437" spans="27:28" x14ac:dyDescent="0.25">
      <c r="AA1437" s="89">
        <v>45106.583333333336</v>
      </c>
      <c r="AB1437">
        <v>30.51</v>
      </c>
    </row>
    <row r="1438" spans="27:28" x14ac:dyDescent="0.25">
      <c r="AA1438" s="89">
        <v>45106.625</v>
      </c>
      <c r="AB1438">
        <v>30.54</v>
      </c>
    </row>
    <row r="1439" spans="27:28" x14ac:dyDescent="0.25">
      <c r="AA1439" s="89">
        <v>45106.666666666664</v>
      </c>
      <c r="AB1439">
        <v>30.57</v>
      </c>
    </row>
    <row r="1440" spans="27:28" x14ac:dyDescent="0.25">
      <c r="AA1440" s="89">
        <v>45106.708333333336</v>
      </c>
      <c r="AB1440">
        <v>30.61</v>
      </c>
    </row>
    <row r="1441" spans="27:28" x14ac:dyDescent="0.25">
      <c r="AA1441" s="89">
        <v>45106.75</v>
      </c>
      <c r="AB1441">
        <v>30.64</v>
      </c>
    </row>
    <row r="1442" spans="27:28" x14ac:dyDescent="0.25">
      <c r="AA1442" s="89">
        <v>45106.791666666664</v>
      </c>
      <c r="AB1442">
        <v>30.68</v>
      </c>
    </row>
    <row r="1443" spans="27:28" x14ac:dyDescent="0.25">
      <c r="AA1443" s="89">
        <v>45106.833333333336</v>
      </c>
      <c r="AB1443">
        <v>30.71</v>
      </c>
    </row>
    <row r="1444" spans="27:28" x14ac:dyDescent="0.25">
      <c r="AA1444" s="89">
        <v>45106.875</v>
      </c>
      <c r="AB1444">
        <v>30.74</v>
      </c>
    </row>
    <row r="1445" spans="27:28" x14ac:dyDescent="0.25">
      <c r="AA1445" s="89">
        <v>45106.916666666664</v>
      </c>
      <c r="AB1445">
        <v>30.78</v>
      </c>
    </row>
    <row r="1446" spans="27:28" x14ac:dyDescent="0.25">
      <c r="AA1446" s="89">
        <v>45106.958333333336</v>
      </c>
      <c r="AB1446">
        <v>30.81</v>
      </c>
    </row>
    <row r="1447" spans="27:28" x14ac:dyDescent="0.25">
      <c r="AA1447" s="89">
        <v>45107</v>
      </c>
      <c r="AB1447">
        <v>30.84</v>
      </c>
    </row>
    <row r="1448" spans="27:28" x14ac:dyDescent="0.25">
      <c r="AA1448" s="89">
        <v>45107.041666666664</v>
      </c>
      <c r="AB1448">
        <v>30.87</v>
      </c>
    </row>
    <row r="1449" spans="27:28" x14ac:dyDescent="0.25">
      <c r="AA1449" s="89">
        <v>45107.083333333336</v>
      </c>
      <c r="AB1449">
        <v>30.9</v>
      </c>
    </row>
    <row r="1450" spans="27:28" x14ac:dyDescent="0.25">
      <c r="AA1450" s="89">
        <v>45107.125</v>
      </c>
      <c r="AB1450">
        <v>30.94</v>
      </c>
    </row>
    <row r="1451" spans="27:28" x14ac:dyDescent="0.25">
      <c r="AA1451" s="89">
        <v>45107.166666666664</v>
      </c>
      <c r="AB1451">
        <v>30.96</v>
      </c>
    </row>
    <row r="1452" spans="27:28" x14ac:dyDescent="0.25">
      <c r="AA1452" s="89">
        <v>45107.208333333336</v>
      </c>
      <c r="AB1452">
        <v>30.99</v>
      </c>
    </row>
    <row r="1453" spans="27:28" x14ac:dyDescent="0.25">
      <c r="AA1453" s="89">
        <v>45107.25</v>
      </c>
      <c r="AB1453">
        <v>31.02</v>
      </c>
    </row>
    <row r="1454" spans="27:28" x14ac:dyDescent="0.25">
      <c r="AA1454" s="89">
        <v>45107.291666666664</v>
      </c>
      <c r="AB1454">
        <v>31.05</v>
      </c>
    </row>
    <row r="1455" spans="27:28" x14ac:dyDescent="0.25">
      <c r="AA1455" s="89">
        <v>45107.333333333336</v>
      </c>
      <c r="AB1455">
        <v>31.08</v>
      </c>
    </row>
    <row r="1456" spans="27:28" x14ac:dyDescent="0.25">
      <c r="AA1456" s="89">
        <v>45107.375</v>
      </c>
      <c r="AB1456">
        <v>31.11</v>
      </c>
    </row>
    <row r="1457" spans="27:28" x14ac:dyDescent="0.25">
      <c r="AA1457" s="89">
        <v>45107.416666666664</v>
      </c>
      <c r="AB1457">
        <v>31.14</v>
      </c>
    </row>
    <row r="1458" spans="27:28" x14ac:dyDescent="0.25">
      <c r="AA1458" s="89">
        <v>45107.458333333336</v>
      </c>
      <c r="AB1458">
        <v>31.17</v>
      </c>
    </row>
    <row r="1459" spans="27:28" x14ac:dyDescent="0.25">
      <c r="AA1459" s="89">
        <v>45107.5</v>
      </c>
      <c r="AB1459">
        <v>31.2</v>
      </c>
    </row>
    <row r="1460" spans="27:28" x14ac:dyDescent="0.25">
      <c r="AA1460" s="89">
        <v>45107.541666666664</v>
      </c>
      <c r="AB1460">
        <v>31.22</v>
      </c>
    </row>
    <row r="1461" spans="27:28" x14ac:dyDescent="0.25">
      <c r="AA1461" s="89">
        <v>45107.583333333336</v>
      </c>
      <c r="AB1461">
        <v>31.25</v>
      </c>
    </row>
    <row r="1462" spans="27:28" x14ac:dyDescent="0.25">
      <c r="AA1462" s="89">
        <v>45107.625</v>
      </c>
      <c r="AB1462">
        <v>31.28</v>
      </c>
    </row>
    <row r="1463" spans="27:28" x14ac:dyDescent="0.25">
      <c r="AA1463" s="89">
        <v>45107.666666666664</v>
      </c>
      <c r="AB1463">
        <v>31.3</v>
      </c>
    </row>
    <row r="1464" spans="27:28" x14ac:dyDescent="0.25">
      <c r="AA1464" s="89">
        <v>45107.708333333336</v>
      </c>
      <c r="AB1464">
        <v>31.33</v>
      </c>
    </row>
    <row r="1465" spans="27:28" x14ac:dyDescent="0.25">
      <c r="AA1465" s="89">
        <v>45107.75</v>
      </c>
      <c r="AB1465">
        <v>31.36</v>
      </c>
    </row>
    <row r="1466" spans="27:28" x14ac:dyDescent="0.25">
      <c r="AA1466" s="89">
        <v>45107.791666666664</v>
      </c>
      <c r="AB1466">
        <v>31.38</v>
      </c>
    </row>
    <row r="1467" spans="27:28" x14ac:dyDescent="0.25">
      <c r="AA1467" s="89">
        <v>45107.833333333336</v>
      </c>
      <c r="AB1467">
        <v>31.41</v>
      </c>
    </row>
    <row r="1468" spans="27:28" x14ac:dyDescent="0.25">
      <c r="AA1468" s="89">
        <v>45107.875</v>
      </c>
      <c r="AB1468">
        <v>31.43</v>
      </c>
    </row>
    <row r="1469" spans="27:28" x14ac:dyDescent="0.25">
      <c r="AA1469" s="89">
        <v>45107.916666666664</v>
      </c>
      <c r="AB1469">
        <v>31.46</v>
      </c>
    </row>
    <row r="1470" spans="27:28" x14ac:dyDescent="0.25">
      <c r="AA1470" s="89">
        <v>45107.958333333336</v>
      </c>
      <c r="AB1470">
        <v>31.48</v>
      </c>
    </row>
    <row r="1471" spans="27:28" x14ac:dyDescent="0.25">
      <c r="AA1471" s="89">
        <v>45108</v>
      </c>
      <c r="AB1471">
        <v>31.51</v>
      </c>
    </row>
    <row r="1472" spans="27:28" x14ac:dyDescent="0.25">
      <c r="AA1472" s="89">
        <v>45108.041666666664</v>
      </c>
      <c r="AB1472">
        <v>31.53</v>
      </c>
    </row>
    <row r="1473" spans="27:28" x14ac:dyDescent="0.25">
      <c r="AA1473" s="89">
        <v>45108.083333333336</v>
      </c>
      <c r="AB1473">
        <v>31.55</v>
      </c>
    </row>
    <row r="1474" spans="27:28" x14ac:dyDescent="0.25">
      <c r="AA1474" s="89">
        <v>45108.125</v>
      </c>
      <c r="AB1474">
        <v>31.58</v>
      </c>
    </row>
    <row r="1475" spans="27:28" x14ac:dyDescent="0.25">
      <c r="AA1475" s="89">
        <v>45108.166666666664</v>
      </c>
      <c r="AB1475">
        <v>31.6</v>
      </c>
    </row>
    <row r="1476" spans="27:28" x14ac:dyDescent="0.25">
      <c r="AA1476" s="89">
        <v>45108.208333333336</v>
      </c>
      <c r="AB1476">
        <v>31.62</v>
      </c>
    </row>
    <row r="1477" spans="27:28" x14ac:dyDescent="0.25">
      <c r="AA1477" s="89">
        <v>45108.25</v>
      </c>
      <c r="AB1477">
        <v>31.64</v>
      </c>
    </row>
    <row r="1478" spans="27:28" x14ac:dyDescent="0.25">
      <c r="AA1478" s="89">
        <v>45108.291666666664</v>
      </c>
      <c r="AB1478">
        <v>31.67</v>
      </c>
    </row>
    <row r="1479" spans="27:28" x14ac:dyDescent="0.25">
      <c r="AA1479" s="89">
        <v>45108.333333333336</v>
      </c>
      <c r="AB1479">
        <v>31.69</v>
      </c>
    </row>
    <row r="1480" spans="27:28" x14ac:dyDescent="0.25">
      <c r="AA1480" s="89">
        <v>45108.375</v>
      </c>
      <c r="AB1480">
        <v>31.72</v>
      </c>
    </row>
    <row r="1481" spans="27:28" x14ac:dyDescent="0.25">
      <c r="AA1481" s="89">
        <v>45108.416666666664</v>
      </c>
      <c r="AB1481">
        <v>31.74</v>
      </c>
    </row>
    <row r="1482" spans="27:28" x14ac:dyDescent="0.25">
      <c r="AA1482" s="89">
        <v>45108.458333333336</v>
      </c>
      <c r="AB1482">
        <v>31.77</v>
      </c>
    </row>
    <row r="1483" spans="27:28" x14ac:dyDescent="0.25">
      <c r="AA1483" s="89">
        <v>45108.5</v>
      </c>
      <c r="AB1483">
        <v>31.8</v>
      </c>
    </row>
    <row r="1484" spans="27:28" x14ac:dyDescent="0.25">
      <c r="AA1484" s="89">
        <v>45108.541666666664</v>
      </c>
      <c r="AB1484">
        <v>31.82</v>
      </c>
    </row>
    <row r="1485" spans="27:28" x14ac:dyDescent="0.25">
      <c r="AA1485" s="89">
        <v>45108.583333333336</v>
      </c>
      <c r="AB1485">
        <v>31.84</v>
      </c>
    </row>
    <row r="1486" spans="27:28" x14ac:dyDescent="0.25">
      <c r="AA1486" s="89">
        <v>45108.625</v>
      </c>
      <c r="AB1486">
        <v>31.87</v>
      </c>
    </row>
    <row r="1487" spans="27:28" x14ac:dyDescent="0.25">
      <c r="AA1487" s="89">
        <v>45108.666666666664</v>
      </c>
      <c r="AB1487">
        <v>31.89</v>
      </c>
    </row>
    <row r="1488" spans="27:28" x14ac:dyDescent="0.25">
      <c r="AA1488" s="89">
        <v>45108.708333333336</v>
      </c>
      <c r="AB1488">
        <v>31.91</v>
      </c>
    </row>
    <row r="1489" spans="27:28" x14ac:dyDescent="0.25">
      <c r="AA1489" s="89">
        <v>45108.75</v>
      </c>
      <c r="AB1489">
        <v>31.94</v>
      </c>
    </row>
    <row r="1490" spans="27:28" x14ac:dyDescent="0.25">
      <c r="AA1490" s="89">
        <v>45108.791666666664</v>
      </c>
      <c r="AB1490">
        <v>31.96</v>
      </c>
    </row>
    <row r="1491" spans="27:28" x14ac:dyDescent="0.25">
      <c r="AA1491" s="89">
        <v>45108.833333333336</v>
      </c>
      <c r="AB1491">
        <v>31.98</v>
      </c>
    </row>
    <row r="1492" spans="27:28" x14ac:dyDescent="0.25">
      <c r="AA1492" s="89">
        <v>45108.875</v>
      </c>
      <c r="AB1492">
        <v>32.01</v>
      </c>
    </row>
    <row r="1493" spans="27:28" x14ac:dyDescent="0.25">
      <c r="AA1493" s="89">
        <v>45108.916666666664</v>
      </c>
      <c r="AB1493">
        <v>32.03</v>
      </c>
    </row>
    <row r="1494" spans="27:28" x14ac:dyDescent="0.25">
      <c r="AA1494" s="89">
        <v>45108.958333333336</v>
      </c>
      <c r="AB1494">
        <v>32.049999999999997</v>
      </c>
    </row>
    <row r="1495" spans="27:28" x14ac:dyDescent="0.25">
      <c r="AA1495" s="89">
        <v>45109</v>
      </c>
      <c r="AB1495">
        <v>32.07</v>
      </c>
    </row>
    <row r="1496" spans="27:28" x14ac:dyDescent="0.25">
      <c r="AA1496" s="89">
        <v>45109.041666666664</v>
      </c>
      <c r="AB1496">
        <v>32.1</v>
      </c>
    </row>
    <row r="1497" spans="27:28" x14ac:dyDescent="0.25">
      <c r="AA1497" s="89">
        <v>45109.083333333336</v>
      </c>
      <c r="AB1497">
        <v>32.119999999999997</v>
      </c>
    </row>
    <row r="1498" spans="27:28" x14ac:dyDescent="0.25">
      <c r="AA1498" s="89">
        <v>45109.125</v>
      </c>
      <c r="AB1498">
        <v>32.14</v>
      </c>
    </row>
    <row r="1499" spans="27:28" x14ac:dyDescent="0.25">
      <c r="AA1499" s="89">
        <v>45109.166666666664</v>
      </c>
      <c r="AB1499">
        <v>32.159999999999997</v>
      </c>
    </row>
    <row r="1500" spans="27:28" x14ac:dyDescent="0.25">
      <c r="AA1500" s="89">
        <v>45109.208333333336</v>
      </c>
      <c r="AB1500">
        <v>32.19</v>
      </c>
    </row>
    <row r="1501" spans="27:28" x14ac:dyDescent="0.25">
      <c r="AA1501" s="89">
        <v>45109.25</v>
      </c>
      <c r="AB1501">
        <v>32.200000000000003</v>
      </c>
    </row>
    <row r="1502" spans="27:28" x14ac:dyDescent="0.25">
      <c r="AA1502" s="89">
        <v>45109.291666666664</v>
      </c>
      <c r="AB1502">
        <v>32.229999999999997</v>
      </c>
    </row>
    <row r="1503" spans="27:28" x14ac:dyDescent="0.25">
      <c r="AA1503" s="89">
        <v>45109.333333333336</v>
      </c>
      <c r="AB1503">
        <v>32.25</v>
      </c>
    </row>
    <row r="1504" spans="27:28" x14ac:dyDescent="0.25">
      <c r="AA1504" s="89">
        <v>45109.375</v>
      </c>
      <c r="AB1504">
        <v>32.28</v>
      </c>
    </row>
    <row r="1505" spans="27:28" x14ac:dyDescent="0.25">
      <c r="AA1505" s="89">
        <v>45109.416666666664</v>
      </c>
      <c r="AB1505">
        <v>32.299999999999997</v>
      </c>
    </row>
    <row r="1506" spans="27:28" x14ac:dyDescent="0.25">
      <c r="AA1506" s="89">
        <v>45109.458333333336</v>
      </c>
      <c r="AB1506">
        <v>32.33</v>
      </c>
    </row>
    <row r="1507" spans="27:28" x14ac:dyDescent="0.25">
      <c r="AA1507" s="89">
        <v>45109.5</v>
      </c>
      <c r="AB1507">
        <v>32.35</v>
      </c>
    </row>
    <row r="1508" spans="27:28" x14ac:dyDescent="0.25">
      <c r="AA1508" s="89">
        <v>45109.541666666664</v>
      </c>
      <c r="AB1508">
        <v>32.369999999999997</v>
      </c>
    </row>
    <row r="1509" spans="27:28" x14ac:dyDescent="0.25">
      <c r="AA1509" s="89">
        <v>45109.583333333336</v>
      </c>
      <c r="AB1509">
        <v>32.4</v>
      </c>
    </row>
    <row r="1510" spans="27:28" x14ac:dyDescent="0.25">
      <c r="AA1510" s="89">
        <v>45109.625</v>
      </c>
      <c r="AB1510">
        <v>32.42</v>
      </c>
    </row>
    <row r="1511" spans="27:28" x14ac:dyDescent="0.25">
      <c r="AA1511" s="89">
        <v>45109.666666666664</v>
      </c>
      <c r="AB1511">
        <v>32.44</v>
      </c>
    </row>
    <row r="1512" spans="27:28" x14ac:dyDescent="0.25">
      <c r="AA1512" s="89">
        <v>45109.708333333336</v>
      </c>
      <c r="AB1512">
        <v>32.46</v>
      </c>
    </row>
    <row r="1513" spans="27:28" x14ac:dyDescent="0.25">
      <c r="AA1513" s="89">
        <v>45109.75</v>
      </c>
      <c r="AB1513">
        <v>32.49</v>
      </c>
    </row>
    <row r="1514" spans="27:28" x14ac:dyDescent="0.25">
      <c r="AA1514" s="89">
        <v>45109.791666666664</v>
      </c>
      <c r="AB1514">
        <v>32.51</v>
      </c>
    </row>
    <row r="1515" spans="27:28" x14ac:dyDescent="0.25">
      <c r="AA1515" s="89">
        <v>45109.833333333336</v>
      </c>
      <c r="AB1515">
        <v>32.53</v>
      </c>
    </row>
    <row r="1516" spans="27:28" x14ac:dyDescent="0.25">
      <c r="AA1516" s="89">
        <v>45109.875</v>
      </c>
      <c r="AB1516">
        <v>32.549999999999997</v>
      </c>
    </row>
    <row r="1517" spans="27:28" x14ac:dyDescent="0.25">
      <c r="AA1517" s="89">
        <v>45109.916666666664</v>
      </c>
      <c r="AB1517">
        <v>32.57</v>
      </c>
    </row>
    <row r="1518" spans="27:28" x14ac:dyDescent="0.25">
      <c r="AA1518" s="89">
        <v>45109.958333333336</v>
      </c>
      <c r="AB1518">
        <v>32.590000000000003</v>
      </c>
    </row>
    <row r="1519" spans="27:28" x14ac:dyDescent="0.25">
      <c r="AA1519" s="89">
        <v>45110</v>
      </c>
      <c r="AB1519">
        <v>32.61</v>
      </c>
    </row>
    <row r="1520" spans="27:28" x14ac:dyDescent="0.25">
      <c r="AA1520" s="89">
        <v>45110.041666666664</v>
      </c>
      <c r="AB1520">
        <v>32.630000000000003</v>
      </c>
    </row>
    <row r="1521" spans="27:28" x14ac:dyDescent="0.25">
      <c r="AA1521" s="89">
        <v>45110.083333333336</v>
      </c>
      <c r="AB1521">
        <v>32.659999999999997</v>
      </c>
    </row>
    <row r="1522" spans="27:28" x14ac:dyDescent="0.25">
      <c r="AA1522" s="89">
        <v>45110.125</v>
      </c>
      <c r="AB1522">
        <v>32.68</v>
      </c>
    </row>
    <row r="1523" spans="27:28" x14ac:dyDescent="0.25">
      <c r="AA1523" s="89">
        <v>45110.166666666664</v>
      </c>
      <c r="AB1523">
        <v>32.700000000000003</v>
      </c>
    </row>
    <row r="1524" spans="27:28" x14ac:dyDescent="0.25">
      <c r="AA1524" s="89">
        <v>45110.208333333336</v>
      </c>
      <c r="AB1524">
        <v>32.72</v>
      </c>
    </row>
    <row r="1525" spans="27:28" x14ac:dyDescent="0.25">
      <c r="AA1525" s="89">
        <v>45110.25</v>
      </c>
      <c r="AB1525">
        <v>32.74</v>
      </c>
    </row>
    <row r="1526" spans="27:28" x14ac:dyDescent="0.25">
      <c r="AA1526" s="89">
        <v>45110.291666666664</v>
      </c>
      <c r="AB1526">
        <v>32.76</v>
      </c>
    </row>
    <row r="1527" spans="27:28" x14ac:dyDescent="0.25">
      <c r="AA1527" s="89">
        <v>45110.333333333336</v>
      </c>
      <c r="AB1527">
        <v>32.79</v>
      </c>
    </row>
    <row r="1528" spans="27:28" x14ac:dyDescent="0.25">
      <c r="AA1528" s="89">
        <v>45110.375</v>
      </c>
      <c r="AB1528">
        <v>32.81</v>
      </c>
    </row>
    <row r="1529" spans="27:28" x14ac:dyDescent="0.25">
      <c r="AA1529" s="89">
        <v>45110.416666666664</v>
      </c>
      <c r="AB1529">
        <v>32.83</v>
      </c>
    </row>
    <row r="1530" spans="27:28" x14ac:dyDescent="0.25">
      <c r="AA1530" s="89">
        <v>45110.458333333336</v>
      </c>
      <c r="AB1530">
        <v>32.85</v>
      </c>
    </row>
    <row r="1531" spans="27:28" x14ac:dyDescent="0.25">
      <c r="AA1531" s="89">
        <v>45110.5</v>
      </c>
      <c r="AB1531">
        <v>32.880000000000003</v>
      </c>
    </row>
    <row r="1532" spans="27:28" x14ac:dyDescent="0.25">
      <c r="AA1532" s="89">
        <v>45110.541666666664</v>
      </c>
      <c r="AB1532">
        <v>32.9</v>
      </c>
    </row>
    <row r="1533" spans="27:28" x14ac:dyDescent="0.25">
      <c r="AA1533" s="89">
        <v>45110.583333333336</v>
      </c>
      <c r="AB1533">
        <v>32.92</v>
      </c>
    </row>
    <row r="1534" spans="27:28" x14ac:dyDescent="0.25">
      <c r="AA1534" s="89">
        <v>45110.625</v>
      </c>
      <c r="AB1534">
        <v>32.94</v>
      </c>
    </row>
    <row r="1535" spans="27:28" x14ac:dyDescent="0.25">
      <c r="AA1535" s="89">
        <v>45110.666666666664</v>
      </c>
      <c r="AB1535">
        <v>32.96</v>
      </c>
    </row>
    <row r="1536" spans="27:28" x14ac:dyDescent="0.25">
      <c r="AA1536" s="89">
        <v>45110.708333333336</v>
      </c>
      <c r="AB1536">
        <v>32.979999999999997</v>
      </c>
    </row>
    <row r="1537" spans="27:28" x14ac:dyDescent="0.25">
      <c r="AA1537" s="89">
        <v>45110.75</v>
      </c>
      <c r="AB1537">
        <v>33</v>
      </c>
    </row>
    <row r="1538" spans="27:28" x14ac:dyDescent="0.25">
      <c r="AA1538" s="89">
        <v>45110.791666666664</v>
      </c>
      <c r="AB1538">
        <v>33.03</v>
      </c>
    </row>
    <row r="1539" spans="27:28" x14ac:dyDescent="0.25">
      <c r="AA1539" s="89">
        <v>45110.833333333336</v>
      </c>
      <c r="AB1539">
        <v>33.049999999999997</v>
      </c>
    </row>
    <row r="1540" spans="27:28" x14ac:dyDescent="0.25">
      <c r="AA1540" s="89">
        <v>45110.875</v>
      </c>
      <c r="AB1540">
        <v>33.07</v>
      </c>
    </row>
    <row r="1541" spans="27:28" x14ac:dyDescent="0.25">
      <c r="AA1541" s="89">
        <v>45110.916666666664</v>
      </c>
      <c r="AB1541">
        <v>33.090000000000003</v>
      </c>
    </row>
    <row r="1542" spans="27:28" x14ac:dyDescent="0.25">
      <c r="AA1542" s="89">
        <v>45110.958333333336</v>
      </c>
      <c r="AB1542">
        <v>33.11</v>
      </c>
    </row>
    <row r="1543" spans="27:28" x14ac:dyDescent="0.25">
      <c r="AA1543" s="89">
        <v>45111</v>
      </c>
      <c r="AB1543">
        <v>33.130000000000003</v>
      </c>
    </row>
    <row r="1544" spans="27:28" x14ac:dyDescent="0.25">
      <c r="AA1544" s="89">
        <v>45111.041666666664</v>
      </c>
      <c r="AB1544">
        <v>33.15</v>
      </c>
    </row>
    <row r="1545" spans="27:28" x14ac:dyDescent="0.25">
      <c r="AA1545" s="89">
        <v>45111.083333333336</v>
      </c>
      <c r="AB1545">
        <v>33.17</v>
      </c>
    </row>
    <row r="1546" spans="27:28" x14ac:dyDescent="0.25">
      <c r="AA1546" s="89">
        <v>45111.125</v>
      </c>
      <c r="AB1546">
        <v>33.19</v>
      </c>
    </row>
    <row r="1547" spans="27:28" x14ac:dyDescent="0.25">
      <c r="AA1547" s="89">
        <v>45111.166666666664</v>
      </c>
      <c r="AB1547">
        <v>33.21</v>
      </c>
    </row>
    <row r="1548" spans="27:28" x14ac:dyDescent="0.25">
      <c r="AA1548" s="89">
        <v>45111.208333333336</v>
      </c>
      <c r="AB1548">
        <v>33.229999999999997</v>
      </c>
    </row>
    <row r="1549" spans="27:28" x14ac:dyDescent="0.25">
      <c r="AA1549" s="89">
        <v>45111.25</v>
      </c>
      <c r="AB1549">
        <v>33.25</v>
      </c>
    </row>
    <row r="1550" spans="27:28" x14ac:dyDescent="0.25">
      <c r="AA1550" s="89">
        <v>45111.291666666664</v>
      </c>
      <c r="AB1550">
        <v>33.270000000000003</v>
      </c>
    </row>
    <row r="1551" spans="27:28" x14ac:dyDescent="0.25">
      <c r="AA1551" s="89">
        <v>45111.333333333336</v>
      </c>
      <c r="AB1551">
        <v>33.299999999999997</v>
      </c>
    </row>
    <row r="1552" spans="27:28" x14ac:dyDescent="0.25">
      <c r="AA1552" s="89">
        <v>45111.375</v>
      </c>
      <c r="AB1552">
        <v>33.32</v>
      </c>
    </row>
    <row r="1553" spans="27:28" x14ac:dyDescent="0.25">
      <c r="AA1553" s="89">
        <v>45111.416666666664</v>
      </c>
      <c r="AB1553">
        <v>33.340000000000003</v>
      </c>
    </row>
    <row r="1554" spans="27:28" x14ac:dyDescent="0.25">
      <c r="AA1554" s="89">
        <v>45111.458333333336</v>
      </c>
      <c r="AB1554">
        <v>33.36</v>
      </c>
    </row>
    <row r="1555" spans="27:28" x14ac:dyDescent="0.25">
      <c r="AA1555" s="89">
        <v>45111.5</v>
      </c>
      <c r="AB1555">
        <v>33.380000000000003</v>
      </c>
    </row>
    <row r="1556" spans="27:28" x14ac:dyDescent="0.25">
      <c r="AA1556" s="89">
        <v>45111.541666666664</v>
      </c>
      <c r="AB1556">
        <v>33.409999999999997</v>
      </c>
    </row>
    <row r="1557" spans="27:28" x14ac:dyDescent="0.25">
      <c r="AA1557" s="89">
        <v>45111.583333333336</v>
      </c>
      <c r="AB1557">
        <v>33.42</v>
      </c>
    </row>
    <row r="1558" spans="27:28" x14ac:dyDescent="0.25">
      <c r="AA1558" s="89">
        <v>45111.625</v>
      </c>
      <c r="AB1558">
        <v>33.450000000000003</v>
      </c>
    </row>
    <row r="1559" spans="27:28" x14ac:dyDescent="0.25">
      <c r="AA1559" s="89">
        <v>45111.666666666664</v>
      </c>
      <c r="AB1559">
        <v>33.46</v>
      </c>
    </row>
    <row r="1560" spans="27:28" x14ac:dyDescent="0.25">
      <c r="AA1560" s="89">
        <v>45111.708333333336</v>
      </c>
      <c r="AB1560">
        <v>33.49</v>
      </c>
    </row>
    <row r="1561" spans="27:28" x14ac:dyDescent="0.25">
      <c r="AA1561" s="89">
        <v>45111.75</v>
      </c>
      <c r="AB1561">
        <v>33.51</v>
      </c>
    </row>
    <row r="1562" spans="27:28" x14ac:dyDescent="0.25">
      <c r="AA1562" s="89">
        <v>45111.791666666664</v>
      </c>
      <c r="AB1562">
        <v>33.53</v>
      </c>
    </row>
    <row r="1563" spans="27:28" x14ac:dyDescent="0.25">
      <c r="AA1563" s="89">
        <v>45111.833333333336</v>
      </c>
      <c r="AB1563">
        <v>33.549999999999997</v>
      </c>
    </row>
    <row r="1564" spans="27:28" x14ac:dyDescent="0.25">
      <c r="AA1564" s="89">
        <v>45111.875</v>
      </c>
      <c r="AB1564">
        <v>33.57</v>
      </c>
    </row>
    <row r="1565" spans="27:28" x14ac:dyDescent="0.25">
      <c r="AA1565" s="89">
        <v>45111.916666666664</v>
      </c>
      <c r="AB1565">
        <v>33.590000000000003</v>
      </c>
    </row>
    <row r="1566" spans="27:28" x14ac:dyDescent="0.25">
      <c r="AA1566" s="89">
        <v>45111.958333333336</v>
      </c>
      <c r="AB1566">
        <v>33.61</v>
      </c>
    </row>
    <row r="1567" spans="27:28" x14ac:dyDescent="0.25">
      <c r="AA1567" s="89">
        <v>45112</v>
      </c>
      <c r="AB1567">
        <v>33.630000000000003</v>
      </c>
    </row>
    <row r="1568" spans="27:28" x14ac:dyDescent="0.25">
      <c r="AA1568" s="89">
        <v>45112.041666666664</v>
      </c>
      <c r="AB1568">
        <v>33.65</v>
      </c>
    </row>
    <row r="1569" spans="27:28" x14ac:dyDescent="0.25">
      <c r="AA1569" s="89">
        <v>45112.083333333336</v>
      </c>
      <c r="AB1569">
        <v>33.67</v>
      </c>
    </row>
    <row r="1570" spans="27:28" x14ac:dyDescent="0.25">
      <c r="AA1570" s="89">
        <v>45112.125</v>
      </c>
      <c r="AB1570">
        <v>33.69</v>
      </c>
    </row>
    <row r="1571" spans="27:28" x14ac:dyDescent="0.25">
      <c r="AA1571" s="89">
        <v>45112.166666666664</v>
      </c>
      <c r="AB1571">
        <v>33.71</v>
      </c>
    </row>
    <row r="1572" spans="27:28" x14ac:dyDescent="0.25">
      <c r="AA1572" s="89">
        <v>45112.208333333336</v>
      </c>
      <c r="AB1572">
        <v>33.729999999999997</v>
      </c>
    </row>
    <row r="1573" spans="27:28" x14ac:dyDescent="0.25">
      <c r="AA1573" s="89">
        <v>45112.25</v>
      </c>
      <c r="AB1573">
        <v>33.75</v>
      </c>
    </row>
    <row r="1574" spans="27:28" x14ac:dyDescent="0.25">
      <c r="AA1574" s="89">
        <v>45112.291666666664</v>
      </c>
      <c r="AB1574">
        <v>33.770000000000003</v>
      </c>
    </row>
    <row r="1575" spans="27:28" x14ac:dyDescent="0.25">
      <c r="AA1575" s="89">
        <v>45112.333333333336</v>
      </c>
      <c r="AB1575">
        <v>33.799999999999997</v>
      </c>
    </row>
    <row r="1576" spans="27:28" x14ac:dyDescent="0.25">
      <c r="AA1576" s="89">
        <v>45112.375</v>
      </c>
      <c r="AB1576">
        <v>33.82</v>
      </c>
    </row>
    <row r="1577" spans="27:28" x14ac:dyDescent="0.25">
      <c r="AA1577" s="89">
        <v>45112.416666666664</v>
      </c>
      <c r="AB1577">
        <v>33.85</v>
      </c>
    </row>
    <row r="1578" spans="27:28" x14ac:dyDescent="0.25">
      <c r="AA1578" s="89">
        <v>45112.458333333336</v>
      </c>
      <c r="AB1578">
        <v>33.869999999999997</v>
      </c>
    </row>
    <row r="1579" spans="27:28" x14ac:dyDescent="0.25">
      <c r="AA1579" s="89">
        <v>45112.5</v>
      </c>
      <c r="AB1579">
        <v>33.9</v>
      </c>
    </row>
    <row r="1580" spans="27:28" x14ac:dyDescent="0.25">
      <c r="AA1580" s="89">
        <v>45112.541666666664</v>
      </c>
      <c r="AB1580">
        <v>33.93</v>
      </c>
    </row>
    <row r="1581" spans="27:28" x14ac:dyDescent="0.25">
      <c r="AA1581" s="89">
        <v>45112.583333333336</v>
      </c>
      <c r="AB1581">
        <v>33.950000000000003</v>
      </c>
    </row>
    <row r="1582" spans="27:28" x14ac:dyDescent="0.25">
      <c r="AA1582" s="89">
        <v>45112.625</v>
      </c>
      <c r="AB1582">
        <v>33.979999999999997</v>
      </c>
    </row>
    <row r="1583" spans="27:28" x14ac:dyDescent="0.25">
      <c r="AA1583" s="89">
        <v>45112.666666666664</v>
      </c>
      <c r="AB1583">
        <v>34.01</v>
      </c>
    </row>
    <row r="1584" spans="27:28" x14ac:dyDescent="0.25">
      <c r="AA1584" s="89">
        <v>45112.708333333336</v>
      </c>
      <c r="AB1584">
        <v>34.04</v>
      </c>
    </row>
    <row r="1585" spans="27:28" x14ac:dyDescent="0.25">
      <c r="AA1585" s="89">
        <v>45112.75</v>
      </c>
      <c r="AB1585">
        <v>34.07</v>
      </c>
    </row>
    <row r="1586" spans="27:28" x14ac:dyDescent="0.25">
      <c r="AA1586" s="89">
        <v>45112.791666666664</v>
      </c>
      <c r="AB1586">
        <v>34.090000000000003</v>
      </c>
    </row>
    <row r="1587" spans="27:28" x14ac:dyDescent="0.25">
      <c r="AA1587" s="89">
        <v>45112.833333333336</v>
      </c>
      <c r="AB1587">
        <v>34.119999999999997</v>
      </c>
    </row>
    <row r="1588" spans="27:28" x14ac:dyDescent="0.25">
      <c r="AA1588" s="89">
        <v>45112.875</v>
      </c>
      <c r="AB1588">
        <v>34.15</v>
      </c>
    </row>
    <row r="1589" spans="27:28" x14ac:dyDescent="0.25">
      <c r="AA1589" s="89">
        <v>45112.916666666664</v>
      </c>
      <c r="AB1589">
        <v>34.17</v>
      </c>
    </row>
    <row r="1590" spans="27:28" x14ac:dyDescent="0.25">
      <c r="AA1590" s="89">
        <v>45112.958333333336</v>
      </c>
      <c r="AB1590">
        <v>34.200000000000003</v>
      </c>
    </row>
    <row r="1591" spans="27:28" x14ac:dyDescent="0.25">
      <c r="AA1591" s="89">
        <v>45113</v>
      </c>
      <c r="AB1591">
        <v>34.229999999999997</v>
      </c>
    </row>
    <row r="1592" spans="27:28" x14ac:dyDescent="0.25">
      <c r="AA1592" s="89">
        <v>45113.041666666664</v>
      </c>
      <c r="AB1592">
        <v>34.25</v>
      </c>
    </row>
    <row r="1593" spans="27:28" x14ac:dyDescent="0.25">
      <c r="AA1593" s="89">
        <v>45113.083333333336</v>
      </c>
      <c r="AB1593">
        <v>34.28</v>
      </c>
    </row>
    <row r="1594" spans="27:28" x14ac:dyDescent="0.25">
      <c r="AA1594" s="89">
        <v>45113.125</v>
      </c>
      <c r="AB1594">
        <v>34.299999999999997</v>
      </c>
    </row>
    <row r="1595" spans="27:28" x14ac:dyDescent="0.25">
      <c r="AA1595" s="89">
        <v>45113.166666666664</v>
      </c>
      <c r="AB1595">
        <v>34.33</v>
      </c>
    </row>
    <row r="1596" spans="27:28" x14ac:dyDescent="0.25">
      <c r="AA1596" s="89">
        <v>45113.208333333336</v>
      </c>
      <c r="AB1596">
        <v>34.35</v>
      </c>
    </row>
    <row r="1597" spans="27:28" x14ac:dyDescent="0.25">
      <c r="AA1597" s="89">
        <v>45113.25</v>
      </c>
      <c r="AB1597">
        <v>34.380000000000003</v>
      </c>
    </row>
    <row r="1598" spans="27:28" x14ac:dyDescent="0.25">
      <c r="AA1598" s="89">
        <v>45113.291666666664</v>
      </c>
      <c r="AB1598">
        <v>34.409999999999997</v>
      </c>
    </row>
    <row r="1599" spans="27:28" x14ac:dyDescent="0.25">
      <c r="AA1599" s="89">
        <v>45113.333333333336</v>
      </c>
      <c r="AB1599">
        <v>34.43</v>
      </c>
    </row>
    <row r="1600" spans="27:28" x14ac:dyDescent="0.25">
      <c r="AA1600" s="89">
        <v>45113.375</v>
      </c>
      <c r="AB1600">
        <v>34.46</v>
      </c>
    </row>
    <row r="1601" spans="27:28" x14ac:dyDescent="0.25">
      <c r="AA1601" s="89">
        <v>45113.416666666664</v>
      </c>
      <c r="AB1601">
        <v>34.49</v>
      </c>
    </row>
    <row r="1602" spans="27:28" x14ac:dyDescent="0.25">
      <c r="AA1602" s="89">
        <v>45113.458333333336</v>
      </c>
      <c r="AB1602">
        <v>34.520000000000003</v>
      </c>
    </row>
    <row r="1603" spans="27:28" x14ac:dyDescent="0.25">
      <c r="AA1603" s="89">
        <v>45113.5</v>
      </c>
      <c r="AB1603">
        <v>34.549999999999997</v>
      </c>
    </row>
    <row r="1604" spans="27:28" x14ac:dyDescent="0.25">
      <c r="AA1604" s="89">
        <v>45113.541666666664</v>
      </c>
      <c r="AB1604">
        <v>34.58</v>
      </c>
    </row>
    <row r="1605" spans="27:28" x14ac:dyDescent="0.25">
      <c r="AA1605" s="89">
        <v>45113.583333333336</v>
      </c>
      <c r="AB1605">
        <v>34.61</v>
      </c>
    </row>
    <row r="1606" spans="27:28" x14ac:dyDescent="0.25">
      <c r="AA1606" s="89">
        <v>45113.625</v>
      </c>
      <c r="AB1606">
        <v>34.64</v>
      </c>
    </row>
    <row r="1607" spans="27:28" x14ac:dyDescent="0.25">
      <c r="AA1607" s="89">
        <v>45113.666666666664</v>
      </c>
      <c r="AB1607">
        <v>34.67</v>
      </c>
    </row>
    <row r="1608" spans="27:28" x14ac:dyDescent="0.25">
      <c r="AA1608" s="89">
        <v>45113.708333333336</v>
      </c>
      <c r="AB1608">
        <v>34.700000000000003</v>
      </c>
    </row>
    <row r="1609" spans="27:28" x14ac:dyDescent="0.25">
      <c r="AA1609" s="89">
        <v>45113.75</v>
      </c>
      <c r="AB1609">
        <v>34.729999999999997</v>
      </c>
    </row>
    <row r="1610" spans="27:28" x14ac:dyDescent="0.25">
      <c r="AA1610" s="89">
        <v>45113.791666666664</v>
      </c>
      <c r="AB1610">
        <v>34.75</v>
      </c>
    </row>
    <row r="1611" spans="27:28" x14ac:dyDescent="0.25">
      <c r="AA1611" s="89">
        <v>45113.833333333336</v>
      </c>
      <c r="AB1611">
        <v>34.78</v>
      </c>
    </row>
    <row r="1612" spans="27:28" x14ac:dyDescent="0.25">
      <c r="AA1612" s="89">
        <v>45113.875</v>
      </c>
      <c r="AB1612">
        <v>34.81</v>
      </c>
    </row>
    <row r="1613" spans="27:28" x14ac:dyDescent="0.25">
      <c r="AA1613" s="89">
        <v>45113.916666666664</v>
      </c>
      <c r="AB1613">
        <v>34.840000000000003</v>
      </c>
    </row>
    <row r="1614" spans="27:28" x14ac:dyDescent="0.25">
      <c r="AA1614" s="89">
        <v>45113.958333333336</v>
      </c>
      <c r="AB1614">
        <v>34.86</v>
      </c>
    </row>
    <row r="1615" spans="27:28" x14ac:dyDescent="0.25">
      <c r="AA1615" s="89">
        <v>45114</v>
      </c>
      <c r="AB1615">
        <v>34.89</v>
      </c>
    </row>
    <row r="1616" spans="27:28" x14ac:dyDescent="0.25">
      <c r="AA1616" s="89">
        <v>45114.041666666664</v>
      </c>
      <c r="AB1616">
        <v>34.92</v>
      </c>
    </row>
    <row r="1617" spans="27:28" x14ac:dyDescent="0.25">
      <c r="AA1617" s="89">
        <v>45114.083333333336</v>
      </c>
      <c r="AB1617">
        <v>34.94</v>
      </c>
    </row>
    <row r="1618" spans="27:28" x14ac:dyDescent="0.25">
      <c r="AA1618" s="89">
        <v>45114.125</v>
      </c>
      <c r="AB1618">
        <v>34.97</v>
      </c>
    </row>
    <row r="1619" spans="27:28" x14ac:dyDescent="0.25">
      <c r="AA1619" s="89">
        <v>45114.166666666664</v>
      </c>
      <c r="AB1619">
        <v>34.99</v>
      </c>
    </row>
    <row r="1620" spans="27:28" x14ac:dyDescent="0.25">
      <c r="AA1620" s="89">
        <v>45114.208333333336</v>
      </c>
      <c r="AB1620">
        <v>35.01</v>
      </c>
    </row>
    <row r="1621" spans="27:28" x14ac:dyDescent="0.25">
      <c r="AA1621" s="89">
        <v>45114.25</v>
      </c>
      <c r="AB1621">
        <v>35.04</v>
      </c>
    </row>
    <row r="1622" spans="27:28" x14ac:dyDescent="0.25">
      <c r="AA1622" s="89">
        <v>45114.291666666664</v>
      </c>
      <c r="AB1622">
        <v>35.07</v>
      </c>
    </row>
    <row r="1623" spans="27:28" x14ac:dyDescent="0.25">
      <c r="AA1623" s="89">
        <v>45114.333333333336</v>
      </c>
      <c r="AB1623">
        <v>35.090000000000003</v>
      </c>
    </row>
    <row r="1624" spans="27:28" x14ac:dyDescent="0.25">
      <c r="AA1624" s="89">
        <v>45114.375</v>
      </c>
      <c r="AB1624">
        <v>35.119999999999997</v>
      </c>
    </row>
    <row r="1625" spans="27:28" x14ac:dyDescent="0.25">
      <c r="AA1625" s="89">
        <v>45114.416666666664</v>
      </c>
      <c r="AB1625">
        <v>35.15</v>
      </c>
    </row>
    <row r="1626" spans="27:28" x14ac:dyDescent="0.25">
      <c r="AA1626" s="89">
        <v>45114.458333333336</v>
      </c>
      <c r="AB1626">
        <v>35.18</v>
      </c>
    </row>
    <row r="1627" spans="27:28" x14ac:dyDescent="0.25">
      <c r="AA1627" s="89">
        <v>45114.5</v>
      </c>
      <c r="AB1627">
        <v>35.21</v>
      </c>
    </row>
    <row r="1628" spans="27:28" x14ac:dyDescent="0.25">
      <c r="AA1628" s="89">
        <v>45114.541666666664</v>
      </c>
      <c r="AB1628">
        <v>35.25</v>
      </c>
    </row>
    <row r="1629" spans="27:28" x14ac:dyDescent="0.25">
      <c r="AA1629" s="89">
        <v>45114.583333333336</v>
      </c>
      <c r="AB1629">
        <v>35.28</v>
      </c>
    </row>
    <row r="1630" spans="27:28" x14ac:dyDescent="0.25">
      <c r="AA1630" s="89">
        <v>45114.625</v>
      </c>
      <c r="AB1630">
        <v>35.31</v>
      </c>
    </row>
    <row r="1631" spans="27:28" x14ac:dyDescent="0.25">
      <c r="AA1631" s="89">
        <v>45114.666666666664</v>
      </c>
      <c r="AB1631">
        <v>35.36</v>
      </c>
    </row>
    <row r="1632" spans="27:28" x14ac:dyDescent="0.25">
      <c r="AA1632" s="89">
        <v>45114.708333333336</v>
      </c>
      <c r="AB1632">
        <v>35.39</v>
      </c>
    </row>
    <row r="1633" spans="27:28" x14ac:dyDescent="0.25">
      <c r="AA1633" s="89">
        <v>45114.75</v>
      </c>
      <c r="AB1633">
        <v>35.43</v>
      </c>
    </row>
    <row r="1634" spans="27:28" x14ac:dyDescent="0.25">
      <c r="AA1634" s="89">
        <v>45114.791666666664</v>
      </c>
      <c r="AB1634">
        <v>35.47</v>
      </c>
    </row>
    <row r="1635" spans="27:28" x14ac:dyDescent="0.25">
      <c r="AA1635" s="89">
        <v>45114.833333333336</v>
      </c>
      <c r="AB1635">
        <v>35.51</v>
      </c>
    </row>
    <row r="1636" spans="27:28" x14ac:dyDescent="0.25">
      <c r="AA1636" s="89">
        <v>45114.875</v>
      </c>
      <c r="AB1636">
        <v>35.54</v>
      </c>
    </row>
    <row r="1637" spans="27:28" x14ac:dyDescent="0.25">
      <c r="AA1637" s="89">
        <v>45114.916666666664</v>
      </c>
      <c r="AB1637">
        <v>35.57</v>
      </c>
    </row>
    <row r="1638" spans="27:28" x14ac:dyDescent="0.25">
      <c r="AA1638" s="89">
        <v>45114.958333333336</v>
      </c>
      <c r="AB1638">
        <v>35.61</v>
      </c>
    </row>
    <row r="1639" spans="27:28" x14ac:dyDescent="0.25">
      <c r="AA1639" s="89">
        <v>45115</v>
      </c>
      <c r="AB1639">
        <v>35.64</v>
      </c>
    </row>
    <row r="1640" spans="27:28" x14ac:dyDescent="0.25">
      <c r="AA1640" s="89">
        <v>45115.041666666664</v>
      </c>
      <c r="AB1640">
        <v>35.67</v>
      </c>
    </row>
    <row r="1641" spans="27:28" x14ac:dyDescent="0.25">
      <c r="AA1641" s="89">
        <v>45115.083333333336</v>
      </c>
      <c r="AB1641">
        <v>35.700000000000003</v>
      </c>
    </row>
    <row r="1642" spans="27:28" x14ac:dyDescent="0.25">
      <c r="AA1642" s="89">
        <v>45115.125</v>
      </c>
      <c r="AB1642">
        <v>35.729999999999997</v>
      </c>
    </row>
    <row r="1643" spans="27:28" x14ac:dyDescent="0.25">
      <c r="AA1643" s="89">
        <v>45115.166666666664</v>
      </c>
      <c r="AB1643">
        <v>35.76</v>
      </c>
    </row>
    <row r="1644" spans="27:28" x14ac:dyDescent="0.25">
      <c r="AA1644" s="89">
        <v>45115.208333333336</v>
      </c>
      <c r="AB1644">
        <v>35.79</v>
      </c>
    </row>
    <row r="1645" spans="27:28" x14ac:dyDescent="0.25">
      <c r="AA1645" s="89">
        <v>45115.25</v>
      </c>
      <c r="AB1645">
        <v>35.82</v>
      </c>
    </row>
    <row r="1646" spans="27:28" x14ac:dyDescent="0.25">
      <c r="AA1646" s="89">
        <v>45115.291666666664</v>
      </c>
      <c r="AB1646">
        <v>35.86</v>
      </c>
    </row>
    <row r="1647" spans="27:28" x14ac:dyDescent="0.25">
      <c r="AA1647" s="89">
        <v>45115.333333333336</v>
      </c>
      <c r="AB1647">
        <v>35.880000000000003</v>
      </c>
    </row>
    <row r="1648" spans="27:28" x14ac:dyDescent="0.25">
      <c r="AA1648" s="89">
        <v>45115.375</v>
      </c>
      <c r="AB1648">
        <v>35.909999999999997</v>
      </c>
    </row>
    <row r="1649" spans="27:28" x14ac:dyDescent="0.25">
      <c r="AA1649" s="89">
        <v>45115.416666666664</v>
      </c>
      <c r="AB1649">
        <v>35.950000000000003</v>
      </c>
    </row>
    <row r="1650" spans="27:28" x14ac:dyDescent="0.25">
      <c r="AA1650" s="89">
        <v>45115.458333333336</v>
      </c>
      <c r="AB1650">
        <v>35.979999999999997</v>
      </c>
    </row>
    <row r="1651" spans="27:28" x14ac:dyDescent="0.25">
      <c r="AA1651" s="89">
        <v>45115.5</v>
      </c>
      <c r="AB1651">
        <v>36.020000000000003</v>
      </c>
    </row>
    <row r="1652" spans="27:28" x14ac:dyDescent="0.25">
      <c r="AA1652" s="89">
        <v>45115.541666666664</v>
      </c>
      <c r="AB1652">
        <v>36.06</v>
      </c>
    </row>
    <row r="1653" spans="27:28" x14ac:dyDescent="0.25">
      <c r="AA1653" s="89">
        <v>45115.583333333336</v>
      </c>
      <c r="AB1653">
        <v>36.1</v>
      </c>
    </row>
    <row r="1654" spans="27:28" x14ac:dyDescent="0.25">
      <c r="AA1654" s="89">
        <v>45115.625</v>
      </c>
      <c r="AB1654">
        <v>36.14</v>
      </c>
    </row>
    <row r="1655" spans="27:28" x14ac:dyDescent="0.25">
      <c r="AA1655" s="89">
        <v>45115.666666666664</v>
      </c>
      <c r="AB1655">
        <v>36.17</v>
      </c>
    </row>
    <row r="1656" spans="27:28" x14ac:dyDescent="0.25">
      <c r="AA1656" s="89">
        <v>45115.708333333336</v>
      </c>
      <c r="AB1656">
        <v>36.21</v>
      </c>
    </row>
    <row r="1657" spans="27:28" x14ac:dyDescent="0.25">
      <c r="AA1657" s="89">
        <v>45115.75</v>
      </c>
      <c r="AB1657">
        <v>36.25</v>
      </c>
    </row>
    <row r="1658" spans="27:28" x14ac:dyDescent="0.25">
      <c r="AA1658" s="89">
        <v>45115.791666666664</v>
      </c>
      <c r="AB1658">
        <v>36.29</v>
      </c>
    </row>
    <row r="1659" spans="27:28" x14ac:dyDescent="0.25">
      <c r="AA1659" s="89">
        <v>45115.833333333336</v>
      </c>
      <c r="AB1659">
        <v>36.33</v>
      </c>
    </row>
    <row r="1660" spans="27:28" x14ac:dyDescent="0.25">
      <c r="AA1660" s="89">
        <v>45115.875</v>
      </c>
      <c r="AB1660">
        <v>36.36</v>
      </c>
    </row>
    <row r="1661" spans="27:28" x14ac:dyDescent="0.25">
      <c r="AA1661" s="89">
        <v>45115.916666666664</v>
      </c>
      <c r="AB1661">
        <v>36.4</v>
      </c>
    </row>
    <row r="1662" spans="27:28" x14ac:dyDescent="0.25">
      <c r="AA1662" s="89">
        <v>45115.958333333336</v>
      </c>
      <c r="AB1662">
        <v>36.43</v>
      </c>
    </row>
    <row r="1663" spans="27:28" x14ac:dyDescent="0.25">
      <c r="AA1663" s="89">
        <v>45116</v>
      </c>
      <c r="AB1663">
        <v>36.46</v>
      </c>
    </row>
    <row r="1664" spans="27:28" x14ac:dyDescent="0.25">
      <c r="AA1664" s="89">
        <v>45116.041666666664</v>
      </c>
      <c r="AB1664">
        <v>36.49</v>
      </c>
    </row>
    <row r="1665" spans="27:28" x14ac:dyDescent="0.25">
      <c r="AA1665" s="89">
        <v>45116.083333333336</v>
      </c>
      <c r="AB1665">
        <v>36.520000000000003</v>
      </c>
    </row>
    <row r="1666" spans="27:28" x14ac:dyDescent="0.25">
      <c r="AA1666" s="89">
        <v>45116.125</v>
      </c>
      <c r="AB1666">
        <v>36.549999999999997</v>
      </c>
    </row>
    <row r="1667" spans="27:28" x14ac:dyDescent="0.25">
      <c r="AA1667" s="89">
        <v>45116.166666666664</v>
      </c>
      <c r="AB1667">
        <v>36.590000000000003</v>
      </c>
    </row>
    <row r="1668" spans="27:28" x14ac:dyDescent="0.25">
      <c r="AA1668" s="89">
        <v>45116.208333333336</v>
      </c>
      <c r="AB1668">
        <v>36.619999999999997</v>
      </c>
    </row>
    <row r="1669" spans="27:28" x14ac:dyDescent="0.25">
      <c r="AA1669" s="89">
        <v>45116.25</v>
      </c>
      <c r="AB1669">
        <v>36.659999999999997</v>
      </c>
    </row>
    <row r="1670" spans="27:28" x14ac:dyDescent="0.25">
      <c r="AA1670" s="89">
        <v>45116.291666666664</v>
      </c>
      <c r="AB1670">
        <v>36.69</v>
      </c>
    </row>
    <row r="1671" spans="27:28" x14ac:dyDescent="0.25">
      <c r="AA1671" s="89">
        <v>45116.333333333336</v>
      </c>
      <c r="AB1671">
        <v>36.72</v>
      </c>
    </row>
    <row r="1672" spans="27:28" x14ac:dyDescent="0.25">
      <c r="AA1672" s="89">
        <v>45116.375</v>
      </c>
      <c r="AB1672">
        <v>36.76</v>
      </c>
    </row>
    <row r="1673" spans="27:28" x14ac:dyDescent="0.25">
      <c r="AA1673" s="89">
        <v>45116.416666666664</v>
      </c>
      <c r="AB1673">
        <v>36.799999999999997</v>
      </c>
    </row>
    <row r="1674" spans="27:28" x14ac:dyDescent="0.25">
      <c r="AA1674" s="89">
        <v>45116.458333333336</v>
      </c>
      <c r="AB1674">
        <v>36.83</v>
      </c>
    </row>
    <row r="1675" spans="27:28" x14ac:dyDescent="0.25">
      <c r="AA1675" s="89">
        <v>45116.5</v>
      </c>
      <c r="AB1675">
        <v>36.869999999999997</v>
      </c>
    </row>
    <row r="1676" spans="27:28" x14ac:dyDescent="0.25">
      <c r="AA1676" s="89">
        <v>45116.541666666664</v>
      </c>
      <c r="AB1676">
        <v>36.9</v>
      </c>
    </row>
    <row r="1677" spans="27:28" x14ac:dyDescent="0.25">
      <c r="AA1677" s="89">
        <v>45116.583333333336</v>
      </c>
      <c r="AB1677">
        <v>36.94</v>
      </c>
    </row>
    <row r="1678" spans="27:28" x14ac:dyDescent="0.25">
      <c r="AA1678" s="89">
        <v>45116.625</v>
      </c>
      <c r="AB1678">
        <v>36.979999999999997</v>
      </c>
    </row>
    <row r="1679" spans="27:28" x14ac:dyDescent="0.25">
      <c r="AA1679" s="89">
        <v>45116.666666666664</v>
      </c>
      <c r="AB1679">
        <v>37.020000000000003</v>
      </c>
    </row>
    <row r="1680" spans="27:28" x14ac:dyDescent="0.25">
      <c r="AA1680" s="89">
        <v>45116.708333333336</v>
      </c>
      <c r="AB1680">
        <v>37.06</v>
      </c>
    </row>
    <row r="1681" spans="27:28" x14ac:dyDescent="0.25">
      <c r="AA1681" s="89">
        <v>45116.75</v>
      </c>
      <c r="AB1681">
        <v>37.1</v>
      </c>
    </row>
    <row r="1682" spans="27:28" x14ac:dyDescent="0.25">
      <c r="AA1682" s="89">
        <v>45116.791666666664</v>
      </c>
      <c r="AB1682">
        <v>37.130000000000003</v>
      </c>
    </row>
    <row r="1683" spans="27:28" x14ac:dyDescent="0.25">
      <c r="AA1683" s="89">
        <v>45116.833333333336</v>
      </c>
      <c r="AB1683">
        <v>37.17</v>
      </c>
    </row>
    <row r="1684" spans="27:28" x14ac:dyDescent="0.25">
      <c r="AA1684" s="89">
        <v>45116.875</v>
      </c>
      <c r="AB1684">
        <v>37.200000000000003</v>
      </c>
    </row>
    <row r="1685" spans="27:28" x14ac:dyDescent="0.25">
      <c r="AA1685" s="89">
        <v>45116.916666666664</v>
      </c>
      <c r="AB1685">
        <v>37.24</v>
      </c>
    </row>
    <row r="1686" spans="27:28" x14ac:dyDescent="0.25">
      <c r="AA1686" s="89">
        <v>45116.958333333336</v>
      </c>
      <c r="AB1686">
        <v>37.29</v>
      </c>
    </row>
    <row r="1687" spans="27:28" x14ac:dyDescent="0.25">
      <c r="AA1687" s="89">
        <v>45117</v>
      </c>
      <c r="AB1687">
        <v>37.33</v>
      </c>
    </row>
    <row r="1688" spans="27:28" x14ac:dyDescent="0.25">
      <c r="AA1688" s="89">
        <v>45117.041666666664</v>
      </c>
      <c r="AB1688">
        <v>37.380000000000003</v>
      </c>
    </row>
    <row r="1689" spans="27:28" x14ac:dyDescent="0.25">
      <c r="AA1689" s="89">
        <v>45117.083333333336</v>
      </c>
      <c r="AB1689">
        <v>37.42</v>
      </c>
    </row>
    <row r="1690" spans="27:28" x14ac:dyDescent="0.25">
      <c r="AA1690" s="89">
        <v>45117.125</v>
      </c>
      <c r="AB1690">
        <v>37.47</v>
      </c>
    </row>
    <row r="1691" spans="27:28" x14ac:dyDescent="0.25">
      <c r="AA1691" s="89">
        <v>45117.166666666664</v>
      </c>
      <c r="AB1691">
        <v>37.51</v>
      </c>
    </row>
    <row r="1692" spans="27:28" x14ac:dyDescent="0.25">
      <c r="AA1692" s="89">
        <v>45117.208333333336</v>
      </c>
      <c r="AB1692">
        <v>37.549999999999997</v>
      </c>
    </row>
    <row r="1693" spans="27:28" x14ac:dyDescent="0.25">
      <c r="AA1693" s="89">
        <v>45117.25</v>
      </c>
      <c r="AB1693">
        <v>37.6</v>
      </c>
    </row>
    <row r="1694" spans="27:28" x14ac:dyDescent="0.25">
      <c r="AA1694" s="89">
        <v>45117.291666666664</v>
      </c>
      <c r="AB1694">
        <v>37.64</v>
      </c>
    </row>
    <row r="1695" spans="27:28" x14ac:dyDescent="0.25">
      <c r="AA1695" s="89">
        <v>45117.333333333336</v>
      </c>
      <c r="AB1695">
        <v>37.68</v>
      </c>
    </row>
    <row r="1696" spans="27:28" x14ac:dyDescent="0.25">
      <c r="AA1696" s="89">
        <v>45117.375</v>
      </c>
      <c r="AB1696">
        <v>37.729999999999997</v>
      </c>
    </row>
    <row r="1697" spans="27:28" x14ac:dyDescent="0.25">
      <c r="AA1697" s="89">
        <v>45117.416666666664</v>
      </c>
      <c r="AB1697">
        <v>37.770000000000003</v>
      </c>
    </row>
    <row r="1698" spans="27:28" x14ac:dyDescent="0.25">
      <c r="AA1698" s="89">
        <v>45117.458333333336</v>
      </c>
      <c r="AB1698">
        <v>37.81</v>
      </c>
    </row>
    <row r="1699" spans="27:28" x14ac:dyDescent="0.25">
      <c r="AA1699" s="89">
        <v>45117.5</v>
      </c>
      <c r="AB1699">
        <v>37.86</v>
      </c>
    </row>
    <row r="1700" spans="27:28" x14ac:dyDescent="0.25">
      <c r="AA1700" s="89">
        <v>45117.541666666664</v>
      </c>
      <c r="AB1700">
        <v>37.9</v>
      </c>
    </row>
    <row r="1701" spans="27:28" x14ac:dyDescent="0.25">
      <c r="AA1701" s="89">
        <v>45117.583333333336</v>
      </c>
      <c r="AB1701">
        <v>37.950000000000003</v>
      </c>
    </row>
    <row r="1702" spans="27:28" x14ac:dyDescent="0.25">
      <c r="AA1702" s="89">
        <v>45117.625</v>
      </c>
      <c r="AB1702">
        <v>37.99</v>
      </c>
    </row>
    <row r="1703" spans="27:28" x14ac:dyDescent="0.25">
      <c r="AA1703" s="89">
        <v>45117.666666666664</v>
      </c>
      <c r="AB1703">
        <v>38.04</v>
      </c>
    </row>
    <row r="1704" spans="27:28" x14ac:dyDescent="0.25">
      <c r="AA1704" s="89">
        <v>45117.708333333336</v>
      </c>
      <c r="AB1704">
        <v>38.08</v>
      </c>
    </row>
    <row r="1705" spans="27:28" x14ac:dyDescent="0.25">
      <c r="AA1705" s="89">
        <v>45117.75</v>
      </c>
      <c r="AB1705">
        <v>38.119999999999997</v>
      </c>
    </row>
    <row r="1706" spans="27:28" x14ac:dyDescent="0.25">
      <c r="AA1706" s="89">
        <v>45117.791666666664</v>
      </c>
      <c r="AB1706">
        <v>38.159999999999997</v>
      </c>
    </row>
    <row r="1707" spans="27:28" x14ac:dyDescent="0.25">
      <c r="AA1707" s="89">
        <v>45117.833333333336</v>
      </c>
      <c r="AB1707">
        <v>38.200000000000003</v>
      </c>
    </row>
    <row r="1708" spans="27:28" x14ac:dyDescent="0.25">
      <c r="AA1708" s="89">
        <v>45117.875</v>
      </c>
      <c r="AB1708">
        <v>38.229999999999997</v>
      </c>
    </row>
    <row r="1709" spans="27:28" x14ac:dyDescent="0.25">
      <c r="AA1709" s="89">
        <v>45117.916666666664</v>
      </c>
      <c r="AB1709">
        <v>38.270000000000003</v>
      </c>
    </row>
    <row r="1710" spans="27:28" x14ac:dyDescent="0.25">
      <c r="AA1710" s="89">
        <v>45117.958333333336</v>
      </c>
      <c r="AB1710">
        <v>38.299999999999997</v>
      </c>
    </row>
    <row r="1711" spans="27:28" x14ac:dyDescent="0.25">
      <c r="AA1711" s="89">
        <v>45118</v>
      </c>
      <c r="AB1711">
        <v>38.33</v>
      </c>
    </row>
    <row r="1712" spans="27:28" x14ac:dyDescent="0.25">
      <c r="AA1712" s="89">
        <v>45118.041666666664</v>
      </c>
      <c r="AB1712">
        <v>38.36</v>
      </c>
    </row>
    <row r="1713" spans="27:28" x14ac:dyDescent="0.25">
      <c r="AA1713" s="89">
        <v>45118.083333333336</v>
      </c>
      <c r="AB1713">
        <v>38.39</v>
      </c>
    </row>
    <row r="1714" spans="27:28" x14ac:dyDescent="0.25">
      <c r="AA1714" s="89">
        <v>45118.125</v>
      </c>
      <c r="AB1714">
        <v>38.42</v>
      </c>
    </row>
    <row r="1715" spans="27:28" x14ac:dyDescent="0.25">
      <c r="AA1715" s="89">
        <v>45118.166666666664</v>
      </c>
      <c r="AB1715">
        <v>38.44</v>
      </c>
    </row>
    <row r="1716" spans="27:28" x14ac:dyDescent="0.25">
      <c r="AA1716" s="89">
        <v>45118.208333333336</v>
      </c>
      <c r="AB1716">
        <v>38.47</v>
      </c>
    </row>
    <row r="1717" spans="27:28" x14ac:dyDescent="0.25">
      <c r="AA1717" s="89">
        <v>45118.25</v>
      </c>
      <c r="AB1717">
        <v>38.5</v>
      </c>
    </row>
    <row r="1718" spans="27:28" x14ac:dyDescent="0.25">
      <c r="AA1718" s="89">
        <v>45118.291666666664</v>
      </c>
      <c r="AB1718">
        <v>38.53</v>
      </c>
    </row>
    <row r="1719" spans="27:28" x14ac:dyDescent="0.25">
      <c r="AA1719" s="89">
        <v>45118.333333333336</v>
      </c>
      <c r="AB1719">
        <v>38.56</v>
      </c>
    </row>
    <row r="1720" spans="27:28" x14ac:dyDescent="0.25">
      <c r="AA1720" s="89">
        <v>45118.375</v>
      </c>
      <c r="AB1720">
        <v>38.590000000000003</v>
      </c>
    </row>
    <row r="1721" spans="27:28" x14ac:dyDescent="0.25">
      <c r="AA1721" s="89">
        <v>45118.416666666664</v>
      </c>
      <c r="AB1721">
        <v>38.619999999999997</v>
      </c>
    </row>
    <row r="1722" spans="27:28" x14ac:dyDescent="0.25">
      <c r="AA1722" s="89">
        <v>45118.458333333336</v>
      </c>
      <c r="AB1722">
        <v>38.659999999999997</v>
      </c>
    </row>
    <row r="1723" spans="27:28" x14ac:dyDescent="0.25">
      <c r="AA1723" s="89">
        <v>45118.5</v>
      </c>
      <c r="AB1723">
        <v>38.69</v>
      </c>
    </row>
    <row r="1724" spans="27:28" x14ac:dyDescent="0.25">
      <c r="AA1724" s="89">
        <v>45118.541666666664</v>
      </c>
      <c r="AB1724">
        <v>38.72</v>
      </c>
    </row>
    <row r="1725" spans="27:28" x14ac:dyDescent="0.25">
      <c r="AA1725" s="89">
        <v>45118.583333333336</v>
      </c>
      <c r="AB1725">
        <v>38.75</v>
      </c>
    </row>
    <row r="1726" spans="27:28" x14ac:dyDescent="0.25">
      <c r="AA1726" s="89">
        <v>45118.625</v>
      </c>
      <c r="AB1726">
        <v>38.79</v>
      </c>
    </row>
    <row r="1727" spans="27:28" x14ac:dyDescent="0.25">
      <c r="AA1727" s="89">
        <v>45118.666666666664</v>
      </c>
      <c r="AB1727">
        <v>38.82</v>
      </c>
    </row>
    <row r="1728" spans="27:28" x14ac:dyDescent="0.25">
      <c r="AA1728" s="89">
        <v>45118.708333333336</v>
      </c>
      <c r="AB1728">
        <v>38.85</v>
      </c>
    </row>
    <row r="1729" spans="27:28" x14ac:dyDescent="0.25">
      <c r="AA1729" s="89">
        <v>45118.75</v>
      </c>
      <c r="AB1729">
        <v>38.880000000000003</v>
      </c>
    </row>
    <row r="1730" spans="27:28" x14ac:dyDescent="0.25">
      <c r="AA1730" s="89">
        <v>45118.791666666664</v>
      </c>
      <c r="AB1730">
        <v>38.909999999999997</v>
      </c>
    </row>
    <row r="1731" spans="27:28" x14ac:dyDescent="0.25">
      <c r="AA1731" s="89">
        <v>45118.833333333336</v>
      </c>
      <c r="AB1731">
        <v>38.950000000000003</v>
      </c>
    </row>
    <row r="1732" spans="27:28" x14ac:dyDescent="0.25">
      <c r="AA1732" s="89">
        <v>45118.875</v>
      </c>
      <c r="AB1732">
        <v>38.97</v>
      </c>
    </row>
    <row r="1733" spans="27:28" x14ac:dyDescent="0.25">
      <c r="AA1733" s="89">
        <v>45118.916666666664</v>
      </c>
      <c r="AB1733">
        <v>39</v>
      </c>
    </row>
    <row r="1734" spans="27:28" x14ac:dyDescent="0.25">
      <c r="AA1734" s="89">
        <v>45118.958333333336</v>
      </c>
      <c r="AB1734">
        <v>39.03</v>
      </c>
    </row>
    <row r="1735" spans="27:28" x14ac:dyDescent="0.25">
      <c r="AA1735" s="89">
        <v>45119</v>
      </c>
      <c r="AB1735">
        <v>39.049999999999997</v>
      </c>
    </row>
    <row r="1736" spans="27:28" x14ac:dyDescent="0.25">
      <c r="AA1736" s="89">
        <v>45119.041666666664</v>
      </c>
      <c r="AB1736">
        <v>39.08</v>
      </c>
    </row>
    <row r="1737" spans="27:28" x14ac:dyDescent="0.25">
      <c r="AA1737" s="89">
        <v>45119.083333333336</v>
      </c>
      <c r="AB1737">
        <v>39.11</v>
      </c>
    </row>
    <row r="1738" spans="27:28" x14ac:dyDescent="0.25">
      <c r="AA1738" s="89">
        <v>45119.125</v>
      </c>
      <c r="AB1738">
        <v>39.130000000000003</v>
      </c>
    </row>
    <row r="1739" spans="27:28" x14ac:dyDescent="0.25">
      <c r="AA1739" s="89">
        <v>45119.166666666664</v>
      </c>
      <c r="AB1739">
        <v>39.159999999999997</v>
      </c>
    </row>
    <row r="1740" spans="27:28" x14ac:dyDescent="0.25">
      <c r="AA1740" s="89">
        <v>45119.208333333336</v>
      </c>
      <c r="AB1740">
        <v>39.18</v>
      </c>
    </row>
    <row r="1741" spans="27:28" x14ac:dyDescent="0.25">
      <c r="AA1741" s="89">
        <v>45119.25</v>
      </c>
      <c r="AB1741">
        <v>39.21</v>
      </c>
    </row>
    <row r="1742" spans="27:28" x14ac:dyDescent="0.25">
      <c r="AA1742" s="89">
        <v>45119.291666666664</v>
      </c>
      <c r="AB1742">
        <v>39.229999999999997</v>
      </c>
    </row>
    <row r="1743" spans="27:28" x14ac:dyDescent="0.25">
      <c r="AA1743" s="89">
        <v>45119.333333333336</v>
      </c>
      <c r="AB1743">
        <v>39.26</v>
      </c>
    </row>
    <row r="1744" spans="27:28" x14ac:dyDescent="0.25">
      <c r="AA1744" s="89">
        <v>45119.375</v>
      </c>
      <c r="AB1744">
        <v>39.28</v>
      </c>
    </row>
    <row r="1745" spans="27:28" x14ac:dyDescent="0.25">
      <c r="AA1745" s="89">
        <v>45119.416666666664</v>
      </c>
      <c r="AB1745">
        <v>39.32</v>
      </c>
    </row>
    <row r="1746" spans="27:28" x14ac:dyDescent="0.25">
      <c r="AA1746" s="89">
        <v>45119.458333333336</v>
      </c>
      <c r="AB1746">
        <v>39.340000000000003</v>
      </c>
    </row>
    <row r="1747" spans="27:28" x14ac:dyDescent="0.25">
      <c r="AA1747" s="89">
        <v>45119.5</v>
      </c>
      <c r="AB1747">
        <v>39.369999999999997</v>
      </c>
    </row>
    <row r="1748" spans="27:28" x14ac:dyDescent="0.25">
      <c r="AA1748" s="89">
        <v>45119.541666666664</v>
      </c>
      <c r="AB1748">
        <v>39.4</v>
      </c>
    </row>
    <row r="1749" spans="27:28" x14ac:dyDescent="0.25">
      <c r="AA1749" s="89">
        <v>45119.583333333336</v>
      </c>
      <c r="AB1749">
        <v>39.43</v>
      </c>
    </row>
    <row r="1750" spans="27:28" x14ac:dyDescent="0.25">
      <c r="AA1750" s="89">
        <v>45119.625</v>
      </c>
      <c r="AB1750">
        <v>39.46</v>
      </c>
    </row>
    <row r="1751" spans="27:28" x14ac:dyDescent="0.25">
      <c r="AA1751" s="89">
        <v>45119.666666666664</v>
      </c>
      <c r="AB1751">
        <v>39.49</v>
      </c>
    </row>
    <row r="1752" spans="27:28" x14ac:dyDescent="0.25">
      <c r="AA1752" s="89">
        <v>45119.708333333336</v>
      </c>
      <c r="AB1752">
        <v>39.520000000000003</v>
      </c>
    </row>
    <row r="1753" spans="27:28" x14ac:dyDescent="0.25">
      <c r="AA1753" s="89">
        <v>45119.75</v>
      </c>
      <c r="AB1753">
        <v>39.549999999999997</v>
      </c>
    </row>
    <row r="1754" spans="27:28" x14ac:dyDescent="0.25">
      <c r="AA1754" s="89">
        <v>45119.791666666664</v>
      </c>
      <c r="AB1754">
        <v>39.57</v>
      </c>
    </row>
    <row r="1755" spans="27:28" x14ac:dyDescent="0.25">
      <c r="AA1755" s="89">
        <v>45119.833333333336</v>
      </c>
      <c r="AB1755">
        <v>39.6</v>
      </c>
    </row>
    <row r="1756" spans="27:28" x14ac:dyDescent="0.25">
      <c r="AA1756" s="89">
        <v>45119.875</v>
      </c>
      <c r="AB1756">
        <v>39.630000000000003</v>
      </c>
    </row>
    <row r="1757" spans="27:28" x14ac:dyDescent="0.25">
      <c r="AA1757" s="89">
        <v>45119.916666666664</v>
      </c>
      <c r="AB1757">
        <v>39.65</v>
      </c>
    </row>
    <row r="1758" spans="27:28" x14ac:dyDescent="0.25">
      <c r="AA1758" s="89">
        <v>45119.958333333336</v>
      </c>
      <c r="AB1758">
        <v>39.67</v>
      </c>
    </row>
    <row r="1759" spans="27:28" x14ac:dyDescent="0.25">
      <c r="AA1759" s="89">
        <v>45120</v>
      </c>
      <c r="AB1759">
        <v>39.700000000000003</v>
      </c>
    </row>
    <row r="1760" spans="27:28" x14ac:dyDescent="0.25">
      <c r="AA1760" s="89">
        <v>45120.041666666664</v>
      </c>
      <c r="AB1760">
        <v>39.729999999999997</v>
      </c>
    </row>
    <row r="1761" spans="27:28" x14ac:dyDescent="0.25">
      <c r="AA1761" s="89">
        <v>45120.083333333336</v>
      </c>
      <c r="AB1761">
        <v>39.75</v>
      </c>
    </row>
    <row r="1762" spans="27:28" x14ac:dyDescent="0.25">
      <c r="AA1762" s="89">
        <v>45120.125</v>
      </c>
      <c r="AB1762">
        <v>39.770000000000003</v>
      </c>
    </row>
    <row r="1763" spans="27:28" x14ac:dyDescent="0.25">
      <c r="AA1763" s="89">
        <v>45120.166666666664</v>
      </c>
      <c r="AB1763">
        <v>39.79</v>
      </c>
    </row>
    <row r="1764" spans="27:28" x14ac:dyDescent="0.25">
      <c r="AA1764" s="89">
        <v>45120.208333333336</v>
      </c>
      <c r="AB1764">
        <v>39.82</v>
      </c>
    </row>
    <row r="1765" spans="27:28" x14ac:dyDescent="0.25">
      <c r="AA1765" s="89">
        <v>45120.25</v>
      </c>
      <c r="AB1765">
        <v>39.840000000000003</v>
      </c>
    </row>
    <row r="1766" spans="27:28" x14ac:dyDescent="0.25">
      <c r="AA1766" s="89">
        <v>45120.291666666664</v>
      </c>
      <c r="AB1766">
        <v>39.86</v>
      </c>
    </row>
    <row r="1767" spans="27:28" x14ac:dyDescent="0.25">
      <c r="AA1767" s="89">
        <v>45120.333333333336</v>
      </c>
      <c r="AB1767">
        <v>39.89</v>
      </c>
    </row>
    <row r="1768" spans="27:28" x14ac:dyDescent="0.25">
      <c r="AA1768" s="89">
        <v>45120.375</v>
      </c>
      <c r="AB1768">
        <v>39.909999999999997</v>
      </c>
    </row>
    <row r="1769" spans="27:28" x14ac:dyDescent="0.25">
      <c r="AA1769" s="89">
        <v>45120.416666666664</v>
      </c>
      <c r="AB1769">
        <v>39.94</v>
      </c>
    </row>
    <row r="1770" spans="27:28" x14ac:dyDescent="0.25">
      <c r="AA1770" s="89">
        <v>45120.458333333336</v>
      </c>
      <c r="AB1770">
        <v>39.97</v>
      </c>
    </row>
    <row r="1771" spans="27:28" x14ac:dyDescent="0.25">
      <c r="AA1771" s="89">
        <v>45120.5</v>
      </c>
      <c r="AB1771">
        <v>40</v>
      </c>
    </row>
    <row r="1772" spans="27:28" x14ac:dyDescent="0.25">
      <c r="AA1772" s="89">
        <v>45120.541666666664</v>
      </c>
      <c r="AB1772">
        <v>40.03</v>
      </c>
    </row>
    <row r="1773" spans="27:28" x14ac:dyDescent="0.25">
      <c r="AA1773" s="89">
        <v>45120.583333333336</v>
      </c>
      <c r="AB1773">
        <v>40.049999999999997</v>
      </c>
    </row>
    <row r="1774" spans="27:28" x14ac:dyDescent="0.25">
      <c r="AA1774" s="89">
        <v>45120.625</v>
      </c>
      <c r="AB1774">
        <v>40.08</v>
      </c>
    </row>
    <row r="1775" spans="27:28" x14ac:dyDescent="0.25">
      <c r="AA1775" s="89">
        <v>45120.666666666664</v>
      </c>
      <c r="AB1775">
        <v>40.119999999999997</v>
      </c>
    </row>
    <row r="1776" spans="27:28" x14ac:dyDescent="0.25">
      <c r="AA1776" s="89">
        <v>45120.708333333336</v>
      </c>
      <c r="AB1776">
        <v>40.15</v>
      </c>
    </row>
    <row r="1777" spans="27:28" x14ac:dyDescent="0.25">
      <c r="AA1777" s="89">
        <v>45120.75</v>
      </c>
      <c r="AB1777">
        <v>40.18</v>
      </c>
    </row>
    <row r="1778" spans="27:28" x14ac:dyDescent="0.25">
      <c r="AA1778" s="89">
        <v>45120.791666666664</v>
      </c>
      <c r="AB1778">
        <v>40.21</v>
      </c>
    </row>
    <row r="1779" spans="27:28" x14ac:dyDescent="0.25">
      <c r="AA1779" s="89">
        <v>45120.833333333336</v>
      </c>
      <c r="AB1779">
        <v>40.24</v>
      </c>
    </row>
    <row r="1780" spans="27:28" x14ac:dyDescent="0.25">
      <c r="AA1780" s="89">
        <v>45120.875</v>
      </c>
      <c r="AB1780">
        <v>40.270000000000003</v>
      </c>
    </row>
    <row r="1781" spans="27:28" x14ac:dyDescent="0.25">
      <c r="AA1781" s="89">
        <v>45120.916666666664</v>
      </c>
      <c r="AB1781">
        <v>40.299999999999997</v>
      </c>
    </row>
    <row r="1782" spans="27:28" x14ac:dyDescent="0.25">
      <c r="AA1782" s="89">
        <v>45120.958333333336</v>
      </c>
      <c r="AB1782">
        <v>40.33</v>
      </c>
    </row>
    <row r="1783" spans="27:28" x14ac:dyDescent="0.25">
      <c r="AA1783" s="89">
        <v>45121</v>
      </c>
      <c r="AB1783">
        <v>40.35</v>
      </c>
    </row>
    <row r="1784" spans="27:28" x14ac:dyDescent="0.25">
      <c r="AA1784" s="89">
        <v>45121.041666666664</v>
      </c>
      <c r="AB1784">
        <v>40.380000000000003</v>
      </c>
    </row>
    <row r="1785" spans="27:28" x14ac:dyDescent="0.25">
      <c r="AA1785" s="89">
        <v>45121.083333333336</v>
      </c>
      <c r="AB1785">
        <v>40.409999999999997</v>
      </c>
    </row>
    <row r="1786" spans="27:28" x14ac:dyDescent="0.25">
      <c r="AA1786" s="89">
        <v>45121.125</v>
      </c>
      <c r="AB1786">
        <v>40.43</v>
      </c>
    </row>
    <row r="1787" spans="27:28" x14ac:dyDescent="0.25">
      <c r="AA1787" s="89">
        <v>45121.166666666664</v>
      </c>
      <c r="AB1787">
        <v>40.46</v>
      </c>
    </row>
    <row r="1788" spans="27:28" x14ac:dyDescent="0.25">
      <c r="AA1788" s="89">
        <v>45121.208333333336</v>
      </c>
      <c r="AB1788">
        <v>40.479999999999997</v>
      </c>
    </row>
    <row r="1789" spans="27:28" x14ac:dyDescent="0.25">
      <c r="AA1789" s="89">
        <v>45121.25</v>
      </c>
      <c r="AB1789">
        <v>40.51</v>
      </c>
    </row>
    <row r="1790" spans="27:28" x14ac:dyDescent="0.25">
      <c r="AA1790" s="89">
        <v>45121.291666666664</v>
      </c>
      <c r="AB1790">
        <v>40.54</v>
      </c>
    </row>
    <row r="1791" spans="27:28" x14ac:dyDescent="0.25">
      <c r="AA1791" s="89">
        <v>45121.333333333336</v>
      </c>
      <c r="AB1791">
        <v>40.56</v>
      </c>
    </row>
    <row r="1792" spans="27:28" x14ac:dyDescent="0.25">
      <c r="AA1792" s="89">
        <v>45121.375</v>
      </c>
      <c r="AB1792">
        <v>40.590000000000003</v>
      </c>
    </row>
    <row r="1793" spans="27:28" x14ac:dyDescent="0.25">
      <c r="AA1793" s="89">
        <v>45121.416666666664</v>
      </c>
      <c r="AB1793">
        <v>40.61</v>
      </c>
    </row>
    <row r="1794" spans="27:28" x14ac:dyDescent="0.25">
      <c r="AA1794" s="89">
        <v>45121.458333333336</v>
      </c>
      <c r="AB1794">
        <v>40.64</v>
      </c>
    </row>
    <row r="1795" spans="27:28" x14ac:dyDescent="0.25">
      <c r="AA1795" s="89">
        <v>45121.5</v>
      </c>
      <c r="AB1795">
        <v>40.67</v>
      </c>
    </row>
    <row r="1796" spans="27:28" x14ac:dyDescent="0.25">
      <c r="AA1796" s="89">
        <v>45121.541666666664</v>
      </c>
      <c r="AB1796">
        <v>40.69</v>
      </c>
    </row>
    <row r="1797" spans="27:28" x14ac:dyDescent="0.25">
      <c r="AA1797" s="89">
        <v>45121.583333333336</v>
      </c>
      <c r="AB1797">
        <v>40.729999999999997</v>
      </c>
    </row>
    <row r="1798" spans="27:28" x14ac:dyDescent="0.25">
      <c r="AA1798" s="89">
        <v>45121.625</v>
      </c>
      <c r="AB1798">
        <v>40.75</v>
      </c>
    </row>
    <row r="1799" spans="27:28" x14ac:dyDescent="0.25">
      <c r="AA1799" s="89">
        <v>45121.666666666664</v>
      </c>
      <c r="AB1799">
        <v>40.78</v>
      </c>
    </row>
    <row r="1800" spans="27:28" x14ac:dyDescent="0.25">
      <c r="AA1800" s="89">
        <v>45121.708333333336</v>
      </c>
      <c r="AB1800">
        <v>40.81</v>
      </c>
    </row>
    <row r="1801" spans="27:28" x14ac:dyDescent="0.25">
      <c r="AA1801" s="89">
        <v>45121.75</v>
      </c>
      <c r="AB1801">
        <v>40.83</v>
      </c>
    </row>
    <row r="1802" spans="27:28" x14ac:dyDescent="0.25">
      <c r="AA1802" s="89">
        <v>45121.791666666664</v>
      </c>
      <c r="AB1802">
        <v>40.86</v>
      </c>
    </row>
    <row r="1803" spans="27:28" x14ac:dyDescent="0.25">
      <c r="AA1803" s="89">
        <v>45121.833333333336</v>
      </c>
      <c r="AB1803">
        <v>40.89</v>
      </c>
    </row>
    <row r="1804" spans="27:28" x14ac:dyDescent="0.25">
      <c r="AA1804" s="89">
        <v>45121.875</v>
      </c>
      <c r="AB1804">
        <v>40.92</v>
      </c>
    </row>
    <row r="1805" spans="27:28" x14ac:dyDescent="0.25">
      <c r="AA1805" s="89">
        <v>45121.916666666664</v>
      </c>
      <c r="AB1805">
        <v>40.950000000000003</v>
      </c>
    </row>
    <row r="1806" spans="27:28" x14ac:dyDescent="0.25">
      <c r="AA1806" s="89">
        <v>45121.958333333336</v>
      </c>
      <c r="AB1806">
        <v>40.97</v>
      </c>
    </row>
    <row r="1807" spans="27:28" x14ac:dyDescent="0.25">
      <c r="AA1807" s="89">
        <v>45122</v>
      </c>
      <c r="AB1807">
        <v>41</v>
      </c>
    </row>
    <row r="1808" spans="27:28" x14ac:dyDescent="0.25">
      <c r="AA1808" s="89">
        <v>45122.041666666664</v>
      </c>
      <c r="AB1808">
        <v>41.02</v>
      </c>
    </row>
    <row r="1809" spans="27:28" x14ac:dyDescent="0.25">
      <c r="AA1809" s="89">
        <v>45122.083333333336</v>
      </c>
      <c r="AB1809">
        <v>41.05</v>
      </c>
    </row>
    <row r="1810" spans="27:28" x14ac:dyDescent="0.25">
      <c r="AA1810" s="89">
        <v>45122.125</v>
      </c>
      <c r="AB1810">
        <v>41.07</v>
      </c>
    </row>
    <row r="1811" spans="27:28" x14ac:dyDescent="0.25">
      <c r="AA1811" s="89">
        <v>45122.166666666664</v>
      </c>
      <c r="AB1811">
        <v>41.09</v>
      </c>
    </row>
    <row r="1812" spans="27:28" x14ac:dyDescent="0.25">
      <c r="AA1812" s="89">
        <v>45122.208333333336</v>
      </c>
      <c r="AB1812">
        <v>41.11</v>
      </c>
    </row>
    <row r="1813" spans="27:28" x14ac:dyDescent="0.25">
      <c r="AA1813" s="89">
        <v>45122.25</v>
      </c>
      <c r="AB1813">
        <v>41.14</v>
      </c>
    </row>
    <row r="1814" spans="27:28" x14ac:dyDescent="0.25">
      <c r="AA1814" s="89">
        <v>45122.291666666664</v>
      </c>
      <c r="AB1814">
        <v>41.16</v>
      </c>
    </row>
    <row r="1815" spans="27:28" x14ac:dyDescent="0.25">
      <c r="AA1815" s="89">
        <v>45122.333333333336</v>
      </c>
      <c r="AB1815">
        <v>41.18</v>
      </c>
    </row>
    <row r="1816" spans="27:28" x14ac:dyDescent="0.25">
      <c r="AA1816" s="89">
        <v>45122.375</v>
      </c>
      <c r="AB1816">
        <v>41.2</v>
      </c>
    </row>
    <row r="1817" spans="27:28" x14ac:dyDescent="0.25">
      <c r="AA1817" s="89">
        <v>45122.416666666664</v>
      </c>
      <c r="AB1817">
        <v>41.22</v>
      </c>
    </row>
    <row r="1818" spans="27:28" x14ac:dyDescent="0.25">
      <c r="AA1818" s="89">
        <v>45122.458333333336</v>
      </c>
      <c r="AB1818">
        <v>41.25</v>
      </c>
    </row>
    <row r="1819" spans="27:28" x14ac:dyDescent="0.25">
      <c r="AA1819" s="89">
        <v>45122.5</v>
      </c>
      <c r="AB1819">
        <v>41.27</v>
      </c>
    </row>
    <row r="1820" spans="27:28" x14ac:dyDescent="0.25">
      <c r="AA1820" s="89">
        <v>45122.541666666664</v>
      </c>
      <c r="AB1820">
        <v>41.29</v>
      </c>
    </row>
    <row r="1821" spans="27:28" x14ac:dyDescent="0.25">
      <c r="AA1821" s="89">
        <v>45122.583333333336</v>
      </c>
      <c r="AB1821">
        <v>41.32</v>
      </c>
    </row>
    <row r="1822" spans="27:28" x14ac:dyDescent="0.25">
      <c r="AA1822" s="89">
        <v>45122.625</v>
      </c>
      <c r="AB1822">
        <v>41.35</v>
      </c>
    </row>
    <row r="1823" spans="27:28" x14ac:dyDescent="0.25">
      <c r="AA1823" s="89">
        <v>45122.666666666664</v>
      </c>
      <c r="AB1823">
        <v>41.37</v>
      </c>
    </row>
    <row r="1824" spans="27:28" x14ac:dyDescent="0.25">
      <c r="AA1824" s="89">
        <v>45122.708333333336</v>
      </c>
      <c r="AB1824">
        <v>41.4</v>
      </c>
    </row>
    <row r="1825" spans="27:28" x14ac:dyDescent="0.25">
      <c r="AA1825" s="89">
        <v>45122.75</v>
      </c>
      <c r="AB1825">
        <v>41.42</v>
      </c>
    </row>
    <row r="1826" spans="27:28" x14ac:dyDescent="0.25">
      <c r="AA1826" s="89">
        <v>45122.791666666664</v>
      </c>
      <c r="AB1826">
        <v>41.44</v>
      </c>
    </row>
    <row r="1827" spans="27:28" x14ac:dyDescent="0.25">
      <c r="AA1827" s="89">
        <v>45122.833333333336</v>
      </c>
      <c r="AB1827">
        <v>41.46</v>
      </c>
    </row>
    <row r="1828" spans="27:28" x14ac:dyDescent="0.25">
      <c r="AA1828" s="89">
        <v>45122.875</v>
      </c>
      <c r="AB1828">
        <v>41.49</v>
      </c>
    </row>
    <row r="1829" spans="27:28" x14ac:dyDescent="0.25">
      <c r="AA1829" s="89">
        <v>45122.916666666664</v>
      </c>
      <c r="AB1829">
        <v>41.51</v>
      </c>
    </row>
    <row r="1830" spans="27:28" x14ac:dyDescent="0.25">
      <c r="AA1830" s="89">
        <v>45122.958333333336</v>
      </c>
      <c r="AB1830">
        <v>41.53</v>
      </c>
    </row>
    <row r="1831" spans="27:28" x14ac:dyDescent="0.25">
      <c r="AA1831" s="89">
        <v>45123</v>
      </c>
      <c r="AB1831">
        <v>41.56</v>
      </c>
    </row>
    <row r="1832" spans="27:28" x14ac:dyDescent="0.25">
      <c r="AA1832" s="89">
        <v>45123.041666666664</v>
      </c>
      <c r="AB1832">
        <v>41.57</v>
      </c>
    </row>
    <row r="1833" spans="27:28" x14ac:dyDescent="0.25">
      <c r="AA1833" s="89">
        <v>45123.083333333336</v>
      </c>
      <c r="AB1833">
        <v>41.59</v>
      </c>
    </row>
    <row r="1834" spans="27:28" x14ac:dyDescent="0.25">
      <c r="AA1834" s="89">
        <v>45123.125</v>
      </c>
      <c r="AB1834">
        <v>41.61</v>
      </c>
    </row>
    <row r="1835" spans="27:28" x14ac:dyDescent="0.25">
      <c r="AA1835" s="89">
        <v>45123.166666666664</v>
      </c>
      <c r="AB1835">
        <v>41.63</v>
      </c>
    </row>
    <row r="1836" spans="27:28" x14ac:dyDescent="0.25">
      <c r="AA1836" s="89">
        <v>45123.208333333336</v>
      </c>
      <c r="AB1836">
        <v>41.65</v>
      </c>
    </row>
    <row r="1837" spans="27:28" x14ac:dyDescent="0.25">
      <c r="AA1837" s="89">
        <v>45123.25</v>
      </c>
      <c r="AB1837">
        <v>41.67</v>
      </c>
    </row>
    <row r="1838" spans="27:28" x14ac:dyDescent="0.25">
      <c r="AA1838" s="89">
        <v>45123.291666666664</v>
      </c>
      <c r="AB1838">
        <v>41.69</v>
      </c>
    </row>
    <row r="1839" spans="27:28" x14ac:dyDescent="0.25">
      <c r="AA1839" s="89">
        <v>45123.333333333336</v>
      </c>
      <c r="AB1839">
        <v>41.71</v>
      </c>
    </row>
    <row r="1840" spans="27:28" x14ac:dyDescent="0.25">
      <c r="AA1840" s="89">
        <v>45123.375</v>
      </c>
      <c r="AB1840">
        <v>41.73</v>
      </c>
    </row>
    <row r="1841" spans="27:28" x14ac:dyDescent="0.25">
      <c r="AA1841" s="89">
        <v>45123.416666666664</v>
      </c>
      <c r="AB1841">
        <v>41.75</v>
      </c>
    </row>
    <row r="1842" spans="27:28" x14ac:dyDescent="0.25">
      <c r="AA1842" s="89">
        <v>45123.458333333336</v>
      </c>
      <c r="AB1842">
        <v>41.78</v>
      </c>
    </row>
    <row r="1843" spans="27:28" x14ac:dyDescent="0.25">
      <c r="AA1843" s="89">
        <v>45123.5</v>
      </c>
      <c r="AB1843">
        <v>41.8</v>
      </c>
    </row>
    <row r="1844" spans="27:28" x14ac:dyDescent="0.25">
      <c r="AA1844" s="89">
        <v>45123.541666666664</v>
      </c>
      <c r="AB1844">
        <v>41.83</v>
      </c>
    </row>
    <row r="1845" spans="27:28" x14ac:dyDescent="0.25">
      <c r="AA1845" s="89">
        <v>45123.583333333336</v>
      </c>
      <c r="AB1845">
        <v>41.85</v>
      </c>
    </row>
    <row r="1846" spans="27:28" x14ac:dyDescent="0.25">
      <c r="AA1846" s="89">
        <v>45123.625</v>
      </c>
      <c r="AB1846">
        <v>41.88</v>
      </c>
    </row>
    <row r="1847" spans="27:28" x14ac:dyDescent="0.25">
      <c r="AA1847" s="89">
        <v>45123.666666666664</v>
      </c>
      <c r="AB1847">
        <v>41.91</v>
      </c>
    </row>
    <row r="1848" spans="27:28" x14ac:dyDescent="0.25">
      <c r="AA1848" s="89">
        <v>45123.708333333336</v>
      </c>
      <c r="AB1848">
        <v>41.94</v>
      </c>
    </row>
    <row r="1849" spans="27:28" x14ac:dyDescent="0.25">
      <c r="AA1849" s="89">
        <v>45123.75</v>
      </c>
      <c r="AB1849">
        <v>41.97</v>
      </c>
    </row>
    <row r="1850" spans="27:28" x14ac:dyDescent="0.25">
      <c r="AA1850" s="89">
        <v>45123.791666666664</v>
      </c>
      <c r="AB1850">
        <v>42</v>
      </c>
    </row>
    <row r="1851" spans="27:28" x14ac:dyDescent="0.25">
      <c r="AA1851" s="89">
        <v>45123.833333333336</v>
      </c>
      <c r="AB1851">
        <v>42.02</v>
      </c>
    </row>
    <row r="1852" spans="27:28" x14ac:dyDescent="0.25">
      <c r="AA1852" s="89">
        <v>45123.875</v>
      </c>
      <c r="AB1852">
        <v>42.05</v>
      </c>
    </row>
    <row r="1853" spans="27:28" x14ac:dyDescent="0.25">
      <c r="AA1853" s="89">
        <v>45123.916666666664</v>
      </c>
      <c r="AB1853">
        <v>42.07</v>
      </c>
    </row>
    <row r="1854" spans="27:28" x14ac:dyDescent="0.25">
      <c r="AA1854" s="89">
        <v>45123.958333333336</v>
      </c>
      <c r="AB1854">
        <v>42.1</v>
      </c>
    </row>
    <row r="1855" spans="27:28" x14ac:dyDescent="0.25">
      <c r="AA1855" s="89">
        <v>45124</v>
      </c>
      <c r="AB1855">
        <v>42.12</v>
      </c>
    </row>
    <row r="1856" spans="27:28" x14ac:dyDescent="0.25">
      <c r="AA1856" s="89">
        <v>45124.041666666664</v>
      </c>
      <c r="AB1856">
        <v>42.15</v>
      </c>
    </row>
    <row r="1857" spans="27:28" x14ac:dyDescent="0.25">
      <c r="AA1857" s="89">
        <v>45124.083333333336</v>
      </c>
      <c r="AB1857">
        <v>42.17</v>
      </c>
    </row>
    <row r="1858" spans="27:28" x14ac:dyDescent="0.25">
      <c r="AA1858" s="89">
        <v>45124.125</v>
      </c>
      <c r="AB1858">
        <v>42.19</v>
      </c>
    </row>
    <row r="1859" spans="27:28" x14ac:dyDescent="0.25">
      <c r="AA1859" s="89">
        <v>45124.166666666664</v>
      </c>
      <c r="AB1859">
        <v>42.22</v>
      </c>
    </row>
    <row r="1860" spans="27:28" x14ac:dyDescent="0.25">
      <c r="AA1860" s="89">
        <v>45124.208333333336</v>
      </c>
      <c r="AB1860">
        <v>42.24</v>
      </c>
    </row>
    <row r="1861" spans="27:28" x14ac:dyDescent="0.25">
      <c r="AA1861" s="89">
        <v>45124.25</v>
      </c>
      <c r="AB1861">
        <v>42.25</v>
      </c>
    </row>
    <row r="1862" spans="27:28" x14ac:dyDescent="0.25">
      <c r="AA1862" s="89">
        <v>45124.291666666664</v>
      </c>
      <c r="AB1862">
        <v>42.27</v>
      </c>
    </row>
    <row r="1863" spans="27:28" x14ac:dyDescent="0.25">
      <c r="AA1863" s="89">
        <v>45124.333333333336</v>
      </c>
      <c r="AB1863">
        <v>42.29</v>
      </c>
    </row>
    <row r="1864" spans="27:28" x14ac:dyDescent="0.25">
      <c r="AA1864" s="89">
        <v>45124.375</v>
      </c>
      <c r="AB1864">
        <v>42.32</v>
      </c>
    </row>
    <row r="1865" spans="27:28" x14ac:dyDescent="0.25">
      <c r="AA1865" s="89">
        <v>45124.416666666664</v>
      </c>
      <c r="AB1865">
        <v>42.34</v>
      </c>
    </row>
    <row r="1866" spans="27:28" x14ac:dyDescent="0.25">
      <c r="AA1866" s="89">
        <v>45124.458333333336</v>
      </c>
      <c r="AB1866">
        <v>42.36</v>
      </c>
    </row>
    <row r="1867" spans="27:28" x14ac:dyDescent="0.25">
      <c r="AA1867" s="89">
        <v>45124.5</v>
      </c>
      <c r="AB1867">
        <v>42.38</v>
      </c>
    </row>
    <row r="1868" spans="27:28" x14ac:dyDescent="0.25">
      <c r="AA1868" s="89">
        <v>45124.541666666664</v>
      </c>
      <c r="AB1868">
        <v>42.4</v>
      </c>
    </row>
    <row r="1869" spans="27:28" x14ac:dyDescent="0.25">
      <c r="AA1869" s="89">
        <v>45124.583333333336</v>
      </c>
      <c r="AB1869">
        <v>42.42</v>
      </c>
    </row>
    <row r="1870" spans="27:28" x14ac:dyDescent="0.25">
      <c r="AA1870" s="89">
        <v>45124.625</v>
      </c>
      <c r="AB1870">
        <v>42.45</v>
      </c>
    </row>
    <row r="1871" spans="27:28" x14ac:dyDescent="0.25">
      <c r="AA1871" s="89">
        <v>45124.666666666664</v>
      </c>
      <c r="AB1871">
        <v>42.47</v>
      </c>
    </row>
    <row r="1872" spans="27:28" x14ac:dyDescent="0.25">
      <c r="AA1872" s="89">
        <v>45124.708333333336</v>
      </c>
      <c r="AB1872">
        <v>42.49</v>
      </c>
    </row>
    <row r="1873" spans="27:28" x14ac:dyDescent="0.25">
      <c r="AA1873" s="89">
        <v>45124.75</v>
      </c>
      <c r="AB1873">
        <v>42.51</v>
      </c>
    </row>
    <row r="1874" spans="27:28" x14ac:dyDescent="0.25">
      <c r="AA1874" s="89">
        <v>45124.791666666664</v>
      </c>
      <c r="AB1874">
        <v>42.54</v>
      </c>
    </row>
    <row r="1875" spans="27:28" x14ac:dyDescent="0.25">
      <c r="AA1875" s="89">
        <v>45124.833333333336</v>
      </c>
      <c r="AB1875">
        <v>42.56</v>
      </c>
    </row>
    <row r="1876" spans="27:28" x14ac:dyDescent="0.25">
      <c r="AA1876" s="89">
        <v>45124.875</v>
      </c>
      <c r="AB1876">
        <v>42.58</v>
      </c>
    </row>
    <row r="1877" spans="27:28" x14ac:dyDescent="0.25">
      <c r="AA1877" s="89">
        <v>45124.916666666664</v>
      </c>
      <c r="AB1877">
        <v>42.6</v>
      </c>
    </row>
    <row r="1878" spans="27:28" x14ac:dyDescent="0.25">
      <c r="AA1878" s="89">
        <v>45124.958333333336</v>
      </c>
      <c r="AB1878">
        <v>42.62</v>
      </c>
    </row>
    <row r="1879" spans="27:28" x14ac:dyDescent="0.25">
      <c r="AA1879" s="89">
        <v>45125</v>
      </c>
      <c r="AB1879">
        <v>42.64</v>
      </c>
    </row>
    <row r="1880" spans="27:28" x14ac:dyDescent="0.25">
      <c r="AA1880" s="89">
        <v>45125.041666666664</v>
      </c>
      <c r="AB1880">
        <v>42.66</v>
      </c>
    </row>
    <row r="1881" spans="27:28" x14ac:dyDescent="0.25">
      <c r="AA1881" s="89">
        <v>45125.083333333336</v>
      </c>
      <c r="AB1881">
        <v>42.68</v>
      </c>
    </row>
    <row r="1882" spans="27:28" x14ac:dyDescent="0.25">
      <c r="AA1882" s="89">
        <v>45125.125</v>
      </c>
      <c r="AB1882">
        <v>42.7</v>
      </c>
    </row>
    <row r="1883" spans="27:28" x14ac:dyDescent="0.25">
      <c r="AA1883" s="89">
        <v>45125.166666666664</v>
      </c>
      <c r="AB1883">
        <v>42.72</v>
      </c>
    </row>
    <row r="1884" spans="27:28" x14ac:dyDescent="0.25">
      <c r="AA1884" s="89">
        <v>45125.208333333336</v>
      </c>
      <c r="AB1884">
        <v>42.74</v>
      </c>
    </row>
    <row r="1885" spans="27:28" x14ac:dyDescent="0.25">
      <c r="AA1885" s="89">
        <v>45125.25</v>
      </c>
      <c r="AB1885">
        <v>42.75</v>
      </c>
    </row>
    <row r="1886" spans="27:28" x14ac:dyDescent="0.25">
      <c r="AA1886" s="89">
        <v>45125.291666666664</v>
      </c>
      <c r="AB1886">
        <v>42.77</v>
      </c>
    </row>
    <row r="1887" spans="27:28" x14ac:dyDescent="0.25">
      <c r="AA1887" s="89">
        <v>45125.333333333336</v>
      </c>
      <c r="AB1887">
        <v>42.79</v>
      </c>
    </row>
    <row r="1888" spans="27:28" x14ac:dyDescent="0.25">
      <c r="AA1888" s="89">
        <v>45125.375</v>
      </c>
      <c r="AB1888">
        <v>42.81</v>
      </c>
    </row>
    <row r="1889" spans="27:28" x14ac:dyDescent="0.25">
      <c r="AA1889" s="89">
        <v>45125.416666666664</v>
      </c>
      <c r="AB1889">
        <v>42.83</v>
      </c>
    </row>
    <row r="1890" spans="27:28" x14ac:dyDescent="0.25">
      <c r="AA1890" s="89">
        <v>45125.458333333336</v>
      </c>
      <c r="AB1890">
        <v>42.84</v>
      </c>
    </row>
    <row r="1891" spans="27:28" x14ac:dyDescent="0.25">
      <c r="AA1891" s="89">
        <v>45125.5</v>
      </c>
      <c r="AB1891">
        <v>42.86</v>
      </c>
    </row>
    <row r="1892" spans="27:28" x14ac:dyDescent="0.25">
      <c r="AA1892" s="89">
        <v>45125.541666666664</v>
      </c>
      <c r="AB1892">
        <v>42.89</v>
      </c>
    </row>
    <row r="1893" spans="27:28" x14ac:dyDescent="0.25">
      <c r="AA1893" s="89">
        <v>45125.583333333336</v>
      </c>
      <c r="AB1893">
        <v>42.9</v>
      </c>
    </row>
    <row r="1894" spans="27:28" x14ac:dyDescent="0.25">
      <c r="AA1894" s="89">
        <v>45125.625</v>
      </c>
      <c r="AB1894">
        <v>42.92</v>
      </c>
    </row>
    <row r="1895" spans="27:28" x14ac:dyDescent="0.25">
      <c r="AA1895" s="89">
        <v>45125.666666666664</v>
      </c>
      <c r="AB1895">
        <v>42.95</v>
      </c>
    </row>
    <row r="1896" spans="27:28" x14ac:dyDescent="0.25">
      <c r="AA1896" s="89">
        <v>45125.708333333336</v>
      </c>
      <c r="AB1896">
        <v>42.96</v>
      </c>
    </row>
    <row r="1897" spans="27:28" x14ac:dyDescent="0.25">
      <c r="AA1897" s="89">
        <v>45125.75</v>
      </c>
      <c r="AB1897">
        <v>42.99</v>
      </c>
    </row>
    <row r="1898" spans="27:28" x14ac:dyDescent="0.25">
      <c r="AA1898" s="89">
        <v>45125.791666666664</v>
      </c>
      <c r="AB1898">
        <v>43.01</v>
      </c>
    </row>
    <row r="1899" spans="27:28" x14ac:dyDescent="0.25">
      <c r="AA1899" s="89">
        <v>45125.833333333336</v>
      </c>
      <c r="AB1899">
        <v>43.02</v>
      </c>
    </row>
    <row r="1900" spans="27:28" x14ac:dyDescent="0.25">
      <c r="AA1900" s="89">
        <v>45125.875</v>
      </c>
      <c r="AB1900">
        <v>43.05</v>
      </c>
    </row>
    <row r="1901" spans="27:28" x14ac:dyDescent="0.25">
      <c r="AA1901" s="89">
        <v>45125.916666666664</v>
      </c>
      <c r="AB1901">
        <v>43.07</v>
      </c>
    </row>
    <row r="1902" spans="27:28" x14ac:dyDescent="0.25">
      <c r="AA1902" s="89">
        <v>45125.958333333336</v>
      </c>
      <c r="AB1902">
        <v>43.09</v>
      </c>
    </row>
    <row r="1903" spans="27:28" x14ac:dyDescent="0.25">
      <c r="AA1903" s="89">
        <v>45126</v>
      </c>
      <c r="AB1903">
        <v>43.11</v>
      </c>
    </row>
    <row r="1904" spans="27:28" x14ac:dyDescent="0.25">
      <c r="AA1904" s="89">
        <v>45126.041666666664</v>
      </c>
      <c r="AB1904">
        <v>43.13</v>
      </c>
    </row>
    <row r="1905" spans="27:28" x14ac:dyDescent="0.25">
      <c r="AA1905" s="89">
        <v>45126.083333333336</v>
      </c>
      <c r="AB1905">
        <v>43.15</v>
      </c>
    </row>
    <row r="1906" spans="27:28" x14ac:dyDescent="0.25">
      <c r="AA1906" s="89">
        <v>45126.125</v>
      </c>
      <c r="AB1906">
        <v>43.17</v>
      </c>
    </row>
    <row r="1907" spans="27:28" x14ac:dyDescent="0.25">
      <c r="AA1907" s="89">
        <v>45126.166666666664</v>
      </c>
      <c r="AB1907">
        <v>43.19</v>
      </c>
    </row>
    <row r="1908" spans="27:28" x14ac:dyDescent="0.25">
      <c r="AA1908" s="89">
        <v>45126.208333333336</v>
      </c>
      <c r="AB1908">
        <v>43.21</v>
      </c>
    </row>
    <row r="1909" spans="27:28" x14ac:dyDescent="0.25">
      <c r="AA1909" s="89">
        <v>45126.25</v>
      </c>
      <c r="AB1909">
        <v>43.23</v>
      </c>
    </row>
    <row r="1910" spans="27:28" x14ac:dyDescent="0.25">
      <c r="AA1910" s="89">
        <v>45126.291666666664</v>
      </c>
      <c r="AB1910">
        <v>43.25</v>
      </c>
    </row>
    <row r="1911" spans="27:28" x14ac:dyDescent="0.25">
      <c r="AA1911" s="89">
        <v>45126.333333333336</v>
      </c>
      <c r="AB1911">
        <v>43.27</v>
      </c>
    </row>
    <row r="1912" spans="27:28" x14ac:dyDescent="0.25">
      <c r="AA1912" s="89">
        <v>45126.375</v>
      </c>
      <c r="AB1912">
        <v>43.29</v>
      </c>
    </row>
    <row r="1913" spans="27:28" x14ac:dyDescent="0.25">
      <c r="AA1913" s="89">
        <v>45126.416666666664</v>
      </c>
      <c r="AB1913">
        <v>43.31</v>
      </c>
    </row>
    <row r="1914" spans="27:28" x14ac:dyDescent="0.25">
      <c r="AA1914" s="89">
        <v>45126.458333333336</v>
      </c>
      <c r="AB1914">
        <v>43.33</v>
      </c>
    </row>
    <row r="1915" spans="27:28" x14ac:dyDescent="0.25">
      <c r="AA1915" s="89">
        <v>45126.5</v>
      </c>
      <c r="AB1915">
        <v>43.36</v>
      </c>
    </row>
    <row r="1916" spans="27:28" x14ac:dyDescent="0.25">
      <c r="AA1916" s="89">
        <v>45126.541666666664</v>
      </c>
      <c r="AB1916">
        <v>43.37</v>
      </c>
    </row>
    <row r="1917" spans="27:28" x14ac:dyDescent="0.25">
      <c r="AA1917" s="89">
        <v>45126.583333333336</v>
      </c>
      <c r="AB1917">
        <v>43.39</v>
      </c>
    </row>
    <row r="1918" spans="27:28" x14ac:dyDescent="0.25">
      <c r="AA1918" s="89">
        <v>45126.625</v>
      </c>
      <c r="AB1918">
        <v>43.42</v>
      </c>
    </row>
    <row r="1919" spans="27:28" x14ac:dyDescent="0.25">
      <c r="AA1919" s="89">
        <v>45126.666666666664</v>
      </c>
      <c r="AB1919">
        <v>43.43</v>
      </c>
    </row>
    <row r="1920" spans="27:28" x14ac:dyDescent="0.25">
      <c r="AA1920" s="89">
        <v>45126.708333333336</v>
      </c>
      <c r="AB1920">
        <v>43.46</v>
      </c>
    </row>
    <row r="1921" spans="27:28" x14ac:dyDescent="0.25">
      <c r="AA1921" s="89">
        <v>45126.75</v>
      </c>
      <c r="AB1921">
        <v>43.49</v>
      </c>
    </row>
    <row r="1922" spans="27:28" x14ac:dyDescent="0.25">
      <c r="AA1922" s="89">
        <v>45126.791666666664</v>
      </c>
      <c r="AB1922">
        <v>43.53</v>
      </c>
    </row>
    <row r="1923" spans="27:28" x14ac:dyDescent="0.25">
      <c r="AA1923" s="89">
        <v>45126.833333333336</v>
      </c>
      <c r="AB1923">
        <v>43.56</v>
      </c>
    </row>
    <row r="1924" spans="27:28" x14ac:dyDescent="0.25">
      <c r="AA1924" s="89">
        <v>45126.875</v>
      </c>
      <c r="AB1924">
        <v>43.59</v>
      </c>
    </row>
    <row r="1925" spans="27:28" x14ac:dyDescent="0.25">
      <c r="AA1925" s="89">
        <v>45126.916666666664</v>
      </c>
      <c r="AB1925">
        <v>43.62</v>
      </c>
    </row>
    <row r="1926" spans="27:28" x14ac:dyDescent="0.25">
      <c r="AA1926" s="89">
        <v>45126.958333333336</v>
      </c>
      <c r="AB1926">
        <v>43.65</v>
      </c>
    </row>
    <row r="1927" spans="27:28" x14ac:dyDescent="0.25">
      <c r="AA1927" s="89">
        <v>45127</v>
      </c>
      <c r="AB1927">
        <v>43.68</v>
      </c>
    </row>
    <row r="1928" spans="27:28" x14ac:dyDescent="0.25">
      <c r="AA1928" s="89">
        <v>45127.041666666664</v>
      </c>
      <c r="AB1928">
        <v>43.71</v>
      </c>
    </row>
    <row r="1929" spans="27:28" x14ac:dyDescent="0.25">
      <c r="AA1929" s="89">
        <v>45127.083333333336</v>
      </c>
      <c r="AB1929">
        <v>43.74</v>
      </c>
    </row>
    <row r="1930" spans="27:28" x14ac:dyDescent="0.25">
      <c r="AA1930" s="89">
        <v>45127.125</v>
      </c>
      <c r="AB1930">
        <v>43.76</v>
      </c>
    </row>
    <row r="1931" spans="27:28" x14ac:dyDescent="0.25">
      <c r="AA1931" s="89">
        <v>45127.166666666664</v>
      </c>
      <c r="AB1931">
        <v>43.79</v>
      </c>
    </row>
    <row r="1932" spans="27:28" x14ac:dyDescent="0.25">
      <c r="AA1932" s="89">
        <v>45127.208333333336</v>
      </c>
      <c r="AB1932">
        <v>43.82</v>
      </c>
    </row>
    <row r="1933" spans="27:28" x14ac:dyDescent="0.25">
      <c r="AA1933" s="89">
        <v>45127.25</v>
      </c>
      <c r="AB1933">
        <v>43.84</v>
      </c>
    </row>
    <row r="1934" spans="27:28" x14ac:dyDescent="0.25">
      <c r="AA1934" s="89">
        <v>45127.291666666664</v>
      </c>
      <c r="AB1934">
        <v>43.87</v>
      </c>
    </row>
    <row r="1935" spans="27:28" x14ac:dyDescent="0.25">
      <c r="AA1935" s="89">
        <v>45127.333333333336</v>
      </c>
      <c r="AB1935">
        <v>43.9</v>
      </c>
    </row>
    <row r="1936" spans="27:28" x14ac:dyDescent="0.25">
      <c r="AA1936" s="89">
        <v>45127.375</v>
      </c>
      <c r="AB1936">
        <v>43.92</v>
      </c>
    </row>
    <row r="1937" spans="27:28" x14ac:dyDescent="0.25">
      <c r="AA1937" s="89">
        <v>45127.416666666664</v>
      </c>
      <c r="AB1937">
        <v>43.95</v>
      </c>
    </row>
    <row r="1938" spans="27:28" x14ac:dyDescent="0.25">
      <c r="AA1938" s="89">
        <v>45127.458333333336</v>
      </c>
      <c r="AB1938">
        <v>43.97</v>
      </c>
    </row>
    <row r="1939" spans="27:28" x14ac:dyDescent="0.25">
      <c r="AA1939" s="89">
        <v>45127.5</v>
      </c>
      <c r="AB1939">
        <v>43.99</v>
      </c>
    </row>
    <row r="1940" spans="27:28" x14ac:dyDescent="0.25">
      <c r="AA1940" s="89">
        <v>45127.541666666664</v>
      </c>
      <c r="AB1940">
        <v>44.02</v>
      </c>
    </row>
    <row r="1941" spans="27:28" x14ac:dyDescent="0.25">
      <c r="AA1941" s="89">
        <v>45127.583333333336</v>
      </c>
      <c r="AB1941">
        <v>44.04</v>
      </c>
    </row>
    <row r="1942" spans="27:28" x14ac:dyDescent="0.25">
      <c r="AA1942" s="89">
        <v>45127.625</v>
      </c>
      <c r="AB1942">
        <v>44.06</v>
      </c>
    </row>
    <row r="1943" spans="27:28" x14ac:dyDescent="0.25">
      <c r="AA1943" s="89">
        <v>45127.666666666664</v>
      </c>
      <c r="AB1943">
        <v>44.09</v>
      </c>
    </row>
    <row r="1944" spans="27:28" x14ac:dyDescent="0.25">
      <c r="AA1944" s="89">
        <v>45127.708333333336</v>
      </c>
      <c r="AB1944">
        <v>44.11</v>
      </c>
    </row>
    <row r="1945" spans="27:28" x14ac:dyDescent="0.25">
      <c r="AA1945" s="89">
        <v>45127.75</v>
      </c>
      <c r="AB1945">
        <v>44.14</v>
      </c>
    </row>
    <row r="1946" spans="27:28" x14ac:dyDescent="0.25">
      <c r="AA1946" s="89">
        <v>45127.791666666664</v>
      </c>
      <c r="AB1946">
        <v>44.17</v>
      </c>
    </row>
    <row r="1947" spans="27:28" x14ac:dyDescent="0.25">
      <c r="AA1947" s="89">
        <v>45127.833333333336</v>
      </c>
      <c r="AB1947">
        <v>44.2</v>
      </c>
    </row>
    <row r="1948" spans="27:28" x14ac:dyDescent="0.25">
      <c r="AA1948" s="89">
        <v>45127.875</v>
      </c>
      <c r="AB1948">
        <v>44.22</v>
      </c>
    </row>
    <row r="1949" spans="27:28" x14ac:dyDescent="0.25">
      <c r="AA1949" s="89">
        <v>45127.916666666664</v>
      </c>
      <c r="AB1949">
        <v>44.25</v>
      </c>
    </row>
    <row r="1950" spans="27:28" x14ac:dyDescent="0.25">
      <c r="AA1950" s="89">
        <v>45127.958333333336</v>
      </c>
      <c r="AB1950">
        <v>44.27</v>
      </c>
    </row>
    <row r="1951" spans="27:28" x14ac:dyDescent="0.25">
      <c r="AA1951" s="89">
        <v>45128</v>
      </c>
      <c r="AB1951">
        <v>44.3</v>
      </c>
    </row>
    <row r="1952" spans="27:28" x14ac:dyDescent="0.25">
      <c r="AA1952" s="89">
        <v>45128.041666666664</v>
      </c>
      <c r="AB1952">
        <v>44.32</v>
      </c>
    </row>
    <row r="1953" spans="27:28" x14ac:dyDescent="0.25">
      <c r="AA1953" s="89">
        <v>45128.083333333336</v>
      </c>
      <c r="AB1953">
        <v>44.34</v>
      </c>
    </row>
    <row r="1954" spans="27:28" x14ac:dyDescent="0.25">
      <c r="AA1954" s="89">
        <v>45128.125</v>
      </c>
      <c r="AB1954">
        <v>44.37</v>
      </c>
    </row>
    <row r="1955" spans="27:28" x14ac:dyDescent="0.25">
      <c r="AA1955" s="89">
        <v>45128.166666666664</v>
      </c>
      <c r="AB1955">
        <v>44.39</v>
      </c>
    </row>
    <row r="1956" spans="27:28" x14ac:dyDescent="0.25">
      <c r="AA1956" s="89">
        <v>45128.208333333336</v>
      </c>
      <c r="AB1956">
        <v>44.42</v>
      </c>
    </row>
    <row r="1957" spans="27:28" x14ac:dyDescent="0.25">
      <c r="AA1957" s="89">
        <v>45128.25</v>
      </c>
      <c r="AB1957">
        <v>44.44</v>
      </c>
    </row>
    <row r="1958" spans="27:28" x14ac:dyDescent="0.25">
      <c r="AA1958" s="89">
        <v>45128.291666666664</v>
      </c>
      <c r="AB1958">
        <v>44.47</v>
      </c>
    </row>
    <row r="1959" spans="27:28" x14ac:dyDescent="0.25">
      <c r="AA1959" s="89">
        <v>45128.333333333336</v>
      </c>
      <c r="AB1959">
        <v>44.49</v>
      </c>
    </row>
    <row r="1960" spans="27:28" x14ac:dyDescent="0.25">
      <c r="AA1960" s="89">
        <v>45128.375</v>
      </c>
      <c r="AB1960">
        <v>44.52</v>
      </c>
    </row>
    <row r="1961" spans="27:28" x14ac:dyDescent="0.25">
      <c r="AA1961" s="89">
        <v>45128.416666666664</v>
      </c>
      <c r="AB1961">
        <v>44.54</v>
      </c>
    </row>
    <row r="1962" spans="27:28" x14ac:dyDescent="0.25">
      <c r="AA1962" s="89">
        <v>45128.458333333336</v>
      </c>
      <c r="AB1962">
        <v>44.56</v>
      </c>
    </row>
    <row r="1963" spans="27:28" x14ac:dyDescent="0.25">
      <c r="AA1963" s="89">
        <v>45128.5</v>
      </c>
      <c r="AB1963">
        <v>44.59</v>
      </c>
    </row>
    <row r="1964" spans="27:28" x14ac:dyDescent="0.25">
      <c r="AA1964" s="89">
        <v>45128.541666666664</v>
      </c>
      <c r="AB1964">
        <v>44.61</v>
      </c>
    </row>
    <row r="1965" spans="27:28" x14ac:dyDescent="0.25">
      <c r="AA1965" s="89">
        <v>45128.583333333336</v>
      </c>
      <c r="AB1965">
        <v>44.64</v>
      </c>
    </row>
    <row r="1966" spans="27:28" x14ac:dyDescent="0.25">
      <c r="AA1966" s="89">
        <v>45128.625</v>
      </c>
      <c r="AB1966">
        <v>44.66</v>
      </c>
    </row>
    <row r="1967" spans="27:28" x14ac:dyDescent="0.25">
      <c r="AA1967" s="89">
        <v>45128.666666666664</v>
      </c>
      <c r="AB1967">
        <v>44.68</v>
      </c>
    </row>
    <row r="1968" spans="27:28" x14ac:dyDescent="0.25">
      <c r="AA1968" s="89">
        <v>45128.708333333336</v>
      </c>
      <c r="AB1968">
        <v>44.7</v>
      </c>
    </row>
    <row r="1969" spans="27:28" x14ac:dyDescent="0.25">
      <c r="AA1969" s="89">
        <v>45128.75</v>
      </c>
      <c r="AB1969">
        <v>44.72</v>
      </c>
    </row>
    <row r="1970" spans="27:28" x14ac:dyDescent="0.25">
      <c r="AA1970" s="89">
        <v>45128.791666666664</v>
      </c>
      <c r="AB1970">
        <v>44.75</v>
      </c>
    </row>
    <row r="1971" spans="27:28" x14ac:dyDescent="0.25">
      <c r="AA1971" s="89">
        <v>45128.833333333336</v>
      </c>
      <c r="AB1971">
        <v>44.77</v>
      </c>
    </row>
    <row r="1972" spans="27:28" x14ac:dyDescent="0.25">
      <c r="AA1972" s="89">
        <v>45128.875</v>
      </c>
      <c r="AB1972">
        <v>44.79</v>
      </c>
    </row>
    <row r="1973" spans="27:28" x14ac:dyDescent="0.25">
      <c r="AA1973" s="89">
        <v>45128.916666666664</v>
      </c>
      <c r="AB1973">
        <v>44.82</v>
      </c>
    </row>
    <row r="1974" spans="27:28" x14ac:dyDescent="0.25">
      <c r="AA1974" s="89">
        <v>45128.958333333336</v>
      </c>
      <c r="AB1974">
        <v>44.84</v>
      </c>
    </row>
    <row r="1975" spans="27:28" x14ac:dyDescent="0.25">
      <c r="AA1975" s="89">
        <v>45129</v>
      </c>
      <c r="AB1975">
        <v>44.86</v>
      </c>
    </row>
    <row r="1976" spans="27:28" x14ac:dyDescent="0.25">
      <c r="AA1976" s="89">
        <v>45129.041666666664</v>
      </c>
      <c r="AB1976">
        <v>44.88</v>
      </c>
    </row>
    <row r="1977" spans="27:28" x14ac:dyDescent="0.25">
      <c r="AA1977" s="89">
        <v>45129.083333333336</v>
      </c>
      <c r="AB1977">
        <v>44.9</v>
      </c>
    </row>
    <row r="1978" spans="27:28" x14ac:dyDescent="0.25">
      <c r="AA1978" s="89">
        <v>45129.125</v>
      </c>
      <c r="AB1978">
        <v>44.93</v>
      </c>
    </row>
    <row r="1979" spans="27:28" x14ac:dyDescent="0.25">
      <c r="AA1979" s="89">
        <v>45129.166666666664</v>
      </c>
      <c r="AB1979">
        <v>44.95</v>
      </c>
    </row>
    <row r="1980" spans="27:28" x14ac:dyDescent="0.25">
      <c r="AA1980" s="89">
        <v>45129.208333333336</v>
      </c>
      <c r="AB1980">
        <v>44.97</v>
      </c>
    </row>
    <row r="1981" spans="27:28" x14ac:dyDescent="0.25">
      <c r="AA1981" s="89">
        <v>45129.25</v>
      </c>
      <c r="AB1981">
        <v>44.98</v>
      </c>
    </row>
    <row r="1982" spans="27:28" x14ac:dyDescent="0.25">
      <c r="AA1982" s="89">
        <v>45129.291666666664</v>
      </c>
      <c r="AB1982">
        <v>45.01</v>
      </c>
    </row>
    <row r="1983" spans="27:28" x14ac:dyDescent="0.25">
      <c r="AA1983" s="89">
        <v>45129.333333333336</v>
      </c>
      <c r="AB1983">
        <v>45.03</v>
      </c>
    </row>
    <row r="1984" spans="27:28" x14ac:dyDescent="0.25">
      <c r="AA1984" s="89">
        <v>45129.375</v>
      </c>
      <c r="AB1984">
        <v>45.05</v>
      </c>
    </row>
    <row r="1985" spans="27:28" x14ac:dyDescent="0.25">
      <c r="AA1985" s="89">
        <v>45129.416666666664</v>
      </c>
      <c r="AB1985">
        <v>45.08</v>
      </c>
    </row>
    <row r="1986" spans="27:28" x14ac:dyDescent="0.25">
      <c r="AA1986" s="89">
        <v>45129.458333333336</v>
      </c>
      <c r="AB1986">
        <v>45.1</v>
      </c>
    </row>
    <row r="1987" spans="27:28" x14ac:dyDescent="0.25">
      <c r="AA1987" s="89">
        <v>45129.5</v>
      </c>
      <c r="AB1987">
        <v>45.12</v>
      </c>
    </row>
    <row r="1988" spans="27:28" x14ac:dyDescent="0.25">
      <c r="AA1988" s="89">
        <v>45129.541666666664</v>
      </c>
      <c r="AB1988">
        <v>45.14</v>
      </c>
    </row>
    <row r="1989" spans="27:28" x14ac:dyDescent="0.25">
      <c r="AA1989" s="89">
        <v>45129.583333333336</v>
      </c>
      <c r="AB1989">
        <v>45.17</v>
      </c>
    </row>
    <row r="1990" spans="27:28" x14ac:dyDescent="0.25">
      <c r="AA1990" s="89">
        <v>45129.625</v>
      </c>
      <c r="AB1990">
        <v>45.19</v>
      </c>
    </row>
    <row r="1991" spans="27:28" x14ac:dyDescent="0.25">
      <c r="AA1991" s="89">
        <v>45129.666666666664</v>
      </c>
      <c r="AB1991">
        <v>45.21</v>
      </c>
    </row>
    <row r="1992" spans="27:28" x14ac:dyDescent="0.25">
      <c r="AA1992" s="89">
        <v>45129.708333333336</v>
      </c>
      <c r="AB1992">
        <v>45.24</v>
      </c>
    </row>
    <row r="1993" spans="27:28" x14ac:dyDescent="0.25">
      <c r="AA1993" s="89">
        <v>45129.75</v>
      </c>
      <c r="AB1993">
        <v>45.26</v>
      </c>
    </row>
    <row r="1994" spans="27:28" x14ac:dyDescent="0.25">
      <c r="AA1994" s="89">
        <v>45129.791666666664</v>
      </c>
      <c r="AB1994">
        <v>45.28</v>
      </c>
    </row>
    <row r="1995" spans="27:28" x14ac:dyDescent="0.25">
      <c r="AA1995" s="89">
        <v>45129.833333333336</v>
      </c>
      <c r="AB1995">
        <v>45.3</v>
      </c>
    </row>
    <row r="1996" spans="27:28" x14ac:dyDescent="0.25">
      <c r="AA1996" s="89">
        <v>45129.875</v>
      </c>
      <c r="AB1996">
        <v>45.32</v>
      </c>
    </row>
    <row r="1997" spans="27:28" x14ac:dyDescent="0.25">
      <c r="AA1997" s="89">
        <v>45129.916666666664</v>
      </c>
      <c r="AB1997">
        <v>45.34</v>
      </c>
    </row>
    <row r="1998" spans="27:28" x14ac:dyDescent="0.25">
      <c r="AA1998" s="89">
        <v>45129.958333333336</v>
      </c>
      <c r="AB1998">
        <v>45.36</v>
      </c>
    </row>
    <row r="1999" spans="27:28" x14ac:dyDescent="0.25">
      <c r="AA1999" s="89">
        <v>45130</v>
      </c>
      <c r="AB1999">
        <v>45.38</v>
      </c>
    </row>
    <row r="2000" spans="27:28" x14ac:dyDescent="0.25">
      <c r="AA2000" s="89">
        <v>45130.041666666664</v>
      </c>
      <c r="AB2000">
        <v>45.4</v>
      </c>
    </row>
    <row r="2001" spans="27:28" x14ac:dyDescent="0.25">
      <c r="AA2001" s="89">
        <v>45130.083333333336</v>
      </c>
      <c r="AB2001">
        <v>45.42</v>
      </c>
    </row>
    <row r="2002" spans="27:28" x14ac:dyDescent="0.25">
      <c r="AA2002" s="89">
        <v>45130.125</v>
      </c>
      <c r="AB2002">
        <v>45.45</v>
      </c>
    </row>
    <row r="2003" spans="27:28" x14ac:dyDescent="0.25">
      <c r="AA2003" s="89">
        <v>45130.166666666664</v>
      </c>
      <c r="AB2003">
        <v>45.47</v>
      </c>
    </row>
    <row r="2004" spans="27:28" x14ac:dyDescent="0.25">
      <c r="AA2004" s="89">
        <v>45130.208333333336</v>
      </c>
      <c r="AB2004">
        <v>45.48</v>
      </c>
    </row>
    <row r="2005" spans="27:28" x14ac:dyDescent="0.25">
      <c r="AA2005" s="89">
        <v>45130.25</v>
      </c>
      <c r="AB2005">
        <v>45.5</v>
      </c>
    </row>
    <row r="2006" spans="27:28" x14ac:dyDescent="0.25">
      <c r="AA2006" s="89">
        <v>45130.291666666664</v>
      </c>
      <c r="AB2006">
        <v>45.52</v>
      </c>
    </row>
    <row r="2007" spans="27:28" x14ac:dyDescent="0.25">
      <c r="AA2007" s="89">
        <v>45130.333333333336</v>
      </c>
      <c r="AB2007">
        <v>45.54</v>
      </c>
    </row>
    <row r="2008" spans="27:28" x14ac:dyDescent="0.25">
      <c r="AA2008" s="89">
        <v>45130.375</v>
      </c>
      <c r="AB2008">
        <v>45.56</v>
      </c>
    </row>
    <row r="2009" spans="27:28" x14ac:dyDescent="0.25">
      <c r="AA2009" s="89">
        <v>45130.416666666664</v>
      </c>
      <c r="AB2009">
        <v>45.58</v>
      </c>
    </row>
    <row r="2010" spans="27:28" x14ac:dyDescent="0.25">
      <c r="AA2010" s="89">
        <v>45130.458333333336</v>
      </c>
      <c r="AB2010">
        <v>45.6</v>
      </c>
    </row>
    <row r="2011" spans="27:28" x14ac:dyDescent="0.25">
      <c r="AA2011" s="89">
        <v>45130.5</v>
      </c>
      <c r="AB2011">
        <v>45.62</v>
      </c>
    </row>
    <row r="2012" spans="27:28" x14ac:dyDescent="0.25">
      <c r="AA2012" s="89">
        <v>45130.541666666664</v>
      </c>
      <c r="AB2012">
        <v>45.64</v>
      </c>
    </row>
    <row r="2013" spans="27:28" x14ac:dyDescent="0.25">
      <c r="AA2013" s="89">
        <v>45130.583333333336</v>
      </c>
      <c r="AB2013">
        <v>45.66</v>
      </c>
    </row>
    <row r="2014" spans="27:28" x14ac:dyDescent="0.25">
      <c r="AA2014" s="89">
        <v>45130.625</v>
      </c>
      <c r="AB2014">
        <v>45.68</v>
      </c>
    </row>
    <row r="2015" spans="27:28" x14ac:dyDescent="0.25">
      <c r="AA2015" s="89">
        <v>45130.666666666664</v>
      </c>
      <c r="AB2015">
        <v>45.7</v>
      </c>
    </row>
    <row r="2016" spans="27:28" x14ac:dyDescent="0.25">
      <c r="AA2016" s="89">
        <v>45130.708333333336</v>
      </c>
      <c r="AB2016">
        <v>45.72</v>
      </c>
    </row>
    <row r="2017" spans="27:28" x14ac:dyDescent="0.25">
      <c r="AA2017" s="89">
        <v>45130.75</v>
      </c>
      <c r="AB2017">
        <v>45.74</v>
      </c>
    </row>
    <row r="2018" spans="27:28" x14ac:dyDescent="0.25">
      <c r="AA2018" s="89">
        <v>45130.791666666664</v>
      </c>
      <c r="AB2018">
        <v>45.76</v>
      </c>
    </row>
    <row r="2019" spans="27:28" x14ac:dyDescent="0.25">
      <c r="AA2019" s="89">
        <v>45130.833333333336</v>
      </c>
      <c r="AB2019">
        <v>45.78</v>
      </c>
    </row>
    <row r="2020" spans="27:28" x14ac:dyDescent="0.25">
      <c r="AA2020" s="89">
        <v>45130.875</v>
      </c>
      <c r="AB2020">
        <v>45.8</v>
      </c>
    </row>
    <row r="2021" spans="27:28" x14ac:dyDescent="0.25">
      <c r="AA2021" s="89">
        <v>45130.916666666664</v>
      </c>
      <c r="AB2021">
        <v>45.81</v>
      </c>
    </row>
    <row r="2022" spans="27:28" x14ac:dyDescent="0.25">
      <c r="AA2022" s="89">
        <v>45130.958333333336</v>
      </c>
      <c r="AB2022">
        <v>45.83</v>
      </c>
    </row>
    <row r="2023" spans="27:28" x14ac:dyDescent="0.25">
      <c r="AA2023" s="89">
        <v>45131</v>
      </c>
      <c r="AB2023">
        <v>45.85</v>
      </c>
    </row>
    <row r="2024" spans="27:28" x14ac:dyDescent="0.25">
      <c r="AA2024" s="89">
        <v>45131.041666666664</v>
      </c>
      <c r="AB2024">
        <v>45.87</v>
      </c>
    </row>
    <row r="2025" spans="27:28" x14ac:dyDescent="0.25">
      <c r="AA2025" s="89">
        <v>45131.083333333336</v>
      </c>
      <c r="AB2025">
        <v>45.89</v>
      </c>
    </row>
    <row r="2026" spans="27:28" x14ac:dyDescent="0.25">
      <c r="AA2026" s="89">
        <v>45131.125</v>
      </c>
      <c r="AB2026">
        <v>45.91</v>
      </c>
    </row>
    <row r="2027" spans="27:28" x14ac:dyDescent="0.25">
      <c r="AA2027" s="89">
        <v>45131.166666666664</v>
      </c>
      <c r="AB2027">
        <v>45.93</v>
      </c>
    </row>
    <row r="2028" spans="27:28" x14ac:dyDescent="0.25">
      <c r="AA2028" s="89">
        <v>45131.208333333336</v>
      </c>
      <c r="AB2028">
        <v>45.95</v>
      </c>
    </row>
    <row r="2029" spans="27:28" x14ac:dyDescent="0.25">
      <c r="AA2029" s="89">
        <v>45131.25</v>
      </c>
      <c r="AB2029">
        <v>45.96</v>
      </c>
    </row>
    <row r="2030" spans="27:28" x14ac:dyDescent="0.25">
      <c r="AA2030" s="89">
        <v>45131.291666666664</v>
      </c>
      <c r="AB2030">
        <v>45.98</v>
      </c>
    </row>
    <row r="2031" spans="27:28" x14ac:dyDescent="0.25">
      <c r="AA2031" s="89">
        <v>45131.333333333336</v>
      </c>
      <c r="AB2031">
        <v>46</v>
      </c>
    </row>
    <row r="2032" spans="27:28" x14ac:dyDescent="0.25">
      <c r="AA2032" s="89">
        <v>45131.375</v>
      </c>
      <c r="AB2032">
        <v>46.02</v>
      </c>
    </row>
    <row r="2033" spans="27:28" x14ac:dyDescent="0.25">
      <c r="AA2033" s="89">
        <v>45131.416666666664</v>
      </c>
      <c r="AB2033">
        <v>46.04</v>
      </c>
    </row>
    <row r="2034" spans="27:28" x14ac:dyDescent="0.25">
      <c r="AA2034" s="89">
        <v>45131.458333333336</v>
      </c>
      <c r="AB2034">
        <v>46.06</v>
      </c>
    </row>
    <row r="2035" spans="27:28" x14ac:dyDescent="0.25">
      <c r="AA2035" s="89">
        <v>45131.5</v>
      </c>
      <c r="AB2035">
        <v>46.08</v>
      </c>
    </row>
    <row r="2036" spans="27:28" x14ac:dyDescent="0.25">
      <c r="AA2036" s="89">
        <v>45131.541666666664</v>
      </c>
      <c r="AB2036">
        <v>46.1</v>
      </c>
    </row>
    <row r="2037" spans="27:28" x14ac:dyDescent="0.25">
      <c r="AA2037" s="89">
        <v>45131.583333333336</v>
      </c>
      <c r="AB2037">
        <v>46.12</v>
      </c>
    </row>
    <row r="2038" spans="27:28" x14ac:dyDescent="0.25">
      <c r="AA2038" s="89">
        <v>45131.625</v>
      </c>
      <c r="AB2038">
        <v>46.14</v>
      </c>
    </row>
    <row r="2039" spans="27:28" x14ac:dyDescent="0.25">
      <c r="AA2039" s="89">
        <v>45131.666666666664</v>
      </c>
      <c r="AB2039">
        <v>46.16</v>
      </c>
    </row>
    <row r="2040" spans="27:28" x14ac:dyDescent="0.25">
      <c r="AA2040" s="89">
        <v>45131.708333333336</v>
      </c>
      <c r="AB2040">
        <v>46.17</v>
      </c>
    </row>
    <row r="2041" spans="27:28" x14ac:dyDescent="0.25">
      <c r="AA2041" s="89">
        <v>45131.75</v>
      </c>
      <c r="AB2041">
        <v>46.19</v>
      </c>
    </row>
    <row r="2042" spans="27:28" x14ac:dyDescent="0.25">
      <c r="AA2042" s="89">
        <v>45131.791666666664</v>
      </c>
      <c r="AB2042">
        <v>46.21</v>
      </c>
    </row>
    <row r="2043" spans="27:28" x14ac:dyDescent="0.25">
      <c r="AA2043" s="89">
        <v>45131.833333333336</v>
      </c>
      <c r="AB2043">
        <v>46.23</v>
      </c>
    </row>
    <row r="2044" spans="27:28" x14ac:dyDescent="0.25">
      <c r="AA2044" s="89">
        <v>45131.875</v>
      </c>
      <c r="AB2044">
        <v>46.25</v>
      </c>
    </row>
    <row r="2045" spans="27:28" x14ac:dyDescent="0.25">
      <c r="AA2045" s="89">
        <v>45131.916666666664</v>
      </c>
      <c r="AB2045">
        <v>46.27</v>
      </c>
    </row>
    <row r="2046" spans="27:28" x14ac:dyDescent="0.25">
      <c r="AA2046" s="89">
        <v>45131.958333333336</v>
      </c>
      <c r="AB2046">
        <v>46.28</v>
      </c>
    </row>
    <row r="2047" spans="27:28" x14ac:dyDescent="0.25">
      <c r="AA2047" s="89">
        <v>45132</v>
      </c>
      <c r="AB2047">
        <v>46.29</v>
      </c>
    </row>
    <row r="2048" spans="27:28" x14ac:dyDescent="0.25">
      <c r="AA2048" s="89">
        <v>45132.041666666664</v>
      </c>
      <c r="AB2048">
        <v>46.31</v>
      </c>
    </row>
    <row r="2049" spans="27:28" x14ac:dyDescent="0.25">
      <c r="AA2049" s="89">
        <v>45132.083333333336</v>
      </c>
      <c r="AB2049">
        <v>46.33</v>
      </c>
    </row>
    <row r="2050" spans="27:28" x14ac:dyDescent="0.25">
      <c r="AA2050" s="89">
        <v>45132.125</v>
      </c>
      <c r="AB2050">
        <v>46.34</v>
      </c>
    </row>
    <row r="2051" spans="27:28" x14ac:dyDescent="0.25">
      <c r="AA2051" s="89">
        <v>45132.166666666664</v>
      </c>
      <c r="AB2051">
        <v>46.35</v>
      </c>
    </row>
    <row r="2052" spans="27:28" x14ac:dyDescent="0.25">
      <c r="AA2052" s="89">
        <v>45132.208333333336</v>
      </c>
      <c r="AB2052">
        <v>46.37</v>
      </c>
    </row>
    <row r="2053" spans="27:28" x14ac:dyDescent="0.25">
      <c r="AA2053" s="89">
        <v>45132.25</v>
      </c>
      <c r="AB2053">
        <v>46.38</v>
      </c>
    </row>
    <row r="2054" spans="27:28" x14ac:dyDescent="0.25">
      <c r="AA2054" s="89">
        <v>45132.291666666664</v>
      </c>
      <c r="AB2054">
        <v>46.4</v>
      </c>
    </row>
    <row r="2055" spans="27:28" x14ac:dyDescent="0.25">
      <c r="AA2055" s="89">
        <v>45132.333333333336</v>
      </c>
      <c r="AB2055">
        <v>46.41</v>
      </c>
    </row>
    <row r="2056" spans="27:28" x14ac:dyDescent="0.25">
      <c r="AA2056" s="89">
        <v>45132.375</v>
      </c>
      <c r="AB2056">
        <v>46.43</v>
      </c>
    </row>
    <row r="2057" spans="27:28" x14ac:dyDescent="0.25">
      <c r="AA2057" s="89">
        <v>45132.416666666664</v>
      </c>
      <c r="AB2057">
        <v>46.45</v>
      </c>
    </row>
    <row r="2058" spans="27:28" x14ac:dyDescent="0.25">
      <c r="AA2058" s="89">
        <v>45132.458333333336</v>
      </c>
      <c r="AB2058">
        <v>46.46</v>
      </c>
    </row>
    <row r="2059" spans="27:28" x14ac:dyDescent="0.25">
      <c r="AA2059" s="89">
        <v>45132.5</v>
      </c>
      <c r="AB2059">
        <v>46.48</v>
      </c>
    </row>
    <row r="2060" spans="27:28" x14ac:dyDescent="0.25">
      <c r="AA2060" s="89">
        <v>45132.541666666664</v>
      </c>
      <c r="AB2060">
        <v>46.5</v>
      </c>
    </row>
    <row r="2061" spans="27:28" x14ac:dyDescent="0.25">
      <c r="AA2061" s="89">
        <v>45132.583333333336</v>
      </c>
      <c r="AB2061">
        <v>46.51</v>
      </c>
    </row>
    <row r="2062" spans="27:28" x14ac:dyDescent="0.25">
      <c r="AA2062" s="89">
        <v>45132.625</v>
      </c>
      <c r="AB2062">
        <v>46.53</v>
      </c>
    </row>
    <row r="2063" spans="27:28" x14ac:dyDescent="0.25">
      <c r="AA2063" s="89">
        <v>45132.666666666664</v>
      </c>
      <c r="AB2063">
        <v>46.55</v>
      </c>
    </row>
    <row r="2064" spans="27:28" x14ac:dyDescent="0.25">
      <c r="AA2064" s="89">
        <v>45132.708333333336</v>
      </c>
      <c r="AB2064">
        <v>46.57</v>
      </c>
    </row>
    <row r="2065" spans="27:28" x14ac:dyDescent="0.25">
      <c r="AA2065" s="89">
        <v>45132.75</v>
      </c>
      <c r="AB2065">
        <v>46.59</v>
      </c>
    </row>
    <row r="2066" spans="27:28" x14ac:dyDescent="0.25">
      <c r="AA2066" s="89">
        <v>45132.791666666664</v>
      </c>
      <c r="AB2066">
        <v>46.6</v>
      </c>
    </row>
    <row r="2067" spans="27:28" x14ac:dyDescent="0.25">
      <c r="AA2067" s="89">
        <v>45132.833333333336</v>
      </c>
      <c r="AB2067">
        <v>46.62</v>
      </c>
    </row>
    <row r="2068" spans="27:28" x14ac:dyDescent="0.25">
      <c r="AA2068" s="89">
        <v>45132.875</v>
      </c>
      <c r="AB2068">
        <v>46.64</v>
      </c>
    </row>
    <row r="2069" spans="27:28" x14ac:dyDescent="0.25">
      <c r="AA2069" s="89">
        <v>45132.916666666664</v>
      </c>
      <c r="AB2069">
        <v>46.66</v>
      </c>
    </row>
    <row r="2070" spans="27:28" x14ac:dyDescent="0.25">
      <c r="AA2070" s="89">
        <v>45132.958333333336</v>
      </c>
      <c r="AB2070">
        <v>46.68</v>
      </c>
    </row>
    <row r="2071" spans="27:28" x14ac:dyDescent="0.25">
      <c r="AA2071" s="89">
        <v>45133</v>
      </c>
      <c r="AB2071">
        <v>46.69</v>
      </c>
    </row>
    <row r="2072" spans="27:28" x14ac:dyDescent="0.25">
      <c r="AA2072" s="89">
        <v>45133.041666666664</v>
      </c>
      <c r="AB2072">
        <v>46.71</v>
      </c>
    </row>
    <row r="2073" spans="27:28" x14ac:dyDescent="0.25">
      <c r="AA2073" s="89">
        <v>45133.083333333336</v>
      </c>
      <c r="AB2073">
        <v>46.72</v>
      </c>
    </row>
    <row r="2074" spans="27:28" x14ac:dyDescent="0.25">
      <c r="AA2074" s="89">
        <v>45133.125</v>
      </c>
      <c r="AB2074">
        <v>46.74</v>
      </c>
    </row>
    <row r="2075" spans="27:28" x14ac:dyDescent="0.25">
      <c r="AA2075" s="89">
        <v>45133.166666666664</v>
      </c>
      <c r="AB2075">
        <v>46.76</v>
      </c>
    </row>
    <row r="2076" spans="27:28" x14ac:dyDescent="0.25">
      <c r="AA2076" s="89">
        <v>45133.208333333336</v>
      </c>
      <c r="AB2076">
        <v>46.77</v>
      </c>
    </row>
    <row r="2077" spans="27:28" x14ac:dyDescent="0.25">
      <c r="AA2077" s="89">
        <v>45133.25</v>
      </c>
      <c r="AB2077">
        <v>46.79</v>
      </c>
    </row>
    <row r="2078" spans="27:28" x14ac:dyDescent="0.25">
      <c r="AA2078" s="89">
        <v>45133.291666666664</v>
      </c>
      <c r="AB2078">
        <v>46.81</v>
      </c>
    </row>
    <row r="2079" spans="27:28" x14ac:dyDescent="0.25">
      <c r="AA2079" s="89">
        <v>45133.333333333336</v>
      </c>
      <c r="AB2079">
        <v>46.82</v>
      </c>
    </row>
    <row r="2080" spans="27:28" x14ac:dyDescent="0.25">
      <c r="AA2080" s="89">
        <v>45133.375</v>
      </c>
      <c r="AB2080">
        <v>46.84</v>
      </c>
    </row>
    <row r="2081" spans="27:28" x14ac:dyDescent="0.25">
      <c r="AA2081" s="89">
        <v>45133.416666666664</v>
      </c>
      <c r="AB2081">
        <v>46.86</v>
      </c>
    </row>
    <row r="2082" spans="27:28" x14ac:dyDescent="0.25">
      <c r="AA2082" s="89">
        <v>45133.458333333336</v>
      </c>
      <c r="AB2082">
        <v>46.87</v>
      </c>
    </row>
    <row r="2083" spans="27:28" x14ac:dyDescent="0.25">
      <c r="AA2083" s="89">
        <v>45133.5</v>
      </c>
      <c r="AB2083">
        <v>46.9</v>
      </c>
    </row>
    <row r="2084" spans="27:28" x14ac:dyDescent="0.25">
      <c r="AA2084" s="89">
        <v>45133.541666666664</v>
      </c>
      <c r="AB2084">
        <v>46.91</v>
      </c>
    </row>
    <row r="2085" spans="27:28" x14ac:dyDescent="0.25">
      <c r="AA2085" s="89">
        <v>45133.583333333336</v>
      </c>
      <c r="AB2085">
        <v>46.93</v>
      </c>
    </row>
    <row r="2086" spans="27:28" x14ac:dyDescent="0.25">
      <c r="AA2086" s="89">
        <v>45133.625</v>
      </c>
      <c r="AB2086">
        <v>46.95</v>
      </c>
    </row>
    <row r="2087" spans="27:28" x14ac:dyDescent="0.25">
      <c r="AA2087" s="89">
        <v>45133.666666666664</v>
      </c>
      <c r="AB2087">
        <v>46.97</v>
      </c>
    </row>
    <row r="2088" spans="27:28" x14ac:dyDescent="0.25">
      <c r="AA2088" s="89">
        <v>45133.708333333336</v>
      </c>
      <c r="AB2088">
        <v>46.99</v>
      </c>
    </row>
    <row r="2089" spans="27:28" x14ac:dyDescent="0.25">
      <c r="AA2089" s="89">
        <v>45133.75</v>
      </c>
      <c r="AB2089">
        <v>47.01</v>
      </c>
    </row>
    <row r="2090" spans="27:28" x14ac:dyDescent="0.25">
      <c r="AA2090" s="89">
        <v>45133.791666666664</v>
      </c>
      <c r="AB2090">
        <v>47.03</v>
      </c>
    </row>
    <row r="2091" spans="27:28" x14ac:dyDescent="0.25">
      <c r="AA2091" s="89">
        <v>45133.833333333336</v>
      </c>
      <c r="AB2091">
        <v>47.05</v>
      </c>
    </row>
    <row r="2092" spans="27:28" x14ac:dyDescent="0.25">
      <c r="AA2092" s="89">
        <v>45133.875</v>
      </c>
      <c r="AB2092">
        <v>47.07</v>
      </c>
    </row>
    <row r="2093" spans="27:28" x14ac:dyDescent="0.25">
      <c r="AA2093" s="89">
        <v>45133.916666666664</v>
      </c>
      <c r="AB2093">
        <v>47.09</v>
      </c>
    </row>
    <row r="2094" spans="27:28" x14ac:dyDescent="0.25">
      <c r="AA2094" s="89">
        <v>45133.958333333336</v>
      </c>
      <c r="AB2094">
        <v>47.11</v>
      </c>
    </row>
    <row r="2095" spans="27:28" x14ac:dyDescent="0.25">
      <c r="AA2095" s="89">
        <v>45134</v>
      </c>
      <c r="AB2095">
        <v>47.13</v>
      </c>
    </row>
    <row r="2096" spans="27:28" x14ac:dyDescent="0.25">
      <c r="AA2096" s="89">
        <v>45134.041666666664</v>
      </c>
      <c r="AB2096">
        <v>47.15</v>
      </c>
    </row>
    <row r="2097" spans="27:28" x14ac:dyDescent="0.25">
      <c r="AA2097" s="89">
        <v>45134.083333333336</v>
      </c>
      <c r="AB2097">
        <v>47.17</v>
      </c>
    </row>
    <row r="2098" spans="27:28" x14ac:dyDescent="0.25">
      <c r="AA2098" s="89">
        <v>45134.125</v>
      </c>
      <c r="AB2098">
        <v>47.19</v>
      </c>
    </row>
    <row r="2099" spans="27:28" x14ac:dyDescent="0.25">
      <c r="AA2099" s="89">
        <v>45134.166666666664</v>
      </c>
      <c r="AB2099">
        <v>47.21</v>
      </c>
    </row>
    <row r="2100" spans="27:28" x14ac:dyDescent="0.25">
      <c r="AA2100" s="89">
        <v>45134.208333333336</v>
      </c>
      <c r="AB2100">
        <v>47.23</v>
      </c>
    </row>
    <row r="2101" spans="27:28" x14ac:dyDescent="0.25">
      <c r="AA2101" s="89">
        <v>45134.25</v>
      </c>
      <c r="AB2101">
        <v>47.25</v>
      </c>
    </row>
    <row r="2102" spans="27:28" x14ac:dyDescent="0.25">
      <c r="AA2102" s="89">
        <v>45134.291666666664</v>
      </c>
      <c r="AB2102">
        <v>47.27</v>
      </c>
    </row>
    <row r="2103" spans="27:28" x14ac:dyDescent="0.25">
      <c r="AA2103" s="89">
        <v>45134.333333333336</v>
      </c>
      <c r="AB2103">
        <v>47.29</v>
      </c>
    </row>
    <row r="2104" spans="27:28" x14ac:dyDescent="0.25">
      <c r="AA2104" s="89">
        <v>45134.375</v>
      </c>
      <c r="AB2104">
        <v>47.31</v>
      </c>
    </row>
    <row r="2105" spans="27:28" x14ac:dyDescent="0.25">
      <c r="AA2105" s="89">
        <v>45134.416666666664</v>
      </c>
      <c r="AB2105">
        <v>47.34</v>
      </c>
    </row>
    <row r="2106" spans="27:28" x14ac:dyDescent="0.25">
      <c r="AA2106" s="89">
        <v>45134.458333333336</v>
      </c>
      <c r="AB2106">
        <v>47.35</v>
      </c>
    </row>
    <row r="2107" spans="27:28" x14ac:dyDescent="0.25">
      <c r="AA2107" s="89">
        <v>45134.5</v>
      </c>
      <c r="AB2107">
        <v>47.38</v>
      </c>
    </row>
    <row r="2108" spans="27:28" x14ac:dyDescent="0.25">
      <c r="AA2108" s="89">
        <v>45134.541666666664</v>
      </c>
      <c r="AB2108">
        <v>47.4</v>
      </c>
    </row>
    <row r="2109" spans="27:28" x14ac:dyDescent="0.25">
      <c r="AA2109" s="89">
        <v>45134.583333333336</v>
      </c>
      <c r="AB2109">
        <v>47.42</v>
      </c>
    </row>
    <row r="2110" spans="27:28" x14ac:dyDescent="0.25">
      <c r="AA2110" s="89">
        <v>45134.625</v>
      </c>
      <c r="AB2110">
        <v>47.44</v>
      </c>
    </row>
    <row r="2111" spans="27:28" x14ac:dyDescent="0.25">
      <c r="AA2111" s="89">
        <v>45134.666666666664</v>
      </c>
      <c r="AB2111">
        <v>47.46</v>
      </c>
    </row>
    <row r="2112" spans="27:28" x14ac:dyDescent="0.25">
      <c r="AA2112" s="89">
        <v>45134.708333333336</v>
      </c>
      <c r="AB2112">
        <v>47.48</v>
      </c>
    </row>
    <row r="2113" spans="27:28" x14ac:dyDescent="0.25">
      <c r="AA2113" s="89">
        <v>45134.75</v>
      </c>
      <c r="AB2113">
        <v>47.5</v>
      </c>
    </row>
    <row r="2114" spans="27:28" x14ac:dyDescent="0.25">
      <c r="AA2114" s="89">
        <v>45134.791666666664</v>
      </c>
      <c r="AB2114">
        <v>47.52</v>
      </c>
    </row>
    <row r="2115" spans="27:28" x14ac:dyDescent="0.25">
      <c r="AA2115" s="89">
        <v>45134.833333333336</v>
      </c>
      <c r="AB2115">
        <v>47.54</v>
      </c>
    </row>
    <row r="2116" spans="27:28" x14ac:dyDescent="0.25">
      <c r="AA2116" s="89">
        <v>45134.875</v>
      </c>
      <c r="AB2116">
        <v>47.56</v>
      </c>
    </row>
    <row r="2117" spans="27:28" x14ac:dyDescent="0.25">
      <c r="AA2117" s="89">
        <v>45134.916666666664</v>
      </c>
      <c r="AB2117">
        <v>47.58</v>
      </c>
    </row>
    <row r="2118" spans="27:28" x14ac:dyDescent="0.25">
      <c r="AA2118" s="89">
        <v>45134.958333333336</v>
      </c>
      <c r="AB2118">
        <v>47.59</v>
      </c>
    </row>
    <row r="2119" spans="27:28" x14ac:dyDescent="0.25">
      <c r="AA2119" s="89">
        <v>45135</v>
      </c>
      <c r="AB2119">
        <v>47.61</v>
      </c>
    </row>
    <row r="2120" spans="27:28" x14ac:dyDescent="0.25">
      <c r="AA2120" s="89">
        <v>45135.041666666664</v>
      </c>
      <c r="AB2120">
        <v>47.63</v>
      </c>
    </row>
    <row r="2121" spans="27:28" x14ac:dyDescent="0.25">
      <c r="AA2121" s="89">
        <v>45135.083333333336</v>
      </c>
      <c r="AB2121">
        <v>47.64</v>
      </c>
    </row>
    <row r="2122" spans="27:28" x14ac:dyDescent="0.25">
      <c r="AA2122" s="89">
        <v>45135.125</v>
      </c>
      <c r="AB2122">
        <v>47.65</v>
      </c>
    </row>
    <row r="2123" spans="27:28" x14ac:dyDescent="0.25">
      <c r="AA2123" s="89">
        <v>45135.166666666664</v>
      </c>
      <c r="AB2123">
        <v>47.67</v>
      </c>
    </row>
    <row r="2124" spans="27:28" x14ac:dyDescent="0.25">
      <c r="AA2124" s="89">
        <v>45135.208333333336</v>
      </c>
      <c r="AB2124">
        <v>47.68</v>
      </c>
    </row>
    <row r="2125" spans="27:28" x14ac:dyDescent="0.25">
      <c r="AA2125" s="89">
        <v>45135.25</v>
      </c>
      <c r="AB2125">
        <v>47.7</v>
      </c>
    </row>
    <row r="2126" spans="27:28" x14ac:dyDescent="0.25">
      <c r="AA2126" s="89">
        <v>45135.291666666664</v>
      </c>
      <c r="AB2126">
        <v>47.72</v>
      </c>
    </row>
    <row r="2127" spans="27:28" x14ac:dyDescent="0.25">
      <c r="AA2127" s="89">
        <v>45135.333333333336</v>
      </c>
      <c r="AB2127">
        <v>47.73</v>
      </c>
    </row>
    <row r="2128" spans="27:28" x14ac:dyDescent="0.25">
      <c r="AA2128" s="89">
        <v>45135.375</v>
      </c>
      <c r="AB2128">
        <v>47.74</v>
      </c>
    </row>
    <row r="2129" spans="27:28" x14ac:dyDescent="0.25">
      <c r="AA2129" s="89">
        <v>45135.416666666664</v>
      </c>
      <c r="AB2129">
        <v>47.76</v>
      </c>
    </row>
    <row r="2130" spans="27:28" x14ac:dyDescent="0.25">
      <c r="AA2130" s="89">
        <v>45135.458333333336</v>
      </c>
      <c r="AB2130">
        <v>47.78</v>
      </c>
    </row>
    <row r="2131" spans="27:28" x14ac:dyDescent="0.25">
      <c r="AA2131" s="89">
        <v>45135.5</v>
      </c>
      <c r="AB2131">
        <v>47.79</v>
      </c>
    </row>
    <row r="2132" spans="27:28" x14ac:dyDescent="0.25">
      <c r="AA2132" s="89">
        <v>45135.541666666664</v>
      </c>
      <c r="AB2132">
        <v>47.82</v>
      </c>
    </row>
    <row r="2133" spans="27:28" x14ac:dyDescent="0.25">
      <c r="AA2133" s="89">
        <v>45135.583333333336</v>
      </c>
      <c r="AB2133">
        <v>47.83</v>
      </c>
    </row>
    <row r="2134" spans="27:28" x14ac:dyDescent="0.25">
      <c r="AA2134" s="89">
        <v>45135.625</v>
      </c>
      <c r="AB2134">
        <v>47.85</v>
      </c>
    </row>
    <row r="2135" spans="27:28" x14ac:dyDescent="0.25">
      <c r="AA2135" s="89">
        <v>45135.666666666664</v>
      </c>
      <c r="AB2135">
        <v>47.86</v>
      </c>
    </row>
    <row r="2136" spans="27:28" x14ac:dyDescent="0.25">
      <c r="AA2136" s="89">
        <v>45135.708333333336</v>
      </c>
      <c r="AB2136">
        <v>47.88</v>
      </c>
    </row>
    <row r="2137" spans="27:28" x14ac:dyDescent="0.25">
      <c r="AA2137" s="89">
        <v>45135.75</v>
      </c>
      <c r="AB2137">
        <v>47.9</v>
      </c>
    </row>
    <row r="2138" spans="27:28" x14ac:dyDescent="0.25">
      <c r="AA2138" s="89">
        <v>45135.791666666664</v>
      </c>
      <c r="AB2138">
        <v>47.92</v>
      </c>
    </row>
    <row r="2139" spans="27:28" x14ac:dyDescent="0.25">
      <c r="AA2139" s="89">
        <v>45135.833333333336</v>
      </c>
      <c r="AB2139">
        <v>47.94</v>
      </c>
    </row>
    <row r="2140" spans="27:28" x14ac:dyDescent="0.25">
      <c r="AA2140" s="89">
        <v>45135.875</v>
      </c>
      <c r="AB2140">
        <v>47.95</v>
      </c>
    </row>
    <row r="2141" spans="27:28" x14ac:dyDescent="0.25">
      <c r="AA2141" s="89">
        <v>45135.916666666664</v>
      </c>
      <c r="AB2141">
        <v>47.97</v>
      </c>
    </row>
    <row r="2142" spans="27:28" x14ac:dyDescent="0.25">
      <c r="AA2142" s="89">
        <v>45135.958333333336</v>
      </c>
      <c r="AB2142">
        <v>47.99</v>
      </c>
    </row>
    <row r="2143" spans="27:28" x14ac:dyDescent="0.25">
      <c r="AA2143" s="89">
        <v>45136</v>
      </c>
      <c r="AB2143">
        <v>48</v>
      </c>
    </row>
    <row r="2144" spans="27:28" x14ac:dyDescent="0.25">
      <c r="AA2144" s="89">
        <v>45136.041666666664</v>
      </c>
      <c r="AB2144">
        <v>48.02</v>
      </c>
    </row>
    <row r="2145" spans="27:28" x14ac:dyDescent="0.25">
      <c r="AA2145" s="89">
        <v>45136.083333333336</v>
      </c>
      <c r="AB2145">
        <v>48.03</v>
      </c>
    </row>
    <row r="2146" spans="27:28" x14ac:dyDescent="0.25">
      <c r="AA2146" s="89">
        <v>45136.125</v>
      </c>
      <c r="AB2146">
        <v>48.05</v>
      </c>
    </row>
    <row r="2147" spans="27:28" x14ac:dyDescent="0.25">
      <c r="AA2147" s="89">
        <v>45136.166666666664</v>
      </c>
      <c r="AB2147">
        <v>48.06</v>
      </c>
    </row>
    <row r="2148" spans="27:28" x14ac:dyDescent="0.25">
      <c r="AA2148" s="89">
        <v>45136.208333333336</v>
      </c>
      <c r="AB2148">
        <v>48.08</v>
      </c>
    </row>
    <row r="2149" spans="27:28" x14ac:dyDescent="0.25">
      <c r="AA2149" s="89">
        <v>45136.25</v>
      </c>
      <c r="AB2149">
        <v>48.09</v>
      </c>
    </row>
    <row r="2150" spans="27:28" x14ac:dyDescent="0.25">
      <c r="AA2150" s="89">
        <v>45136.291666666664</v>
      </c>
      <c r="AB2150">
        <v>48.1</v>
      </c>
    </row>
    <row r="2151" spans="27:28" x14ac:dyDescent="0.25">
      <c r="AA2151" s="89">
        <v>45136.333333333336</v>
      </c>
      <c r="AB2151">
        <v>48.12</v>
      </c>
    </row>
    <row r="2152" spans="27:28" x14ac:dyDescent="0.25">
      <c r="AA2152" s="89">
        <v>45136.375</v>
      </c>
      <c r="AB2152">
        <v>48.13</v>
      </c>
    </row>
    <row r="2153" spans="27:28" x14ac:dyDescent="0.25">
      <c r="AA2153" s="89">
        <v>45136.416666666664</v>
      </c>
      <c r="AB2153">
        <v>48.15</v>
      </c>
    </row>
    <row r="2154" spans="27:28" x14ac:dyDescent="0.25">
      <c r="AA2154" s="89">
        <v>45136.458333333336</v>
      </c>
      <c r="AB2154">
        <v>48.16</v>
      </c>
    </row>
    <row r="2155" spans="27:28" x14ac:dyDescent="0.25">
      <c r="AA2155" s="89">
        <v>45136.5</v>
      </c>
      <c r="AB2155">
        <v>48.18</v>
      </c>
    </row>
    <row r="2156" spans="27:28" x14ac:dyDescent="0.25">
      <c r="AA2156" s="89">
        <v>45136.541666666664</v>
      </c>
      <c r="AB2156">
        <v>48.19</v>
      </c>
    </row>
    <row r="2157" spans="27:28" x14ac:dyDescent="0.25">
      <c r="AA2157" s="89">
        <v>45136.583333333336</v>
      </c>
      <c r="AB2157">
        <v>48.21</v>
      </c>
    </row>
    <row r="2158" spans="27:28" x14ac:dyDescent="0.25">
      <c r="AA2158" s="89">
        <v>45136.625</v>
      </c>
      <c r="AB2158">
        <v>48.23</v>
      </c>
    </row>
    <row r="2159" spans="27:28" x14ac:dyDescent="0.25">
      <c r="AA2159" s="89">
        <v>45136.666666666664</v>
      </c>
      <c r="AB2159">
        <v>48.25</v>
      </c>
    </row>
    <row r="2160" spans="27:28" x14ac:dyDescent="0.25">
      <c r="AA2160" s="89">
        <v>45136.708333333336</v>
      </c>
      <c r="AB2160">
        <v>48.26</v>
      </c>
    </row>
    <row r="2161" spans="27:28" x14ac:dyDescent="0.25">
      <c r="AA2161" s="89">
        <v>45136.75</v>
      </c>
      <c r="AB2161">
        <v>48.27</v>
      </c>
    </row>
    <row r="2162" spans="27:28" x14ac:dyDescent="0.25">
      <c r="AA2162" s="89">
        <v>45136.791666666664</v>
      </c>
      <c r="AB2162">
        <v>48.29</v>
      </c>
    </row>
    <row r="2163" spans="27:28" x14ac:dyDescent="0.25">
      <c r="AA2163" s="89">
        <v>45136.833333333336</v>
      </c>
      <c r="AB2163">
        <v>48.31</v>
      </c>
    </row>
    <row r="2164" spans="27:28" x14ac:dyDescent="0.25">
      <c r="AA2164" s="89">
        <v>45136.875</v>
      </c>
      <c r="AB2164">
        <v>48.32</v>
      </c>
    </row>
    <row r="2165" spans="27:28" x14ac:dyDescent="0.25">
      <c r="AA2165" s="89">
        <v>45136.916666666664</v>
      </c>
      <c r="AB2165">
        <v>48.33</v>
      </c>
    </row>
    <row r="2166" spans="27:28" x14ac:dyDescent="0.25">
      <c r="AA2166" s="89">
        <v>45136.958333333336</v>
      </c>
      <c r="AB2166">
        <v>48.35</v>
      </c>
    </row>
    <row r="2167" spans="27:28" x14ac:dyDescent="0.25">
      <c r="AA2167" s="89">
        <v>45137</v>
      </c>
      <c r="AB2167">
        <v>48.36</v>
      </c>
    </row>
    <row r="2168" spans="27:28" x14ac:dyDescent="0.25">
      <c r="AA2168" s="89">
        <v>45137.041666666664</v>
      </c>
      <c r="AB2168">
        <v>48.37</v>
      </c>
    </row>
    <row r="2169" spans="27:28" x14ac:dyDescent="0.25">
      <c r="AA2169" s="89">
        <v>45137.083333333336</v>
      </c>
      <c r="AB2169">
        <v>48.39</v>
      </c>
    </row>
    <row r="2170" spans="27:28" x14ac:dyDescent="0.25">
      <c r="AA2170" s="89">
        <v>45137.125</v>
      </c>
      <c r="AB2170">
        <v>48.39</v>
      </c>
    </row>
    <row r="2171" spans="27:28" x14ac:dyDescent="0.25">
      <c r="AA2171" s="89">
        <v>45137.166666666664</v>
      </c>
      <c r="AB2171">
        <v>48.4</v>
      </c>
    </row>
    <row r="2172" spans="27:28" x14ac:dyDescent="0.25">
      <c r="AA2172" s="89">
        <v>45137.208333333336</v>
      </c>
      <c r="AB2172">
        <v>48.42</v>
      </c>
    </row>
    <row r="2173" spans="27:28" x14ac:dyDescent="0.25">
      <c r="AA2173" s="89">
        <v>45137.25</v>
      </c>
      <c r="AB2173">
        <v>48.43</v>
      </c>
    </row>
    <row r="2174" spans="27:28" x14ac:dyDescent="0.25">
      <c r="AA2174" s="89">
        <v>45137.291666666664</v>
      </c>
      <c r="AB2174">
        <v>48.44</v>
      </c>
    </row>
    <row r="2175" spans="27:28" x14ac:dyDescent="0.25">
      <c r="AA2175" s="89">
        <v>45137.333333333336</v>
      </c>
      <c r="AB2175">
        <v>48.46</v>
      </c>
    </row>
    <row r="2176" spans="27:28" x14ac:dyDescent="0.25">
      <c r="AA2176" s="89">
        <v>45137.375</v>
      </c>
      <c r="AB2176">
        <v>48.47</v>
      </c>
    </row>
    <row r="2177" spans="27:28" x14ac:dyDescent="0.25">
      <c r="AA2177" s="89">
        <v>45137.416666666664</v>
      </c>
      <c r="AB2177">
        <v>48.48</v>
      </c>
    </row>
    <row r="2178" spans="27:28" x14ac:dyDescent="0.25">
      <c r="AA2178" s="89">
        <v>45137.458333333336</v>
      </c>
      <c r="AB2178">
        <v>48.5</v>
      </c>
    </row>
    <row r="2179" spans="27:28" x14ac:dyDescent="0.25">
      <c r="AA2179" s="89">
        <v>45137.5</v>
      </c>
      <c r="AB2179">
        <v>48.51</v>
      </c>
    </row>
    <row r="2180" spans="27:28" x14ac:dyDescent="0.25">
      <c r="AA2180" s="89">
        <v>45137.541666666664</v>
      </c>
      <c r="AB2180">
        <v>48.52</v>
      </c>
    </row>
    <row r="2181" spans="27:28" x14ac:dyDescent="0.25">
      <c r="AA2181" s="89">
        <v>45137.583333333336</v>
      </c>
      <c r="AB2181">
        <v>48.54</v>
      </c>
    </row>
    <row r="2182" spans="27:28" x14ac:dyDescent="0.25">
      <c r="AA2182" s="89">
        <v>45137.625</v>
      </c>
      <c r="AB2182">
        <v>48.55</v>
      </c>
    </row>
    <row r="2183" spans="27:28" x14ac:dyDescent="0.25">
      <c r="AA2183" s="89">
        <v>45137.666666666664</v>
      </c>
      <c r="AB2183">
        <v>48.57</v>
      </c>
    </row>
    <row r="2184" spans="27:28" x14ac:dyDescent="0.25">
      <c r="AA2184" s="89">
        <v>45137.708333333336</v>
      </c>
      <c r="AB2184">
        <v>48.58</v>
      </c>
    </row>
    <row r="2185" spans="27:28" x14ac:dyDescent="0.25">
      <c r="AA2185" s="89">
        <v>45137.75</v>
      </c>
      <c r="AB2185">
        <v>48.6</v>
      </c>
    </row>
    <row r="2186" spans="27:28" x14ac:dyDescent="0.25">
      <c r="AA2186" s="89">
        <v>45137.791666666664</v>
      </c>
      <c r="AB2186">
        <v>48.61</v>
      </c>
    </row>
    <row r="2187" spans="27:28" x14ac:dyDescent="0.25">
      <c r="AA2187" s="89">
        <v>45137.833333333336</v>
      </c>
      <c r="AB2187">
        <v>48.63</v>
      </c>
    </row>
    <row r="2188" spans="27:28" x14ac:dyDescent="0.25">
      <c r="AA2188" s="89">
        <v>45137.875</v>
      </c>
      <c r="AB2188">
        <v>48.64</v>
      </c>
    </row>
    <row r="2189" spans="27:28" x14ac:dyDescent="0.25">
      <c r="AA2189" s="89">
        <v>45137.916666666664</v>
      </c>
      <c r="AB2189">
        <v>48.65</v>
      </c>
    </row>
    <row r="2190" spans="27:28" x14ac:dyDescent="0.25">
      <c r="AA2190" s="89">
        <v>45137.958333333336</v>
      </c>
      <c r="AB2190">
        <v>48.67</v>
      </c>
    </row>
    <row r="2191" spans="27:28" x14ac:dyDescent="0.25">
      <c r="AA2191" s="89">
        <v>45138</v>
      </c>
      <c r="AB2191">
        <v>48.68</v>
      </c>
    </row>
    <row r="2192" spans="27:28" x14ac:dyDescent="0.25">
      <c r="AA2192" s="89">
        <v>45138.041666666664</v>
      </c>
      <c r="AB2192">
        <v>48.69</v>
      </c>
    </row>
    <row r="2193" spans="27:28" x14ac:dyDescent="0.25">
      <c r="AA2193" s="89">
        <v>45138.083333333336</v>
      </c>
      <c r="AB2193">
        <v>48.7</v>
      </c>
    </row>
    <row r="2194" spans="27:28" x14ac:dyDescent="0.25">
      <c r="AA2194" s="89">
        <v>45138.125</v>
      </c>
      <c r="AB2194">
        <v>48.71</v>
      </c>
    </row>
    <row r="2195" spans="27:28" x14ac:dyDescent="0.25">
      <c r="AA2195" s="89">
        <v>45138.166666666664</v>
      </c>
      <c r="AB2195">
        <v>48.72</v>
      </c>
    </row>
    <row r="2196" spans="27:28" x14ac:dyDescent="0.25">
      <c r="AA2196" s="89">
        <v>45138.208333333336</v>
      </c>
      <c r="AB2196">
        <v>48.74</v>
      </c>
    </row>
    <row r="2197" spans="27:28" x14ac:dyDescent="0.25">
      <c r="AA2197" s="89">
        <v>45138.25</v>
      </c>
      <c r="AB2197">
        <v>48.75</v>
      </c>
    </row>
    <row r="2198" spans="27:28" x14ac:dyDescent="0.25">
      <c r="AA2198" s="89">
        <v>45138.291666666664</v>
      </c>
      <c r="AB2198">
        <v>48.76</v>
      </c>
    </row>
    <row r="2199" spans="27:28" x14ac:dyDescent="0.25">
      <c r="AA2199" s="89">
        <v>45138.333333333336</v>
      </c>
      <c r="AB2199">
        <v>48.77</v>
      </c>
    </row>
    <row r="2200" spans="27:28" x14ac:dyDescent="0.25">
      <c r="AA2200" s="89">
        <v>45138.375</v>
      </c>
      <c r="AB2200">
        <v>48.78</v>
      </c>
    </row>
    <row r="2201" spans="27:28" x14ac:dyDescent="0.25">
      <c r="AA2201" s="89">
        <v>45138.416666666664</v>
      </c>
      <c r="AB2201">
        <v>48.8</v>
      </c>
    </row>
    <row r="2202" spans="27:28" x14ac:dyDescent="0.25">
      <c r="AA2202" s="89">
        <v>45138.458333333336</v>
      </c>
      <c r="AB2202">
        <v>48.81</v>
      </c>
    </row>
    <row r="2203" spans="27:28" x14ac:dyDescent="0.25">
      <c r="AA2203" s="89">
        <v>45138.5</v>
      </c>
      <c r="AB2203">
        <v>48.82</v>
      </c>
    </row>
    <row r="2204" spans="27:28" x14ac:dyDescent="0.25">
      <c r="AA2204" s="89">
        <v>45138.541666666664</v>
      </c>
      <c r="AB2204">
        <v>48.84</v>
      </c>
    </row>
    <row r="2205" spans="27:28" x14ac:dyDescent="0.25">
      <c r="AA2205" s="89">
        <v>45138.583333333336</v>
      </c>
      <c r="AB2205">
        <v>48.85</v>
      </c>
    </row>
    <row r="2206" spans="27:28" x14ac:dyDescent="0.25">
      <c r="AA2206" s="89">
        <v>45138.625</v>
      </c>
      <c r="AB2206">
        <v>48.87</v>
      </c>
    </row>
    <row r="2207" spans="27:28" x14ac:dyDescent="0.25">
      <c r="AA2207" s="89">
        <v>45138.666666666664</v>
      </c>
      <c r="AB2207">
        <v>48.89</v>
      </c>
    </row>
    <row r="2208" spans="27:28" x14ac:dyDescent="0.25">
      <c r="AA2208" s="89">
        <v>45138.708333333336</v>
      </c>
      <c r="AB2208">
        <v>48.91</v>
      </c>
    </row>
    <row r="2209" spans="27:28" x14ac:dyDescent="0.25">
      <c r="AA2209" s="89">
        <v>45138.75</v>
      </c>
      <c r="AB2209">
        <v>48.92</v>
      </c>
    </row>
    <row r="2210" spans="27:28" x14ac:dyDescent="0.25">
      <c r="AA2210" s="89">
        <v>45138.791666666664</v>
      </c>
      <c r="AB2210">
        <v>48.93</v>
      </c>
    </row>
    <row r="2211" spans="27:28" x14ac:dyDescent="0.25">
      <c r="AA2211" s="89">
        <v>45138.833333333336</v>
      </c>
      <c r="AB2211">
        <v>48.95</v>
      </c>
    </row>
    <row r="2212" spans="27:28" x14ac:dyDescent="0.25">
      <c r="AA2212" s="89">
        <v>45138.875</v>
      </c>
      <c r="AB2212">
        <v>48.96</v>
      </c>
    </row>
    <row r="2213" spans="27:28" x14ac:dyDescent="0.25">
      <c r="AA2213" s="89">
        <v>45138.916666666664</v>
      </c>
      <c r="AB2213">
        <v>48.97</v>
      </c>
    </row>
    <row r="2214" spans="27:28" x14ac:dyDescent="0.25">
      <c r="AA2214" s="89">
        <v>45138.958333333336</v>
      </c>
      <c r="AB2214">
        <v>48.99</v>
      </c>
    </row>
    <row r="2215" spans="27:28" x14ac:dyDescent="0.25">
      <c r="AA2215" s="89">
        <v>45139</v>
      </c>
      <c r="AB2215">
        <v>49</v>
      </c>
    </row>
    <row r="2216" spans="27:28" x14ac:dyDescent="0.25">
      <c r="AA2216" s="89">
        <v>45139.041666666664</v>
      </c>
      <c r="AB2216">
        <v>49.01</v>
      </c>
    </row>
    <row r="2217" spans="27:28" x14ac:dyDescent="0.25">
      <c r="AA2217" s="89">
        <v>45139.083333333336</v>
      </c>
      <c r="AB2217">
        <v>49.03</v>
      </c>
    </row>
    <row r="2218" spans="27:28" x14ac:dyDescent="0.25">
      <c r="AA2218" s="89">
        <v>45139.125</v>
      </c>
      <c r="AB2218">
        <v>49.04</v>
      </c>
    </row>
    <row r="2219" spans="27:28" x14ac:dyDescent="0.25">
      <c r="AA2219" s="89">
        <v>45139.166666666664</v>
      </c>
      <c r="AB2219">
        <v>49.05</v>
      </c>
    </row>
    <row r="2220" spans="27:28" x14ac:dyDescent="0.25">
      <c r="AA2220" s="89">
        <v>45139.208333333336</v>
      </c>
      <c r="AB2220">
        <v>49.07</v>
      </c>
    </row>
    <row r="2221" spans="27:28" x14ac:dyDescent="0.25">
      <c r="AA2221" s="89">
        <v>45139.25</v>
      </c>
      <c r="AB2221">
        <v>49.08</v>
      </c>
    </row>
    <row r="2222" spans="27:28" x14ac:dyDescent="0.25">
      <c r="AA2222" s="89">
        <v>45139.291666666664</v>
      </c>
      <c r="AB2222">
        <v>49.09</v>
      </c>
    </row>
    <row r="2223" spans="27:28" x14ac:dyDescent="0.25">
      <c r="AA2223" s="89">
        <v>45139.333333333336</v>
      </c>
      <c r="AB2223">
        <v>49.1</v>
      </c>
    </row>
    <row r="2224" spans="27:28" x14ac:dyDescent="0.25">
      <c r="AA2224" s="89">
        <v>45139.375</v>
      </c>
      <c r="AB2224">
        <v>49.12</v>
      </c>
    </row>
    <row r="2225" spans="27:28" x14ac:dyDescent="0.25">
      <c r="AA2225" s="89">
        <v>45139.416666666664</v>
      </c>
      <c r="AB2225">
        <v>49.13</v>
      </c>
    </row>
    <row r="2226" spans="27:28" x14ac:dyDescent="0.25">
      <c r="AA2226" s="89">
        <v>45139.458333333336</v>
      </c>
      <c r="AB2226">
        <v>49.15</v>
      </c>
    </row>
    <row r="2227" spans="27:28" x14ac:dyDescent="0.25">
      <c r="AA2227" s="89">
        <v>45139.5</v>
      </c>
      <c r="AB2227">
        <v>49.16</v>
      </c>
    </row>
    <row r="2228" spans="27:28" x14ac:dyDescent="0.25">
      <c r="AA2228" s="89">
        <v>45139.541666666664</v>
      </c>
      <c r="AB2228">
        <v>49.18</v>
      </c>
    </row>
    <row r="2229" spans="27:28" x14ac:dyDescent="0.25">
      <c r="AA2229" s="89">
        <v>45139.583333333336</v>
      </c>
      <c r="AB2229">
        <v>49.19</v>
      </c>
    </row>
    <row r="2230" spans="27:28" x14ac:dyDescent="0.25">
      <c r="AA2230" s="89">
        <v>45139.625</v>
      </c>
      <c r="AB2230">
        <v>49.21</v>
      </c>
    </row>
    <row r="2231" spans="27:28" x14ac:dyDescent="0.25">
      <c r="AA2231" s="89">
        <v>45139.666666666664</v>
      </c>
      <c r="AB2231">
        <v>49.22</v>
      </c>
    </row>
    <row r="2232" spans="27:28" x14ac:dyDescent="0.25">
      <c r="AA2232" s="89">
        <v>45139.708333333336</v>
      </c>
      <c r="AB2232">
        <v>49.24</v>
      </c>
    </row>
    <row r="2233" spans="27:28" x14ac:dyDescent="0.25">
      <c r="AA2233" s="89">
        <v>45139.75</v>
      </c>
      <c r="AB2233">
        <v>49.26</v>
      </c>
    </row>
    <row r="2234" spans="27:28" x14ac:dyDescent="0.25">
      <c r="AA2234" s="89">
        <v>45139.791666666664</v>
      </c>
      <c r="AB2234">
        <v>49.27</v>
      </c>
    </row>
    <row r="2235" spans="27:28" x14ac:dyDescent="0.25">
      <c r="AA2235" s="89">
        <v>45139.833333333336</v>
      </c>
      <c r="AB2235">
        <v>49.29</v>
      </c>
    </row>
    <row r="2236" spans="27:28" x14ac:dyDescent="0.25">
      <c r="AA2236" s="89">
        <v>45139.875</v>
      </c>
      <c r="AB2236">
        <v>49.3</v>
      </c>
    </row>
    <row r="2237" spans="27:28" x14ac:dyDescent="0.25">
      <c r="AA2237" s="89">
        <v>45139.916666666664</v>
      </c>
      <c r="AB2237">
        <v>49.31</v>
      </c>
    </row>
    <row r="2238" spans="27:28" x14ac:dyDescent="0.25">
      <c r="AA2238" s="89">
        <v>45139.958333333336</v>
      </c>
      <c r="AB2238">
        <v>49.33</v>
      </c>
    </row>
    <row r="2239" spans="27:28" x14ac:dyDescent="0.25">
      <c r="AA2239" s="89">
        <v>45140</v>
      </c>
      <c r="AB2239">
        <v>49.34</v>
      </c>
    </row>
    <row r="2240" spans="27:28" x14ac:dyDescent="0.25">
      <c r="AA2240" s="89">
        <v>45140.041666666664</v>
      </c>
      <c r="AB2240">
        <v>49.35</v>
      </c>
    </row>
    <row r="2241" spans="27:28" x14ac:dyDescent="0.25">
      <c r="AA2241" s="89">
        <v>45140.083333333336</v>
      </c>
      <c r="AB2241">
        <v>49.37</v>
      </c>
    </row>
    <row r="2242" spans="27:28" x14ac:dyDescent="0.25">
      <c r="AA2242" s="89">
        <v>45140.125</v>
      </c>
      <c r="AB2242">
        <v>49.38</v>
      </c>
    </row>
    <row r="2243" spans="27:28" x14ac:dyDescent="0.25">
      <c r="AA2243" s="89">
        <v>45140.166666666664</v>
      </c>
      <c r="AB2243">
        <v>49.39</v>
      </c>
    </row>
    <row r="2244" spans="27:28" x14ac:dyDescent="0.25">
      <c r="AA2244" s="89">
        <v>45140.208333333336</v>
      </c>
      <c r="AB2244">
        <v>49.4</v>
      </c>
    </row>
    <row r="2245" spans="27:28" x14ac:dyDescent="0.25">
      <c r="AA2245" s="89">
        <v>45140.25</v>
      </c>
      <c r="AB2245">
        <v>49.41</v>
      </c>
    </row>
    <row r="2246" spans="27:28" x14ac:dyDescent="0.25">
      <c r="AA2246" s="89">
        <v>45140.291666666664</v>
      </c>
      <c r="AB2246">
        <v>49.42</v>
      </c>
    </row>
    <row r="2247" spans="27:28" x14ac:dyDescent="0.25">
      <c r="AA2247" s="89">
        <v>45140.333333333336</v>
      </c>
      <c r="AB2247">
        <v>49.44</v>
      </c>
    </row>
    <row r="2248" spans="27:28" x14ac:dyDescent="0.25">
      <c r="AA2248" s="89">
        <v>45140.375</v>
      </c>
      <c r="AB2248">
        <v>49.45</v>
      </c>
    </row>
    <row r="2249" spans="27:28" x14ac:dyDescent="0.25">
      <c r="AA2249" s="89">
        <v>45140.416666666664</v>
      </c>
      <c r="AB2249">
        <v>49.46</v>
      </c>
    </row>
    <row r="2250" spans="27:28" x14ac:dyDescent="0.25">
      <c r="AA2250" s="89">
        <v>45140.458333333336</v>
      </c>
      <c r="AB2250">
        <v>49.47</v>
      </c>
    </row>
    <row r="2251" spans="27:28" x14ac:dyDescent="0.25">
      <c r="AA2251" s="89">
        <v>45140.5</v>
      </c>
      <c r="AB2251">
        <v>49.49</v>
      </c>
    </row>
    <row r="2252" spans="27:28" x14ac:dyDescent="0.25">
      <c r="AA2252" s="89">
        <v>45140.541666666664</v>
      </c>
      <c r="AB2252">
        <v>49.51</v>
      </c>
    </row>
    <row r="2253" spans="27:28" x14ac:dyDescent="0.25">
      <c r="AA2253" s="89">
        <v>45140.583333333336</v>
      </c>
      <c r="AB2253">
        <v>49.52</v>
      </c>
    </row>
    <row r="2254" spans="27:28" x14ac:dyDescent="0.25">
      <c r="AA2254" s="89">
        <v>45140.625</v>
      </c>
      <c r="AB2254">
        <v>49.54</v>
      </c>
    </row>
    <row r="2255" spans="27:28" x14ac:dyDescent="0.25">
      <c r="AA2255" s="89">
        <v>45140.666666666664</v>
      </c>
      <c r="AB2255">
        <v>49.55</v>
      </c>
    </row>
    <row r="2256" spans="27:28" x14ac:dyDescent="0.25">
      <c r="AA2256" s="89">
        <v>45140.708333333336</v>
      </c>
      <c r="AB2256">
        <v>49.57</v>
      </c>
    </row>
    <row r="2257" spans="27:28" x14ac:dyDescent="0.25">
      <c r="AA2257" s="89">
        <v>45140.75</v>
      </c>
      <c r="AB2257">
        <v>49.58</v>
      </c>
    </row>
    <row r="2258" spans="27:28" x14ac:dyDescent="0.25">
      <c r="AA2258" s="89">
        <v>45140.791666666664</v>
      </c>
      <c r="AB2258">
        <v>49.59</v>
      </c>
    </row>
    <row r="2259" spans="27:28" x14ac:dyDescent="0.25">
      <c r="AA2259" s="89">
        <v>45140.833333333336</v>
      </c>
      <c r="AB2259">
        <v>49.6</v>
      </c>
    </row>
    <row r="2260" spans="27:28" x14ac:dyDescent="0.25">
      <c r="AA2260" s="89">
        <v>45140.875</v>
      </c>
      <c r="AB2260">
        <v>49.62</v>
      </c>
    </row>
    <row r="2261" spans="27:28" x14ac:dyDescent="0.25">
      <c r="AA2261" s="89">
        <v>45140.916666666664</v>
      </c>
      <c r="AB2261">
        <v>49.63</v>
      </c>
    </row>
    <row r="2262" spans="27:28" x14ac:dyDescent="0.25">
      <c r="AA2262" s="89">
        <v>45140.958333333336</v>
      </c>
      <c r="AB2262">
        <v>49.64</v>
      </c>
    </row>
    <row r="2263" spans="27:28" x14ac:dyDescent="0.25">
      <c r="AA2263" s="89">
        <v>45141</v>
      </c>
      <c r="AB2263">
        <v>49.66</v>
      </c>
    </row>
    <row r="2264" spans="27:28" x14ac:dyDescent="0.25">
      <c r="AA2264" s="89">
        <v>45141.041666666664</v>
      </c>
      <c r="AB2264">
        <v>49.67</v>
      </c>
    </row>
    <row r="2265" spans="27:28" x14ac:dyDescent="0.25">
      <c r="AA2265" s="89">
        <v>45141.083333333336</v>
      </c>
      <c r="AB2265">
        <v>49.68</v>
      </c>
    </row>
    <row r="2266" spans="27:28" x14ac:dyDescent="0.25">
      <c r="AA2266" s="89">
        <v>45141.125</v>
      </c>
      <c r="AB2266">
        <v>49.69</v>
      </c>
    </row>
    <row r="2267" spans="27:28" x14ac:dyDescent="0.25">
      <c r="AA2267" s="89">
        <v>45141.166666666664</v>
      </c>
      <c r="AB2267">
        <v>49.7</v>
      </c>
    </row>
    <row r="2268" spans="27:28" x14ac:dyDescent="0.25">
      <c r="AA2268" s="89">
        <v>45141.208333333336</v>
      </c>
      <c r="AB2268">
        <v>49.72</v>
      </c>
    </row>
    <row r="2269" spans="27:28" x14ac:dyDescent="0.25">
      <c r="AA2269" s="89">
        <v>45141.25</v>
      </c>
      <c r="AB2269">
        <v>49.73</v>
      </c>
    </row>
    <row r="2270" spans="27:28" x14ac:dyDescent="0.25">
      <c r="AA2270" s="89">
        <v>45141.291666666664</v>
      </c>
      <c r="AB2270">
        <v>49.74</v>
      </c>
    </row>
    <row r="2271" spans="27:28" x14ac:dyDescent="0.25">
      <c r="AA2271" s="89">
        <v>45141.333333333336</v>
      </c>
      <c r="AB2271">
        <v>49.76</v>
      </c>
    </row>
    <row r="2272" spans="27:28" x14ac:dyDescent="0.25">
      <c r="AA2272" s="89">
        <v>45141.375</v>
      </c>
      <c r="AB2272">
        <v>49.77</v>
      </c>
    </row>
    <row r="2273" spans="27:28" x14ac:dyDescent="0.25">
      <c r="AA2273" s="89">
        <v>45141.416666666664</v>
      </c>
      <c r="AB2273">
        <v>49.78</v>
      </c>
    </row>
    <row r="2274" spans="27:28" x14ac:dyDescent="0.25">
      <c r="AA2274" s="89">
        <v>45141.458333333336</v>
      </c>
      <c r="AB2274">
        <v>49.8</v>
      </c>
    </row>
    <row r="2275" spans="27:28" x14ac:dyDescent="0.25">
      <c r="AA2275" s="89">
        <v>45141.5</v>
      </c>
      <c r="AB2275">
        <v>49.81</v>
      </c>
    </row>
    <row r="2276" spans="27:28" x14ac:dyDescent="0.25">
      <c r="AA2276" s="89">
        <v>45141.541666666664</v>
      </c>
      <c r="AB2276">
        <v>49.83</v>
      </c>
    </row>
    <row r="2277" spans="27:28" x14ac:dyDescent="0.25">
      <c r="AA2277" s="89">
        <v>45141.583333333336</v>
      </c>
      <c r="AB2277">
        <v>49.84</v>
      </c>
    </row>
    <row r="2278" spans="27:28" x14ac:dyDescent="0.25">
      <c r="AA2278" s="89">
        <v>45141.625</v>
      </c>
      <c r="AB2278">
        <v>49.85</v>
      </c>
    </row>
    <row r="2279" spans="27:28" x14ac:dyDescent="0.25">
      <c r="AA2279" s="89">
        <v>45141.666666666664</v>
      </c>
      <c r="AB2279">
        <v>49.87</v>
      </c>
    </row>
    <row r="2280" spans="27:28" x14ac:dyDescent="0.25">
      <c r="AA2280" s="89">
        <v>45141.708333333336</v>
      </c>
      <c r="AB2280">
        <v>49.89</v>
      </c>
    </row>
    <row r="2281" spans="27:28" x14ac:dyDescent="0.25">
      <c r="AA2281" s="89">
        <v>45141.75</v>
      </c>
      <c r="AB2281">
        <v>49.89</v>
      </c>
    </row>
    <row r="2282" spans="27:28" x14ac:dyDescent="0.25">
      <c r="AA2282" s="89">
        <v>45141.791666666664</v>
      </c>
      <c r="AB2282">
        <v>49.91</v>
      </c>
    </row>
    <row r="2283" spans="27:28" x14ac:dyDescent="0.25">
      <c r="AA2283" s="89">
        <v>45141.833333333336</v>
      </c>
      <c r="AB2283">
        <v>49.92</v>
      </c>
    </row>
    <row r="2284" spans="27:28" x14ac:dyDescent="0.25">
      <c r="AA2284" s="89">
        <v>45141.875</v>
      </c>
      <c r="AB2284">
        <v>49.93</v>
      </c>
    </row>
    <row r="2285" spans="27:28" x14ac:dyDescent="0.25">
      <c r="AA2285" s="89">
        <v>45141.916666666664</v>
      </c>
      <c r="AB2285">
        <v>49.95</v>
      </c>
    </row>
    <row r="2286" spans="27:28" x14ac:dyDescent="0.25">
      <c r="AA2286" s="89">
        <v>45141.958333333336</v>
      </c>
      <c r="AB2286">
        <v>49.96</v>
      </c>
    </row>
  </sheetData>
  <mergeCells count="1">
    <mergeCell ref="B62:E63"/>
  </mergeCells>
  <conditionalFormatting sqref="C67:C93">
    <cfRule type="cellIs" dxfId="2" priority="1" operator="lessThan">
      <formula>0</formula>
    </cfRule>
    <cfRule type="cellIs" dxfId="1" priority="2" operator="equal">
      <formula>0</formula>
    </cfRule>
    <cfRule type="cellIs" dxfId="0" priority="3" operator="greaterThan">
      <formula>0</formula>
    </cfRule>
  </conditionalFormatting>
  <pageMargins left="0.25" right="0.25" top="0.75" bottom="0.75" header="0.3" footer="0.3"/>
  <pageSetup scale="35" orientation="landscape" r:id="rId1"/>
  <headerFooter>
    <oddHeader>&amp;LTH 11 BCA
Slide Data Summary&amp;RSRF Consulting</oddHeader>
    <oddFooter>&amp;RPage &amp;P of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DBAE-FD73-4520-B9D8-2DEC16E45894}">
  <sheetPr>
    <pageSetUpPr fitToPage="1"/>
  </sheetPr>
  <dimension ref="A2:BI137"/>
  <sheetViews>
    <sheetView zoomScale="55" zoomScaleNormal="55" workbookViewId="0">
      <selection activeCell="F123" sqref="F123"/>
    </sheetView>
  </sheetViews>
  <sheetFormatPr defaultRowHeight="12.75" x14ac:dyDescent="0.25"/>
  <cols>
    <col min="1" max="1" width="3.140625" style="279" customWidth="1"/>
    <col min="2" max="2" width="15.85546875" style="279" customWidth="1"/>
    <col min="3" max="3" width="41.28515625" style="279" customWidth="1"/>
    <col min="4" max="4" width="44.5703125" style="279" bestFit="1" customWidth="1"/>
    <col min="5" max="5" width="42.85546875" style="279" customWidth="1"/>
    <col min="6" max="6" width="21.42578125" style="280" customWidth="1"/>
    <col min="7" max="7" width="26.7109375" style="279" customWidth="1"/>
    <col min="8" max="8" width="23.140625" style="279" customWidth="1"/>
    <col min="9" max="9" width="22.28515625" style="279" customWidth="1"/>
    <col min="10" max="10" width="21.7109375" style="279" customWidth="1"/>
    <col min="11" max="11" width="20.5703125" style="279" customWidth="1"/>
    <col min="12" max="12" width="11.28515625" style="279" customWidth="1"/>
    <col min="13" max="13" width="27.85546875" style="279" customWidth="1"/>
    <col min="14" max="14" width="29.42578125" style="279" customWidth="1"/>
    <col min="15" max="15" width="29.5703125" style="279" customWidth="1"/>
    <col min="16" max="16" width="16.28515625" style="279" customWidth="1"/>
    <col min="17" max="37" width="9.140625" style="279"/>
    <col min="38" max="38" width="23.85546875" style="279" customWidth="1"/>
    <col min="39" max="260" width="9.140625" style="279"/>
    <col min="261" max="261" width="20.5703125" style="279" customWidth="1"/>
    <col min="262" max="262" width="15.85546875" style="279" customWidth="1"/>
    <col min="263" max="263" width="29.5703125" style="279" customWidth="1"/>
    <col min="264" max="264" width="26.5703125" style="279" customWidth="1"/>
    <col min="265" max="265" width="34.85546875" style="279" customWidth="1"/>
    <col min="266" max="266" width="25" style="279" customWidth="1"/>
    <col min="267" max="268" width="26.7109375" style="279" customWidth="1"/>
    <col min="269" max="269" width="27.85546875" style="279" customWidth="1"/>
    <col min="270" max="270" width="29.42578125" style="279" customWidth="1"/>
    <col min="271" max="271" width="12.7109375" style="279" bestFit="1" customWidth="1"/>
    <col min="272" max="516" width="9.140625" style="279"/>
    <col min="517" max="517" width="20.5703125" style="279" customWidth="1"/>
    <col min="518" max="518" width="15.85546875" style="279" customWidth="1"/>
    <col min="519" max="519" width="29.5703125" style="279" customWidth="1"/>
    <col min="520" max="520" width="26.5703125" style="279" customWidth="1"/>
    <col min="521" max="521" width="34.85546875" style="279" customWidth="1"/>
    <col min="522" max="522" width="25" style="279" customWidth="1"/>
    <col min="523" max="524" width="26.7109375" style="279" customWidth="1"/>
    <col min="525" max="525" width="27.85546875" style="279" customWidth="1"/>
    <col min="526" max="526" width="29.42578125" style="279" customWidth="1"/>
    <col min="527" max="527" width="12.7109375" style="279" bestFit="1" customWidth="1"/>
    <col min="528" max="772" width="9.140625" style="279"/>
    <col min="773" max="773" width="20.5703125" style="279" customWidth="1"/>
    <col min="774" max="774" width="15.85546875" style="279" customWidth="1"/>
    <col min="775" max="775" width="29.5703125" style="279" customWidth="1"/>
    <col min="776" max="776" width="26.5703125" style="279" customWidth="1"/>
    <col min="777" max="777" width="34.85546875" style="279" customWidth="1"/>
    <col min="778" max="778" width="25" style="279" customWidth="1"/>
    <col min="779" max="780" width="26.7109375" style="279" customWidth="1"/>
    <col min="781" max="781" width="27.85546875" style="279" customWidth="1"/>
    <col min="782" max="782" width="29.42578125" style="279" customWidth="1"/>
    <col min="783" max="783" width="12.7109375" style="279" bestFit="1" customWidth="1"/>
    <col min="784" max="1028" width="9.140625" style="279"/>
    <col min="1029" max="1029" width="20.5703125" style="279" customWidth="1"/>
    <col min="1030" max="1030" width="15.85546875" style="279" customWidth="1"/>
    <col min="1031" max="1031" width="29.5703125" style="279" customWidth="1"/>
    <col min="1032" max="1032" width="26.5703125" style="279" customWidth="1"/>
    <col min="1033" max="1033" width="34.85546875" style="279" customWidth="1"/>
    <col min="1034" max="1034" width="25" style="279" customWidth="1"/>
    <col min="1035" max="1036" width="26.7109375" style="279" customWidth="1"/>
    <col min="1037" max="1037" width="27.85546875" style="279" customWidth="1"/>
    <col min="1038" max="1038" width="29.42578125" style="279" customWidth="1"/>
    <col min="1039" max="1039" width="12.7109375" style="279" bestFit="1" customWidth="1"/>
    <col min="1040" max="1284" width="9.140625" style="279"/>
    <col min="1285" max="1285" width="20.5703125" style="279" customWidth="1"/>
    <col min="1286" max="1286" width="15.85546875" style="279" customWidth="1"/>
    <col min="1287" max="1287" width="29.5703125" style="279" customWidth="1"/>
    <col min="1288" max="1288" width="26.5703125" style="279" customWidth="1"/>
    <col min="1289" max="1289" width="34.85546875" style="279" customWidth="1"/>
    <col min="1290" max="1290" width="25" style="279" customWidth="1"/>
    <col min="1291" max="1292" width="26.7109375" style="279" customWidth="1"/>
    <col min="1293" max="1293" width="27.85546875" style="279" customWidth="1"/>
    <col min="1294" max="1294" width="29.42578125" style="279" customWidth="1"/>
    <col min="1295" max="1295" width="12.7109375" style="279" bestFit="1" customWidth="1"/>
    <col min="1296" max="1540" width="9.140625" style="279"/>
    <col min="1541" max="1541" width="20.5703125" style="279" customWidth="1"/>
    <col min="1542" max="1542" width="15.85546875" style="279" customWidth="1"/>
    <col min="1543" max="1543" width="29.5703125" style="279" customWidth="1"/>
    <col min="1544" max="1544" width="26.5703125" style="279" customWidth="1"/>
    <col min="1545" max="1545" width="34.85546875" style="279" customWidth="1"/>
    <col min="1546" max="1546" width="25" style="279" customWidth="1"/>
    <col min="1547" max="1548" width="26.7109375" style="279" customWidth="1"/>
    <col min="1549" max="1549" width="27.85546875" style="279" customWidth="1"/>
    <col min="1550" max="1550" width="29.42578125" style="279" customWidth="1"/>
    <col min="1551" max="1551" width="12.7109375" style="279" bestFit="1" customWidth="1"/>
    <col min="1552" max="1796" width="9.140625" style="279"/>
    <col min="1797" max="1797" width="20.5703125" style="279" customWidth="1"/>
    <col min="1798" max="1798" width="15.85546875" style="279" customWidth="1"/>
    <col min="1799" max="1799" width="29.5703125" style="279" customWidth="1"/>
    <col min="1800" max="1800" width="26.5703125" style="279" customWidth="1"/>
    <col min="1801" max="1801" width="34.85546875" style="279" customWidth="1"/>
    <col min="1802" max="1802" width="25" style="279" customWidth="1"/>
    <col min="1803" max="1804" width="26.7109375" style="279" customWidth="1"/>
    <col min="1805" max="1805" width="27.85546875" style="279" customWidth="1"/>
    <col min="1806" max="1806" width="29.42578125" style="279" customWidth="1"/>
    <col min="1807" max="1807" width="12.7109375" style="279" bestFit="1" customWidth="1"/>
    <col min="1808" max="2052" width="9.140625" style="279"/>
    <col min="2053" max="2053" width="20.5703125" style="279" customWidth="1"/>
    <col min="2054" max="2054" width="15.85546875" style="279" customWidth="1"/>
    <col min="2055" max="2055" width="29.5703125" style="279" customWidth="1"/>
    <col min="2056" max="2056" width="26.5703125" style="279" customWidth="1"/>
    <col min="2057" max="2057" width="34.85546875" style="279" customWidth="1"/>
    <col min="2058" max="2058" width="25" style="279" customWidth="1"/>
    <col min="2059" max="2060" width="26.7109375" style="279" customWidth="1"/>
    <col min="2061" max="2061" width="27.85546875" style="279" customWidth="1"/>
    <col min="2062" max="2062" width="29.42578125" style="279" customWidth="1"/>
    <col min="2063" max="2063" width="12.7109375" style="279" bestFit="1" customWidth="1"/>
    <col min="2064" max="2308" width="9.140625" style="279"/>
    <col min="2309" max="2309" width="20.5703125" style="279" customWidth="1"/>
    <col min="2310" max="2310" width="15.85546875" style="279" customWidth="1"/>
    <col min="2311" max="2311" width="29.5703125" style="279" customWidth="1"/>
    <col min="2312" max="2312" width="26.5703125" style="279" customWidth="1"/>
    <col min="2313" max="2313" width="34.85546875" style="279" customWidth="1"/>
    <col min="2314" max="2314" width="25" style="279" customWidth="1"/>
    <col min="2315" max="2316" width="26.7109375" style="279" customWidth="1"/>
    <col min="2317" max="2317" width="27.85546875" style="279" customWidth="1"/>
    <col min="2318" max="2318" width="29.42578125" style="279" customWidth="1"/>
    <col min="2319" max="2319" width="12.7109375" style="279" bestFit="1" customWidth="1"/>
    <col min="2320" max="2564" width="9.140625" style="279"/>
    <col min="2565" max="2565" width="20.5703125" style="279" customWidth="1"/>
    <col min="2566" max="2566" width="15.85546875" style="279" customWidth="1"/>
    <col min="2567" max="2567" width="29.5703125" style="279" customWidth="1"/>
    <col min="2568" max="2568" width="26.5703125" style="279" customWidth="1"/>
    <col min="2569" max="2569" width="34.85546875" style="279" customWidth="1"/>
    <col min="2570" max="2570" width="25" style="279" customWidth="1"/>
    <col min="2571" max="2572" width="26.7109375" style="279" customWidth="1"/>
    <col min="2573" max="2573" width="27.85546875" style="279" customWidth="1"/>
    <col min="2574" max="2574" width="29.42578125" style="279" customWidth="1"/>
    <col min="2575" max="2575" width="12.7109375" style="279" bestFit="1" customWidth="1"/>
    <col min="2576" max="2820" width="9.140625" style="279"/>
    <col min="2821" max="2821" width="20.5703125" style="279" customWidth="1"/>
    <col min="2822" max="2822" width="15.85546875" style="279" customWidth="1"/>
    <col min="2823" max="2823" width="29.5703125" style="279" customWidth="1"/>
    <col min="2824" max="2824" width="26.5703125" style="279" customWidth="1"/>
    <col min="2825" max="2825" width="34.85546875" style="279" customWidth="1"/>
    <col min="2826" max="2826" width="25" style="279" customWidth="1"/>
    <col min="2827" max="2828" width="26.7109375" style="279" customWidth="1"/>
    <col min="2829" max="2829" width="27.85546875" style="279" customWidth="1"/>
    <col min="2830" max="2830" width="29.42578125" style="279" customWidth="1"/>
    <col min="2831" max="2831" width="12.7109375" style="279" bestFit="1" customWidth="1"/>
    <col min="2832" max="3076" width="9.140625" style="279"/>
    <col min="3077" max="3077" width="20.5703125" style="279" customWidth="1"/>
    <col min="3078" max="3078" width="15.85546875" style="279" customWidth="1"/>
    <col min="3079" max="3079" width="29.5703125" style="279" customWidth="1"/>
    <col min="3080" max="3080" width="26.5703125" style="279" customWidth="1"/>
    <col min="3081" max="3081" width="34.85546875" style="279" customWidth="1"/>
    <col min="3082" max="3082" width="25" style="279" customWidth="1"/>
    <col min="3083" max="3084" width="26.7109375" style="279" customWidth="1"/>
    <col min="3085" max="3085" width="27.85546875" style="279" customWidth="1"/>
    <col min="3086" max="3086" width="29.42578125" style="279" customWidth="1"/>
    <col min="3087" max="3087" width="12.7109375" style="279" bestFit="1" customWidth="1"/>
    <col min="3088" max="3332" width="9.140625" style="279"/>
    <col min="3333" max="3333" width="20.5703125" style="279" customWidth="1"/>
    <col min="3334" max="3334" width="15.85546875" style="279" customWidth="1"/>
    <col min="3335" max="3335" width="29.5703125" style="279" customWidth="1"/>
    <col min="3336" max="3336" width="26.5703125" style="279" customWidth="1"/>
    <col min="3337" max="3337" width="34.85546875" style="279" customWidth="1"/>
    <col min="3338" max="3338" width="25" style="279" customWidth="1"/>
    <col min="3339" max="3340" width="26.7109375" style="279" customWidth="1"/>
    <col min="3341" max="3341" width="27.85546875" style="279" customWidth="1"/>
    <col min="3342" max="3342" width="29.42578125" style="279" customWidth="1"/>
    <col min="3343" max="3343" width="12.7109375" style="279" bestFit="1" customWidth="1"/>
    <col min="3344" max="3588" width="9.140625" style="279"/>
    <col min="3589" max="3589" width="20.5703125" style="279" customWidth="1"/>
    <col min="3590" max="3590" width="15.85546875" style="279" customWidth="1"/>
    <col min="3591" max="3591" width="29.5703125" style="279" customWidth="1"/>
    <col min="3592" max="3592" width="26.5703125" style="279" customWidth="1"/>
    <col min="3593" max="3593" width="34.85546875" style="279" customWidth="1"/>
    <col min="3594" max="3594" width="25" style="279" customWidth="1"/>
    <col min="3595" max="3596" width="26.7109375" style="279" customWidth="1"/>
    <col min="3597" max="3597" width="27.85546875" style="279" customWidth="1"/>
    <col min="3598" max="3598" width="29.42578125" style="279" customWidth="1"/>
    <col min="3599" max="3599" width="12.7109375" style="279" bestFit="1" customWidth="1"/>
    <col min="3600" max="3844" width="9.140625" style="279"/>
    <col min="3845" max="3845" width="20.5703125" style="279" customWidth="1"/>
    <col min="3846" max="3846" width="15.85546875" style="279" customWidth="1"/>
    <col min="3847" max="3847" width="29.5703125" style="279" customWidth="1"/>
    <col min="3848" max="3848" width="26.5703125" style="279" customWidth="1"/>
    <col min="3849" max="3849" width="34.85546875" style="279" customWidth="1"/>
    <col min="3850" max="3850" width="25" style="279" customWidth="1"/>
    <col min="3851" max="3852" width="26.7109375" style="279" customWidth="1"/>
    <col min="3853" max="3853" width="27.85546875" style="279" customWidth="1"/>
    <col min="3854" max="3854" width="29.42578125" style="279" customWidth="1"/>
    <col min="3855" max="3855" width="12.7109375" style="279" bestFit="1" customWidth="1"/>
    <col min="3856" max="4100" width="9.140625" style="279"/>
    <col min="4101" max="4101" width="20.5703125" style="279" customWidth="1"/>
    <col min="4102" max="4102" width="15.85546875" style="279" customWidth="1"/>
    <col min="4103" max="4103" width="29.5703125" style="279" customWidth="1"/>
    <col min="4104" max="4104" width="26.5703125" style="279" customWidth="1"/>
    <col min="4105" max="4105" width="34.85546875" style="279" customWidth="1"/>
    <col min="4106" max="4106" width="25" style="279" customWidth="1"/>
    <col min="4107" max="4108" width="26.7109375" style="279" customWidth="1"/>
    <col min="4109" max="4109" width="27.85546875" style="279" customWidth="1"/>
    <col min="4110" max="4110" width="29.42578125" style="279" customWidth="1"/>
    <col min="4111" max="4111" width="12.7109375" style="279" bestFit="1" customWidth="1"/>
    <col min="4112" max="4356" width="9.140625" style="279"/>
    <col min="4357" max="4357" width="20.5703125" style="279" customWidth="1"/>
    <col min="4358" max="4358" width="15.85546875" style="279" customWidth="1"/>
    <col min="4359" max="4359" width="29.5703125" style="279" customWidth="1"/>
    <col min="4360" max="4360" width="26.5703125" style="279" customWidth="1"/>
    <col min="4361" max="4361" width="34.85546875" style="279" customWidth="1"/>
    <col min="4362" max="4362" width="25" style="279" customWidth="1"/>
    <col min="4363" max="4364" width="26.7109375" style="279" customWidth="1"/>
    <col min="4365" max="4365" width="27.85546875" style="279" customWidth="1"/>
    <col min="4366" max="4366" width="29.42578125" style="279" customWidth="1"/>
    <col min="4367" max="4367" width="12.7109375" style="279" bestFit="1" customWidth="1"/>
    <col min="4368" max="4612" width="9.140625" style="279"/>
    <col min="4613" max="4613" width="20.5703125" style="279" customWidth="1"/>
    <col min="4614" max="4614" width="15.85546875" style="279" customWidth="1"/>
    <col min="4615" max="4615" width="29.5703125" style="279" customWidth="1"/>
    <col min="4616" max="4616" width="26.5703125" style="279" customWidth="1"/>
    <col min="4617" max="4617" width="34.85546875" style="279" customWidth="1"/>
    <col min="4618" max="4618" width="25" style="279" customWidth="1"/>
    <col min="4619" max="4620" width="26.7109375" style="279" customWidth="1"/>
    <col min="4621" max="4621" width="27.85546875" style="279" customWidth="1"/>
    <col min="4622" max="4622" width="29.42578125" style="279" customWidth="1"/>
    <col min="4623" max="4623" width="12.7109375" style="279" bestFit="1" customWidth="1"/>
    <col min="4624" max="4868" width="9.140625" style="279"/>
    <col min="4869" max="4869" width="20.5703125" style="279" customWidth="1"/>
    <col min="4870" max="4870" width="15.85546875" style="279" customWidth="1"/>
    <col min="4871" max="4871" width="29.5703125" style="279" customWidth="1"/>
    <col min="4872" max="4872" width="26.5703125" style="279" customWidth="1"/>
    <col min="4873" max="4873" width="34.85546875" style="279" customWidth="1"/>
    <col min="4874" max="4874" width="25" style="279" customWidth="1"/>
    <col min="4875" max="4876" width="26.7109375" style="279" customWidth="1"/>
    <col min="4877" max="4877" width="27.85546875" style="279" customWidth="1"/>
    <col min="4878" max="4878" width="29.42578125" style="279" customWidth="1"/>
    <col min="4879" max="4879" width="12.7109375" style="279" bestFit="1" customWidth="1"/>
    <col min="4880" max="5124" width="9.140625" style="279"/>
    <col min="5125" max="5125" width="20.5703125" style="279" customWidth="1"/>
    <col min="5126" max="5126" width="15.85546875" style="279" customWidth="1"/>
    <col min="5127" max="5127" width="29.5703125" style="279" customWidth="1"/>
    <col min="5128" max="5128" width="26.5703125" style="279" customWidth="1"/>
    <col min="5129" max="5129" width="34.85546875" style="279" customWidth="1"/>
    <col min="5130" max="5130" width="25" style="279" customWidth="1"/>
    <col min="5131" max="5132" width="26.7109375" style="279" customWidth="1"/>
    <col min="5133" max="5133" width="27.85546875" style="279" customWidth="1"/>
    <col min="5134" max="5134" width="29.42578125" style="279" customWidth="1"/>
    <col min="5135" max="5135" width="12.7109375" style="279" bestFit="1" customWidth="1"/>
    <col min="5136" max="5380" width="9.140625" style="279"/>
    <col min="5381" max="5381" width="20.5703125" style="279" customWidth="1"/>
    <col min="5382" max="5382" width="15.85546875" style="279" customWidth="1"/>
    <col min="5383" max="5383" width="29.5703125" style="279" customWidth="1"/>
    <col min="5384" max="5384" width="26.5703125" style="279" customWidth="1"/>
    <col min="5385" max="5385" width="34.85546875" style="279" customWidth="1"/>
    <col min="5386" max="5386" width="25" style="279" customWidth="1"/>
    <col min="5387" max="5388" width="26.7109375" style="279" customWidth="1"/>
    <col min="5389" max="5389" width="27.85546875" style="279" customWidth="1"/>
    <col min="5390" max="5390" width="29.42578125" style="279" customWidth="1"/>
    <col min="5391" max="5391" width="12.7109375" style="279" bestFit="1" customWidth="1"/>
    <col min="5392" max="5636" width="9.140625" style="279"/>
    <col min="5637" max="5637" width="20.5703125" style="279" customWidth="1"/>
    <col min="5638" max="5638" width="15.85546875" style="279" customWidth="1"/>
    <col min="5639" max="5639" width="29.5703125" style="279" customWidth="1"/>
    <col min="5640" max="5640" width="26.5703125" style="279" customWidth="1"/>
    <col min="5641" max="5641" width="34.85546875" style="279" customWidth="1"/>
    <col min="5642" max="5642" width="25" style="279" customWidth="1"/>
    <col min="5643" max="5644" width="26.7109375" style="279" customWidth="1"/>
    <col min="5645" max="5645" width="27.85546875" style="279" customWidth="1"/>
    <col min="5646" max="5646" width="29.42578125" style="279" customWidth="1"/>
    <col min="5647" max="5647" width="12.7109375" style="279" bestFit="1" customWidth="1"/>
    <col min="5648" max="5892" width="9.140625" style="279"/>
    <col min="5893" max="5893" width="20.5703125" style="279" customWidth="1"/>
    <col min="5894" max="5894" width="15.85546875" style="279" customWidth="1"/>
    <col min="5895" max="5895" width="29.5703125" style="279" customWidth="1"/>
    <col min="5896" max="5896" width="26.5703125" style="279" customWidth="1"/>
    <col min="5897" max="5897" width="34.85546875" style="279" customWidth="1"/>
    <col min="5898" max="5898" width="25" style="279" customWidth="1"/>
    <col min="5899" max="5900" width="26.7109375" style="279" customWidth="1"/>
    <col min="5901" max="5901" width="27.85546875" style="279" customWidth="1"/>
    <col min="5902" max="5902" width="29.42578125" style="279" customWidth="1"/>
    <col min="5903" max="5903" width="12.7109375" style="279" bestFit="1" customWidth="1"/>
    <col min="5904" max="6148" width="9.140625" style="279"/>
    <col min="6149" max="6149" width="20.5703125" style="279" customWidth="1"/>
    <col min="6150" max="6150" width="15.85546875" style="279" customWidth="1"/>
    <col min="6151" max="6151" width="29.5703125" style="279" customWidth="1"/>
    <col min="6152" max="6152" width="26.5703125" style="279" customWidth="1"/>
    <col min="6153" max="6153" width="34.85546875" style="279" customWidth="1"/>
    <col min="6154" max="6154" width="25" style="279" customWidth="1"/>
    <col min="6155" max="6156" width="26.7109375" style="279" customWidth="1"/>
    <col min="6157" max="6157" width="27.85546875" style="279" customWidth="1"/>
    <col min="6158" max="6158" width="29.42578125" style="279" customWidth="1"/>
    <col min="6159" max="6159" width="12.7109375" style="279" bestFit="1" customWidth="1"/>
    <col min="6160" max="6404" width="9.140625" style="279"/>
    <col min="6405" max="6405" width="20.5703125" style="279" customWidth="1"/>
    <col min="6406" max="6406" width="15.85546875" style="279" customWidth="1"/>
    <col min="6407" max="6407" width="29.5703125" style="279" customWidth="1"/>
    <col min="6408" max="6408" width="26.5703125" style="279" customWidth="1"/>
    <col min="6409" max="6409" width="34.85546875" style="279" customWidth="1"/>
    <col min="6410" max="6410" width="25" style="279" customWidth="1"/>
    <col min="6411" max="6412" width="26.7109375" style="279" customWidth="1"/>
    <col min="6413" max="6413" width="27.85546875" style="279" customWidth="1"/>
    <col min="6414" max="6414" width="29.42578125" style="279" customWidth="1"/>
    <col min="6415" max="6415" width="12.7109375" style="279" bestFit="1" customWidth="1"/>
    <col min="6416" max="6660" width="9.140625" style="279"/>
    <col min="6661" max="6661" width="20.5703125" style="279" customWidth="1"/>
    <col min="6662" max="6662" width="15.85546875" style="279" customWidth="1"/>
    <col min="6663" max="6663" width="29.5703125" style="279" customWidth="1"/>
    <col min="6664" max="6664" width="26.5703125" style="279" customWidth="1"/>
    <col min="6665" max="6665" width="34.85546875" style="279" customWidth="1"/>
    <col min="6666" max="6666" width="25" style="279" customWidth="1"/>
    <col min="6667" max="6668" width="26.7109375" style="279" customWidth="1"/>
    <col min="6669" max="6669" width="27.85546875" style="279" customWidth="1"/>
    <col min="6670" max="6670" width="29.42578125" style="279" customWidth="1"/>
    <col min="6671" max="6671" width="12.7109375" style="279" bestFit="1" customWidth="1"/>
    <col min="6672" max="6916" width="9.140625" style="279"/>
    <col min="6917" max="6917" width="20.5703125" style="279" customWidth="1"/>
    <col min="6918" max="6918" width="15.85546875" style="279" customWidth="1"/>
    <col min="6919" max="6919" width="29.5703125" style="279" customWidth="1"/>
    <col min="6920" max="6920" width="26.5703125" style="279" customWidth="1"/>
    <col min="6921" max="6921" width="34.85546875" style="279" customWidth="1"/>
    <col min="6922" max="6922" width="25" style="279" customWidth="1"/>
    <col min="6923" max="6924" width="26.7109375" style="279" customWidth="1"/>
    <col min="6925" max="6925" width="27.85546875" style="279" customWidth="1"/>
    <col min="6926" max="6926" width="29.42578125" style="279" customWidth="1"/>
    <col min="6927" max="6927" width="12.7109375" style="279" bestFit="1" customWidth="1"/>
    <col min="6928" max="7172" width="9.140625" style="279"/>
    <col min="7173" max="7173" width="20.5703125" style="279" customWidth="1"/>
    <col min="7174" max="7174" width="15.85546875" style="279" customWidth="1"/>
    <col min="7175" max="7175" width="29.5703125" style="279" customWidth="1"/>
    <col min="7176" max="7176" width="26.5703125" style="279" customWidth="1"/>
    <col min="7177" max="7177" width="34.85546875" style="279" customWidth="1"/>
    <col min="7178" max="7178" width="25" style="279" customWidth="1"/>
    <col min="7179" max="7180" width="26.7109375" style="279" customWidth="1"/>
    <col min="7181" max="7181" width="27.85546875" style="279" customWidth="1"/>
    <col min="7182" max="7182" width="29.42578125" style="279" customWidth="1"/>
    <col min="7183" max="7183" width="12.7109375" style="279" bestFit="1" customWidth="1"/>
    <col min="7184" max="7428" width="9.140625" style="279"/>
    <col min="7429" max="7429" width="20.5703125" style="279" customWidth="1"/>
    <col min="7430" max="7430" width="15.85546875" style="279" customWidth="1"/>
    <col min="7431" max="7431" width="29.5703125" style="279" customWidth="1"/>
    <col min="7432" max="7432" width="26.5703125" style="279" customWidth="1"/>
    <col min="7433" max="7433" width="34.85546875" style="279" customWidth="1"/>
    <col min="7434" max="7434" width="25" style="279" customWidth="1"/>
    <col min="7435" max="7436" width="26.7109375" style="279" customWidth="1"/>
    <col min="7437" max="7437" width="27.85546875" style="279" customWidth="1"/>
    <col min="7438" max="7438" width="29.42578125" style="279" customWidth="1"/>
    <col min="7439" max="7439" width="12.7109375" style="279" bestFit="1" customWidth="1"/>
    <col min="7440" max="7684" width="9.140625" style="279"/>
    <col min="7685" max="7685" width="20.5703125" style="279" customWidth="1"/>
    <col min="7686" max="7686" width="15.85546875" style="279" customWidth="1"/>
    <col min="7687" max="7687" width="29.5703125" style="279" customWidth="1"/>
    <col min="7688" max="7688" width="26.5703125" style="279" customWidth="1"/>
    <col min="7689" max="7689" width="34.85546875" style="279" customWidth="1"/>
    <col min="7690" max="7690" width="25" style="279" customWidth="1"/>
    <col min="7691" max="7692" width="26.7109375" style="279" customWidth="1"/>
    <col min="7693" max="7693" width="27.85546875" style="279" customWidth="1"/>
    <col min="7694" max="7694" width="29.42578125" style="279" customWidth="1"/>
    <col min="7695" max="7695" width="12.7109375" style="279" bestFit="1" customWidth="1"/>
    <col min="7696" max="7940" width="9.140625" style="279"/>
    <col min="7941" max="7941" width="20.5703125" style="279" customWidth="1"/>
    <col min="7942" max="7942" width="15.85546875" style="279" customWidth="1"/>
    <col min="7943" max="7943" width="29.5703125" style="279" customWidth="1"/>
    <col min="7944" max="7944" width="26.5703125" style="279" customWidth="1"/>
    <col min="7945" max="7945" width="34.85546875" style="279" customWidth="1"/>
    <col min="7946" max="7946" width="25" style="279" customWidth="1"/>
    <col min="7947" max="7948" width="26.7109375" style="279" customWidth="1"/>
    <col min="7949" max="7949" width="27.85546875" style="279" customWidth="1"/>
    <col min="7950" max="7950" width="29.42578125" style="279" customWidth="1"/>
    <col min="7951" max="7951" width="12.7109375" style="279" bestFit="1" customWidth="1"/>
    <col min="7952" max="8196" width="9.140625" style="279"/>
    <col min="8197" max="8197" width="20.5703125" style="279" customWidth="1"/>
    <col min="8198" max="8198" width="15.85546875" style="279" customWidth="1"/>
    <col min="8199" max="8199" width="29.5703125" style="279" customWidth="1"/>
    <col min="8200" max="8200" width="26.5703125" style="279" customWidth="1"/>
    <col min="8201" max="8201" width="34.85546875" style="279" customWidth="1"/>
    <col min="8202" max="8202" width="25" style="279" customWidth="1"/>
    <col min="8203" max="8204" width="26.7109375" style="279" customWidth="1"/>
    <col min="8205" max="8205" width="27.85546875" style="279" customWidth="1"/>
    <col min="8206" max="8206" width="29.42578125" style="279" customWidth="1"/>
    <col min="8207" max="8207" width="12.7109375" style="279" bestFit="1" customWidth="1"/>
    <col min="8208" max="8452" width="9.140625" style="279"/>
    <col min="8453" max="8453" width="20.5703125" style="279" customWidth="1"/>
    <col min="8454" max="8454" width="15.85546875" style="279" customWidth="1"/>
    <col min="8455" max="8455" width="29.5703125" style="279" customWidth="1"/>
    <col min="8456" max="8456" width="26.5703125" style="279" customWidth="1"/>
    <col min="8457" max="8457" width="34.85546875" style="279" customWidth="1"/>
    <col min="8458" max="8458" width="25" style="279" customWidth="1"/>
    <col min="8459" max="8460" width="26.7109375" style="279" customWidth="1"/>
    <col min="8461" max="8461" width="27.85546875" style="279" customWidth="1"/>
    <col min="8462" max="8462" width="29.42578125" style="279" customWidth="1"/>
    <col min="8463" max="8463" width="12.7109375" style="279" bestFit="1" customWidth="1"/>
    <col min="8464" max="8708" width="9.140625" style="279"/>
    <col min="8709" max="8709" width="20.5703125" style="279" customWidth="1"/>
    <col min="8710" max="8710" width="15.85546875" style="279" customWidth="1"/>
    <col min="8711" max="8711" width="29.5703125" style="279" customWidth="1"/>
    <col min="8712" max="8712" width="26.5703125" style="279" customWidth="1"/>
    <col min="8713" max="8713" width="34.85546875" style="279" customWidth="1"/>
    <col min="8714" max="8714" width="25" style="279" customWidth="1"/>
    <col min="8715" max="8716" width="26.7109375" style="279" customWidth="1"/>
    <col min="8717" max="8717" width="27.85546875" style="279" customWidth="1"/>
    <col min="8718" max="8718" width="29.42578125" style="279" customWidth="1"/>
    <col min="8719" max="8719" width="12.7109375" style="279" bestFit="1" customWidth="1"/>
    <col min="8720" max="8964" width="9.140625" style="279"/>
    <col min="8965" max="8965" width="20.5703125" style="279" customWidth="1"/>
    <col min="8966" max="8966" width="15.85546875" style="279" customWidth="1"/>
    <col min="8967" max="8967" width="29.5703125" style="279" customWidth="1"/>
    <col min="8968" max="8968" width="26.5703125" style="279" customWidth="1"/>
    <col min="8969" max="8969" width="34.85546875" style="279" customWidth="1"/>
    <col min="8970" max="8970" width="25" style="279" customWidth="1"/>
    <col min="8971" max="8972" width="26.7109375" style="279" customWidth="1"/>
    <col min="8973" max="8973" width="27.85546875" style="279" customWidth="1"/>
    <col min="8974" max="8974" width="29.42578125" style="279" customWidth="1"/>
    <col min="8975" max="8975" width="12.7109375" style="279" bestFit="1" customWidth="1"/>
    <col min="8976" max="9220" width="9.140625" style="279"/>
    <col min="9221" max="9221" width="20.5703125" style="279" customWidth="1"/>
    <col min="9222" max="9222" width="15.85546875" style="279" customWidth="1"/>
    <col min="9223" max="9223" width="29.5703125" style="279" customWidth="1"/>
    <col min="9224" max="9224" width="26.5703125" style="279" customWidth="1"/>
    <col min="9225" max="9225" width="34.85546875" style="279" customWidth="1"/>
    <col min="9226" max="9226" width="25" style="279" customWidth="1"/>
    <col min="9227" max="9228" width="26.7109375" style="279" customWidth="1"/>
    <col min="9229" max="9229" width="27.85546875" style="279" customWidth="1"/>
    <col min="9230" max="9230" width="29.42578125" style="279" customWidth="1"/>
    <col min="9231" max="9231" width="12.7109375" style="279" bestFit="1" customWidth="1"/>
    <col min="9232" max="9476" width="9.140625" style="279"/>
    <col min="9477" max="9477" width="20.5703125" style="279" customWidth="1"/>
    <col min="9478" max="9478" width="15.85546875" style="279" customWidth="1"/>
    <col min="9479" max="9479" width="29.5703125" style="279" customWidth="1"/>
    <col min="9480" max="9480" width="26.5703125" style="279" customWidth="1"/>
    <col min="9481" max="9481" width="34.85546875" style="279" customWidth="1"/>
    <col min="9482" max="9482" width="25" style="279" customWidth="1"/>
    <col min="9483" max="9484" width="26.7109375" style="279" customWidth="1"/>
    <col min="9485" max="9485" width="27.85546875" style="279" customWidth="1"/>
    <col min="9486" max="9486" width="29.42578125" style="279" customWidth="1"/>
    <col min="9487" max="9487" width="12.7109375" style="279" bestFit="1" customWidth="1"/>
    <col min="9488" max="9732" width="9.140625" style="279"/>
    <col min="9733" max="9733" width="20.5703125" style="279" customWidth="1"/>
    <col min="9734" max="9734" width="15.85546875" style="279" customWidth="1"/>
    <col min="9735" max="9735" width="29.5703125" style="279" customWidth="1"/>
    <col min="9736" max="9736" width="26.5703125" style="279" customWidth="1"/>
    <col min="9737" max="9737" width="34.85546875" style="279" customWidth="1"/>
    <col min="9738" max="9738" width="25" style="279" customWidth="1"/>
    <col min="9739" max="9740" width="26.7109375" style="279" customWidth="1"/>
    <col min="9741" max="9741" width="27.85546875" style="279" customWidth="1"/>
    <col min="9742" max="9742" width="29.42578125" style="279" customWidth="1"/>
    <col min="9743" max="9743" width="12.7109375" style="279" bestFit="1" customWidth="1"/>
    <col min="9744" max="9988" width="9.140625" style="279"/>
    <col min="9989" max="9989" width="20.5703125" style="279" customWidth="1"/>
    <col min="9990" max="9990" width="15.85546875" style="279" customWidth="1"/>
    <col min="9991" max="9991" width="29.5703125" style="279" customWidth="1"/>
    <col min="9992" max="9992" width="26.5703125" style="279" customWidth="1"/>
    <col min="9993" max="9993" width="34.85546875" style="279" customWidth="1"/>
    <col min="9994" max="9994" width="25" style="279" customWidth="1"/>
    <col min="9995" max="9996" width="26.7109375" style="279" customWidth="1"/>
    <col min="9997" max="9997" width="27.85546875" style="279" customWidth="1"/>
    <col min="9998" max="9998" width="29.42578125" style="279" customWidth="1"/>
    <col min="9999" max="9999" width="12.7109375" style="279" bestFit="1" customWidth="1"/>
    <col min="10000" max="10244" width="9.140625" style="279"/>
    <col min="10245" max="10245" width="20.5703125" style="279" customWidth="1"/>
    <col min="10246" max="10246" width="15.85546875" style="279" customWidth="1"/>
    <col min="10247" max="10247" width="29.5703125" style="279" customWidth="1"/>
    <col min="10248" max="10248" width="26.5703125" style="279" customWidth="1"/>
    <col min="10249" max="10249" width="34.85546875" style="279" customWidth="1"/>
    <col min="10250" max="10250" width="25" style="279" customWidth="1"/>
    <col min="10251" max="10252" width="26.7109375" style="279" customWidth="1"/>
    <col min="10253" max="10253" width="27.85546875" style="279" customWidth="1"/>
    <col min="10254" max="10254" width="29.42578125" style="279" customWidth="1"/>
    <col min="10255" max="10255" width="12.7109375" style="279" bestFit="1" customWidth="1"/>
    <col min="10256" max="10500" width="9.140625" style="279"/>
    <col min="10501" max="10501" width="20.5703125" style="279" customWidth="1"/>
    <col min="10502" max="10502" width="15.85546875" style="279" customWidth="1"/>
    <col min="10503" max="10503" width="29.5703125" style="279" customWidth="1"/>
    <col min="10504" max="10504" width="26.5703125" style="279" customWidth="1"/>
    <col min="10505" max="10505" width="34.85546875" style="279" customWidth="1"/>
    <col min="10506" max="10506" width="25" style="279" customWidth="1"/>
    <col min="10507" max="10508" width="26.7109375" style="279" customWidth="1"/>
    <col min="10509" max="10509" width="27.85546875" style="279" customWidth="1"/>
    <col min="10510" max="10510" width="29.42578125" style="279" customWidth="1"/>
    <col min="10511" max="10511" width="12.7109375" style="279" bestFit="1" customWidth="1"/>
    <col min="10512" max="10756" width="9.140625" style="279"/>
    <col min="10757" max="10757" width="20.5703125" style="279" customWidth="1"/>
    <col min="10758" max="10758" width="15.85546875" style="279" customWidth="1"/>
    <col min="10759" max="10759" width="29.5703125" style="279" customWidth="1"/>
    <col min="10760" max="10760" width="26.5703125" style="279" customWidth="1"/>
    <col min="10761" max="10761" width="34.85546875" style="279" customWidth="1"/>
    <col min="10762" max="10762" width="25" style="279" customWidth="1"/>
    <col min="10763" max="10764" width="26.7109375" style="279" customWidth="1"/>
    <col min="10765" max="10765" width="27.85546875" style="279" customWidth="1"/>
    <col min="10766" max="10766" width="29.42578125" style="279" customWidth="1"/>
    <col min="10767" max="10767" width="12.7109375" style="279" bestFit="1" customWidth="1"/>
    <col min="10768" max="11012" width="9.140625" style="279"/>
    <col min="11013" max="11013" width="20.5703125" style="279" customWidth="1"/>
    <col min="11014" max="11014" width="15.85546875" style="279" customWidth="1"/>
    <col min="11015" max="11015" width="29.5703125" style="279" customWidth="1"/>
    <col min="11016" max="11016" width="26.5703125" style="279" customWidth="1"/>
    <col min="11017" max="11017" width="34.85546875" style="279" customWidth="1"/>
    <col min="11018" max="11018" width="25" style="279" customWidth="1"/>
    <col min="11019" max="11020" width="26.7109375" style="279" customWidth="1"/>
    <col min="11021" max="11021" width="27.85546875" style="279" customWidth="1"/>
    <col min="11022" max="11022" width="29.42578125" style="279" customWidth="1"/>
    <col min="11023" max="11023" width="12.7109375" style="279" bestFit="1" customWidth="1"/>
    <col min="11024" max="11268" width="9.140625" style="279"/>
    <col min="11269" max="11269" width="20.5703125" style="279" customWidth="1"/>
    <col min="11270" max="11270" width="15.85546875" style="279" customWidth="1"/>
    <col min="11271" max="11271" width="29.5703125" style="279" customWidth="1"/>
    <col min="11272" max="11272" width="26.5703125" style="279" customWidth="1"/>
    <col min="11273" max="11273" width="34.85546875" style="279" customWidth="1"/>
    <col min="11274" max="11274" width="25" style="279" customWidth="1"/>
    <col min="11275" max="11276" width="26.7109375" style="279" customWidth="1"/>
    <col min="11277" max="11277" width="27.85546875" style="279" customWidth="1"/>
    <col min="11278" max="11278" width="29.42578125" style="279" customWidth="1"/>
    <col min="11279" max="11279" width="12.7109375" style="279" bestFit="1" customWidth="1"/>
    <col min="11280" max="11524" width="9.140625" style="279"/>
    <col min="11525" max="11525" width="20.5703125" style="279" customWidth="1"/>
    <col min="11526" max="11526" width="15.85546875" style="279" customWidth="1"/>
    <col min="11527" max="11527" width="29.5703125" style="279" customWidth="1"/>
    <col min="11528" max="11528" width="26.5703125" style="279" customWidth="1"/>
    <col min="11529" max="11529" width="34.85546875" style="279" customWidth="1"/>
    <col min="11530" max="11530" width="25" style="279" customWidth="1"/>
    <col min="11531" max="11532" width="26.7109375" style="279" customWidth="1"/>
    <col min="11533" max="11533" width="27.85546875" style="279" customWidth="1"/>
    <col min="11534" max="11534" width="29.42578125" style="279" customWidth="1"/>
    <col min="11535" max="11535" width="12.7109375" style="279" bestFit="1" customWidth="1"/>
    <col min="11536" max="11780" width="9.140625" style="279"/>
    <col min="11781" max="11781" width="20.5703125" style="279" customWidth="1"/>
    <col min="11782" max="11782" width="15.85546875" style="279" customWidth="1"/>
    <col min="11783" max="11783" width="29.5703125" style="279" customWidth="1"/>
    <col min="11784" max="11784" width="26.5703125" style="279" customWidth="1"/>
    <col min="11785" max="11785" width="34.85546875" style="279" customWidth="1"/>
    <col min="11786" max="11786" width="25" style="279" customWidth="1"/>
    <col min="11787" max="11788" width="26.7109375" style="279" customWidth="1"/>
    <col min="11789" max="11789" width="27.85546875" style="279" customWidth="1"/>
    <col min="11790" max="11790" width="29.42578125" style="279" customWidth="1"/>
    <col min="11791" max="11791" width="12.7109375" style="279" bestFit="1" customWidth="1"/>
    <col min="11792" max="12036" width="9.140625" style="279"/>
    <col min="12037" max="12037" width="20.5703125" style="279" customWidth="1"/>
    <col min="12038" max="12038" width="15.85546875" style="279" customWidth="1"/>
    <col min="12039" max="12039" width="29.5703125" style="279" customWidth="1"/>
    <col min="12040" max="12040" width="26.5703125" style="279" customWidth="1"/>
    <col min="12041" max="12041" width="34.85546875" style="279" customWidth="1"/>
    <col min="12042" max="12042" width="25" style="279" customWidth="1"/>
    <col min="12043" max="12044" width="26.7109375" style="279" customWidth="1"/>
    <col min="12045" max="12045" width="27.85546875" style="279" customWidth="1"/>
    <col min="12046" max="12046" width="29.42578125" style="279" customWidth="1"/>
    <col min="12047" max="12047" width="12.7109375" style="279" bestFit="1" customWidth="1"/>
    <col min="12048" max="12292" width="9.140625" style="279"/>
    <col min="12293" max="12293" width="20.5703125" style="279" customWidth="1"/>
    <col min="12294" max="12294" width="15.85546875" style="279" customWidth="1"/>
    <col min="12295" max="12295" width="29.5703125" style="279" customWidth="1"/>
    <col min="12296" max="12296" width="26.5703125" style="279" customWidth="1"/>
    <col min="12297" max="12297" width="34.85546875" style="279" customWidth="1"/>
    <col min="12298" max="12298" width="25" style="279" customWidth="1"/>
    <col min="12299" max="12300" width="26.7109375" style="279" customWidth="1"/>
    <col min="12301" max="12301" width="27.85546875" style="279" customWidth="1"/>
    <col min="12302" max="12302" width="29.42578125" style="279" customWidth="1"/>
    <col min="12303" max="12303" width="12.7109375" style="279" bestFit="1" customWidth="1"/>
    <col min="12304" max="12548" width="9.140625" style="279"/>
    <col min="12549" max="12549" width="20.5703125" style="279" customWidth="1"/>
    <col min="12550" max="12550" width="15.85546875" style="279" customWidth="1"/>
    <col min="12551" max="12551" width="29.5703125" style="279" customWidth="1"/>
    <col min="12552" max="12552" width="26.5703125" style="279" customWidth="1"/>
    <col min="12553" max="12553" width="34.85546875" style="279" customWidth="1"/>
    <col min="12554" max="12554" width="25" style="279" customWidth="1"/>
    <col min="12555" max="12556" width="26.7109375" style="279" customWidth="1"/>
    <col min="12557" max="12557" width="27.85546875" style="279" customWidth="1"/>
    <col min="12558" max="12558" width="29.42578125" style="279" customWidth="1"/>
    <col min="12559" max="12559" width="12.7109375" style="279" bestFit="1" customWidth="1"/>
    <col min="12560" max="12804" width="9.140625" style="279"/>
    <col min="12805" max="12805" width="20.5703125" style="279" customWidth="1"/>
    <col min="12806" max="12806" width="15.85546875" style="279" customWidth="1"/>
    <col min="12807" max="12807" width="29.5703125" style="279" customWidth="1"/>
    <col min="12808" max="12808" width="26.5703125" style="279" customWidth="1"/>
    <col min="12809" max="12809" width="34.85546875" style="279" customWidth="1"/>
    <col min="12810" max="12810" width="25" style="279" customWidth="1"/>
    <col min="12811" max="12812" width="26.7109375" style="279" customWidth="1"/>
    <col min="12813" max="12813" width="27.85546875" style="279" customWidth="1"/>
    <col min="12814" max="12814" width="29.42578125" style="279" customWidth="1"/>
    <col min="12815" max="12815" width="12.7109375" style="279" bestFit="1" customWidth="1"/>
    <col min="12816" max="13060" width="9.140625" style="279"/>
    <col min="13061" max="13061" width="20.5703125" style="279" customWidth="1"/>
    <col min="13062" max="13062" width="15.85546875" style="279" customWidth="1"/>
    <col min="13063" max="13063" width="29.5703125" style="279" customWidth="1"/>
    <col min="13064" max="13064" width="26.5703125" style="279" customWidth="1"/>
    <col min="13065" max="13065" width="34.85546875" style="279" customWidth="1"/>
    <col min="13066" max="13066" width="25" style="279" customWidth="1"/>
    <col min="13067" max="13068" width="26.7109375" style="279" customWidth="1"/>
    <col min="13069" max="13069" width="27.85546875" style="279" customWidth="1"/>
    <col min="13070" max="13070" width="29.42578125" style="279" customWidth="1"/>
    <col min="13071" max="13071" width="12.7109375" style="279" bestFit="1" customWidth="1"/>
    <col min="13072" max="13316" width="9.140625" style="279"/>
    <col min="13317" max="13317" width="20.5703125" style="279" customWidth="1"/>
    <col min="13318" max="13318" width="15.85546875" style="279" customWidth="1"/>
    <col min="13319" max="13319" width="29.5703125" style="279" customWidth="1"/>
    <col min="13320" max="13320" width="26.5703125" style="279" customWidth="1"/>
    <col min="13321" max="13321" width="34.85546875" style="279" customWidth="1"/>
    <col min="13322" max="13322" width="25" style="279" customWidth="1"/>
    <col min="13323" max="13324" width="26.7109375" style="279" customWidth="1"/>
    <col min="13325" max="13325" width="27.85546875" style="279" customWidth="1"/>
    <col min="13326" max="13326" width="29.42578125" style="279" customWidth="1"/>
    <col min="13327" max="13327" width="12.7109375" style="279" bestFit="1" customWidth="1"/>
    <col min="13328" max="13572" width="9.140625" style="279"/>
    <col min="13573" max="13573" width="20.5703125" style="279" customWidth="1"/>
    <col min="13574" max="13574" width="15.85546875" style="279" customWidth="1"/>
    <col min="13575" max="13575" width="29.5703125" style="279" customWidth="1"/>
    <col min="13576" max="13576" width="26.5703125" style="279" customWidth="1"/>
    <col min="13577" max="13577" width="34.85546875" style="279" customWidth="1"/>
    <col min="13578" max="13578" width="25" style="279" customWidth="1"/>
    <col min="13579" max="13580" width="26.7109375" style="279" customWidth="1"/>
    <col min="13581" max="13581" width="27.85546875" style="279" customWidth="1"/>
    <col min="13582" max="13582" width="29.42578125" style="279" customWidth="1"/>
    <col min="13583" max="13583" width="12.7109375" style="279" bestFit="1" customWidth="1"/>
    <col min="13584" max="13828" width="9.140625" style="279"/>
    <col min="13829" max="13829" width="20.5703125" style="279" customWidth="1"/>
    <col min="13830" max="13830" width="15.85546875" style="279" customWidth="1"/>
    <col min="13831" max="13831" width="29.5703125" style="279" customWidth="1"/>
    <col min="13832" max="13832" width="26.5703125" style="279" customWidth="1"/>
    <col min="13833" max="13833" width="34.85546875" style="279" customWidth="1"/>
    <col min="13834" max="13834" width="25" style="279" customWidth="1"/>
    <col min="13835" max="13836" width="26.7109375" style="279" customWidth="1"/>
    <col min="13837" max="13837" width="27.85546875" style="279" customWidth="1"/>
    <col min="13838" max="13838" width="29.42578125" style="279" customWidth="1"/>
    <col min="13839" max="13839" width="12.7109375" style="279" bestFit="1" customWidth="1"/>
    <col min="13840" max="14084" width="9.140625" style="279"/>
    <col min="14085" max="14085" width="20.5703125" style="279" customWidth="1"/>
    <col min="14086" max="14086" width="15.85546875" style="279" customWidth="1"/>
    <col min="14087" max="14087" width="29.5703125" style="279" customWidth="1"/>
    <col min="14088" max="14088" width="26.5703125" style="279" customWidth="1"/>
    <col min="14089" max="14089" width="34.85546875" style="279" customWidth="1"/>
    <col min="14090" max="14090" width="25" style="279" customWidth="1"/>
    <col min="14091" max="14092" width="26.7109375" style="279" customWidth="1"/>
    <col min="14093" max="14093" width="27.85546875" style="279" customWidth="1"/>
    <col min="14094" max="14094" width="29.42578125" style="279" customWidth="1"/>
    <col min="14095" max="14095" width="12.7109375" style="279" bestFit="1" customWidth="1"/>
    <col min="14096" max="14340" width="9.140625" style="279"/>
    <col min="14341" max="14341" width="20.5703125" style="279" customWidth="1"/>
    <col min="14342" max="14342" width="15.85546875" style="279" customWidth="1"/>
    <col min="14343" max="14343" width="29.5703125" style="279" customWidth="1"/>
    <col min="14344" max="14344" width="26.5703125" style="279" customWidth="1"/>
    <col min="14345" max="14345" width="34.85546875" style="279" customWidth="1"/>
    <col min="14346" max="14346" width="25" style="279" customWidth="1"/>
    <col min="14347" max="14348" width="26.7109375" style="279" customWidth="1"/>
    <col min="14349" max="14349" width="27.85546875" style="279" customWidth="1"/>
    <col min="14350" max="14350" width="29.42578125" style="279" customWidth="1"/>
    <col min="14351" max="14351" width="12.7109375" style="279" bestFit="1" customWidth="1"/>
    <col min="14352" max="14596" width="9.140625" style="279"/>
    <col min="14597" max="14597" width="20.5703125" style="279" customWidth="1"/>
    <col min="14598" max="14598" width="15.85546875" style="279" customWidth="1"/>
    <col min="14599" max="14599" width="29.5703125" style="279" customWidth="1"/>
    <col min="14600" max="14600" width="26.5703125" style="279" customWidth="1"/>
    <col min="14601" max="14601" width="34.85546875" style="279" customWidth="1"/>
    <col min="14602" max="14602" width="25" style="279" customWidth="1"/>
    <col min="14603" max="14604" width="26.7109375" style="279" customWidth="1"/>
    <col min="14605" max="14605" width="27.85546875" style="279" customWidth="1"/>
    <col min="14606" max="14606" width="29.42578125" style="279" customWidth="1"/>
    <col min="14607" max="14607" width="12.7109375" style="279" bestFit="1" customWidth="1"/>
    <col min="14608" max="14852" width="9.140625" style="279"/>
    <col min="14853" max="14853" width="20.5703125" style="279" customWidth="1"/>
    <col min="14854" max="14854" width="15.85546875" style="279" customWidth="1"/>
    <col min="14855" max="14855" width="29.5703125" style="279" customWidth="1"/>
    <col min="14856" max="14856" width="26.5703125" style="279" customWidth="1"/>
    <col min="14857" max="14857" width="34.85546875" style="279" customWidth="1"/>
    <col min="14858" max="14858" width="25" style="279" customWidth="1"/>
    <col min="14859" max="14860" width="26.7109375" style="279" customWidth="1"/>
    <col min="14861" max="14861" width="27.85546875" style="279" customWidth="1"/>
    <col min="14862" max="14862" width="29.42578125" style="279" customWidth="1"/>
    <col min="14863" max="14863" width="12.7109375" style="279" bestFit="1" customWidth="1"/>
    <col min="14864" max="15108" width="9.140625" style="279"/>
    <col min="15109" max="15109" width="20.5703125" style="279" customWidth="1"/>
    <col min="15110" max="15110" width="15.85546875" style="279" customWidth="1"/>
    <col min="15111" max="15111" width="29.5703125" style="279" customWidth="1"/>
    <col min="15112" max="15112" width="26.5703125" style="279" customWidth="1"/>
    <col min="15113" max="15113" width="34.85546875" style="279" customWidth="1"/>
    <col min="15114" max="15114" width="25" style="279" customWidth="1"/>
    <col min="15115" max="15116" width="26.7109375" style="279" customWidth="1"/>
    <col min="15117" max="15117" width="27.85546875" style="279" customWidth="1"/>
    <col min="15118" max="15118" width="29.42578125" style="279" customWidth="1"/>
    <col min="15119" max="15119" width="12.7109375" style="279" bestFit="1" customWidth="1"/>
    <col min="15120" max="15364" width="9.140625" style="279"/>
    <col min="15365" max="15365" width="20.5703125" style="279" customWidth="1"/>
    <col min="15366" max="15366" width="15.85546875" style="279" customWidth="1"/>
    <col min="15367" max="15367" width="29.5703125" style="279" customWidth="1"/>
    <col min="15368" max="15368" width="26.5703125" style="279" customWidth="1"/>
    <col min="15369" max="15369" width="34.85546875" style="279" customWidth="1"/>
    <col min="15370" max="15370" width="25" style="279" customWidth="1"/>
    <col min="15371" max="15372" width="26.7109375" style="279" customWidth="1"/>
    <col min="15373" max="15373" width="27.85546875" style="279" customWidth="1"/>
    <col min="15374" max="15374" width="29.42578125" style="279" customWidth="1"/>
    <col min="15375" max="15375" width="12.7109375" style="279" bestFit="1" customWidth="1"/>
    <col min="15376" max="15620" width="9.140625" style="279"/>
    <col min="15621" max="15621" width="20.5703125" style="279" customWidth="1"/>
    <col min="15622" max="15622" width="15.85546875" style="279" customWidth="1"/>
    <col min="15623" max="15623" width="29.5703125" style="279" customWidth="1"/>
    <col min="15624" max="15624" width="26.5703125" style="279" customWidth="1"/>
    <col min="15625" max="15625" width="34.85546875" style="279" customWidth="1"/>
    <col min="15626" max="15626" width="25" style="279" customWidth="1"/>
    <col min="15627" max="15628" width="26.7109375" style="279" customWidth="1"/>
    <col min="15629" max="15629" width="27.85546875" style="279" customWidth="1"/>
    <col min="15630" max="15630" width="29.42578125" style="279" customWidth="1"/>
    <col min="15631" max="15631" width="12.7109375" style="279" bestFit="1" customWidth="1"/>
    <col min="15632" max="15876" width="9.140625" style="279"/>
    <col min="15877" max="15877" width="20.5703125" style="279" customWidth="1"/>
    <col min="15878" max="15878" width="15.85546875" style="279" customWidth="1"/>
    <col min="15879" max="15879" width="29.5703125" style="279" customWidth="1"/>
    <col min="15880" max="15880" width="26.5703125" style="279" customWidth="1"/>
    <col min="15881" max="15881" width="34.85546875" style="279" customWidth="1"/>
    <col min="15882" max="15882" width="25" style="279" customWidth="1"/>
    <col min="15883" max="15884" width="26.7109375" style="279" customWidth="1"/>
    <col min="15885" max="15885" width="27.85546875" style="279" customWidth="1"/>
    <col min="15886" max="15886" width="29.42578125" style="279" customWidth="1"/>
    <col min="15887" max="15887" width="12.7109375" style="279" bestFit="1" customWidth="1"/>
    <col min="15888" max="16132" width="9.140625" style="279"/>
    <col min="16133" max="16133" width="20.5703125" style="279" customWidth="1"/>
    <col min="16134" max="16134" width="15.85546875" style="279" customWidth="1"/>
    <col min="16135" max="16135" width="29.5703125" style="279" customWidth="1"/>
    <col min="16136" max="16136" width="26.5703125" style="279" customWidth="1"/>
    <col min="16137" max="16137" width="34.85546875" style="279" customWidth="1"/>
    <col min="16138" max="16138" width="25" style="279" customWidth="1"/>
    <col min="16139" max="16140" width="26.7109375" style="279" customWidth="1"/>
    <col min="16141" max="16141" width="27.85546875" style="279" customWidth="1"/>
    <col min="16142" max="16142" width="29.42578125" style="279" customWidth="1"/>
    <col min="16143" max="16143" width="12.7109375" style="279" bestFit="1" customWidth="1"/>
    <col min="16144" max="16384" width="9.140625" style="279"/>
  </cols>
  <sheetData>
    <row r="2" spans="1:55" ht="30.75" customHeight="1" thickBot="1" x14ac:dyDescent="0.3">
      <c r="B2" s="856" t="s">
        <v>792</v>
      </c>
      <c r="C2" s="857"/>
      <c r="D2" s="857"/>
      <c r="E2" s="857"/>
      <c r="F2" s="857"/>
      <c r="G2" s="857"/>
      <c r="H2" s="857"/>
      <c r="I2" s="857"/>
      <c r="J2" s="857"/>
      <c r="K2" s="857"/>
      <c r="L2" s="857"/>
      <c r="M2" s="857"/>
      <c r="N2" s="858"/>
      <c r="P2" s="590" t="s">
        <v>791</v>
      </c>
    </row>
    <row r="3" spans="1:55" s="292" customFormat="1" ht="39" customHeight="1" x14ac:dyDescent="0.25">
      <c r="B3" s="859" t="s">
        <v>790</v>
      </c>
      <c r="C3" s="589" t="s">
        <v>789</v>
      </c>
      <c r="D3" s="587" t="s">
        <v>788</v>
      </c>
      <c r="E3" s="588" t="s">
        <v>787</v>
      </c>
      <c r="F3" s="587">
        <v>11</v>
      </c>
      <c r="G3" s="586"/>
      <c r="H3" s="585" t="s">
        <v>786</v>
      </c>
      <c r="I3" s="877">
        <v>45138</v>
      </c>
      <c r="J3" s="878"/>
      <c r="K3" s="864" t="s">
        <v>785</v>
      </c>
      <c r="L3" s="865"/>
      <c r="M3" s="584">
        <v>45413</v>
      </c>
      <c r="N3" s="583" t="str">
        <f>"FY"&amp;" "&amp;'[12]CHIMES INFLATION'!C20</f>
        <v>FY 2024</v>
      </c>
      <c r="O3" s="572"/>
      <c r="P3" s="582" t="s">
        <v>784</v>
      </c>
      <c r="Q3" s="305"/>
      <c r="R3" s="305"/>
      <c r="S3" s="305"/>
      <c r="T3" s="305"/>
      <c r="U3" s="305"/>
      <c r="V3" s="305"/>
      <c r="W3" s="305"/>
    </row>
    <row r="4" spans="1:55" s="288" customFormat="1" ht="54" customHeight="1" x14ac:dyDescent="0.25">
      <c r="B4" s="860"/>
      <c r="C4" s="581" t="s">
        <v>783</v>
      </c>
      <c r="D4" s="580">
        <v>2</v>
      </c>
      <c r="E4" s="579" t="s">
        <v>782</v>
      </c>
      <c r="F4" s="578"/>
      <c r="G4" s="577" t="s">
        <v>781</v>
      </c>
      <c r="H4" s="526"/>
      <c r="I4" s="576" t="s">
        <v>780</v>
      </c>
      <c r="J4" s="575">
        <v>2024</v>
      </c>
      <c r="K4" s="866" t="s">
        <v>779</v>
      </c>
      <c r="L4" s="867"/>
      <c r="M4" s="574">
        <v>45566</v>
      </c>
      <c r="N4" s="573" t="str">
        <f>"FY"&amp;" "&amp;'[12]CHIMES INFLATION'!E20</f>
        <v>FY 2025</v>
      </c>
      <c r="O4" s="572"/>
      <c r="Q4" s="564"/>
      <c r="R4" s="564"/>
      <c r="S4" s="564"/>
      <c r="T4" s="564"/>
      <c r="U4" s="564"/>
      <c r="V4" s="564"/>
      <c r="W4" s="564"/>
    </row>
    <row r="5" spans="1:55" s="288" customFormat="1" ht="70.5" customHeight="1" thickBot="1" x14ac:dyDescent="0.25">
      <c r="B5" s="861"/>
      <c r="C5" s="571" t="s">
        <v>778</v>
      </c>
      <c r="D5" s="570" t="s">
        <v>777</v>
      </c>
      <c r="E5" s="569" t="s">
        <v>776</v>
      </c>
      <c r="F5" s="879" t="s">
        <v>775</v>
      </c>
      <c r="G5" s="880"/>
      <c r="H5" s="880"/>
      <c r="I5" s="568" t="s">
        <v>774</v>
      </c>
      <c r="J5" s="567">
        <v>3</v>
      </c>
      <c r="K5" s="868" t="s">
        <v>773</v>
      </c>
      <c r="L5" s="869"/>
      <c r="M5" s="566">
        <f>'[12]CHIMES INFLATION'!A36</f>
        <v>1.0350000000000001</v>
      </c>
      <c r="N5" s="565"/>
      <c r="O5" s="457"/>
      <c r="P5" s="564"/>
      <c r="Q5" s="564"/>
      <c r="R5" s="564"/>
      <c r="S5" s="564"/>
      <c r="T5" s="564"/>
      <c r="U5" s="564"/>
      <c r="V5" s="564"/>
      <c r="W5" s="564"/>
    </row>
    <row r="6" spans="1:55" ht="12" customHeight="1" x14ac:dyDescent="0.25">
      <c r="B6" s="862"/>
      <c r="C6" s="863"/>
      <c r="D6" s="863"/>
      <c r="E6" s="863"/>
      <c r="F6" s="863"/>
      <c r="G6" s="863"/>
      <c r="H6" s="863"/>
      <c r="I6" s="863"/>
      <c r="J6" s="863"/>
      <c r="K6" s="863"/>
      <c r="L6" s="863"/>
      <c r="M6" s="863"/>
      <c r="N6" s="863"/>
      <c r="O6" s="281"/>
      <c r="P6" s="562"/>
      <c r="Q6" s="562"/>
      <c r="R6" s="321"/>
      <c r="S6" s="321"/>
      <c r="T6" s="321"/>
      <c r="U6" s="321"/>
      <c r="V6" s="321"/>
      <c r="W6" s="321"/>
    </row>
    <row r="7" spans="1:55" ht="12" customHeight="1" thickBot="1" x14ac:dyDescent="0.3">
      <c r="A7" s="427"/>
      <c r="B7" s="530"/>
      <c r="C7" s="427"/>
      <c r="D7" s="427"/>
      <c r="E7" s="427"/>
      <c r="F7" s="427"/>
      <c r="G7" s="427"/>
      <c r="H7" s="427"/>
      <c r="I7" s="427"/>
      <c r="J7" s="427"/>
      <c r="K7" s="427"/>
      <c r="L7" s="427"/>
      <c r="M7" s="427"/>
      <c r="N7" s="427"/>
      <c r="O7" s="427"/>
      <c r="P7" s="563"/>
      <c r="Q7" s="562"/>
      <c r="R7" s="321"/>
      <c r="S7" s="321"/>
      <c r="T7" s="321"/>
      <c r="U7" s="321"/>
      <c r="V7" s="321"/>
      <c r="W7" s="321"/>
    </row>
    <row r="8" spans="1:55" ht="68.25" customHeight="1" x14ac:dyDescent="0.25">
      <c r="A8" s="427"/>
      <c r="B8" s="808" t="s">
        <v>696</v>
      </c>
      <c r="C8" s="786" t="s">
        <v>695</v>
      </c>
      <c r="D8" s="786" t="s">
        <v>694</v>
      </c>
      <c r="E8" s="786" t="s">
        <v>693</v>
      </c>
      <c r="F8" s="786" t="s">
        <v>704</v>
      </c>
      <c r="G8" s="786" t="s">
        <v>692</v>
      </c>
      <c r="H8" s="791" t="s">
        <v>691</v>
      </c>
      <c r="I8" s="791" t="s">
        <v>690</v>
      </c>
      <c r="J8" s="813" t="s">
        <v>689</v>
      </c>
      <c r="K8" s="816" t="s">
        <v>730</v>
      </c>
      <c r="L8" s="817"/>
      <c r="M8" s="817"/>
      <c r="N8" s="818"/>
      <c r="O8" s="853" t="s">
        <v>709</v>
      </c>
      <c r="P8" s="561"/>
      <c r="Q8" s="322"/>
      <c r="R8" s="371" t="s">
        <v>772</v>
      </c>
      <c r="S8" s="370"/>
      <c r="T8" s="370"/>
      <c r="U8" s="370"/>
      <c r="V8" s="370"/>
      <c r="W8" s="370"/>
      <c r="X8" s="370"/>
      <c r="Y8" s="370"/>
      <c r="Z8" s="369"/>
      <c r="AA8" s="369"/>
      <c r="AB8" s="369"/>
      <c r="AC8" s="369"/>
      <c r="AD8" s="368"/>
      <c r="AE8" s="368"/>
      <c r="AF8" s="368"/>
      <c r="AG8" s="368"/>
      <c r="AH8" s="368"/>
      <c r="AI8" s="368"/>
      <c r="AJ8" s="368"/>
      <c r="AK8" s="368"/>
      <c r="AL8" s="368"/>
      <c r="AM8" s="367"/>
    </row>
    <row r="9" spans="1:55" ht="68.25" customHeight="1" x14ac:dyDescent="0.3">
      <c r="A9" s="427"/>
      <c r="B9" s="809"/>
      <c r="C9" s="789"/>
      <c r="D9" s="789"/>
      <c r="E9" s="789"/>
      <c r="F9" s="789"/>
      <c r="G9" s="789"/>
      <c r="H9" s="792"/>
      <c r="I9" s="792"/>
      <c r="J9" s="814"/>
      <c r="K9" s="765" t="s">
        <v>707</v>
      </c>
      <c r="L9" s="766"/>
      <c r="M9" s="767" t="s">
        <v>706</v>
      </c>
      <c r="N9" s="768"/>
      <c r="O9" s="854"/>
      <c r="P9" s="561"/>
      <c r="Q9" s="327"/>
      <c r="R9" s="774" t="s">
        <v>771</v>
      </c>
      <c r="S9" s="775"/>
      <c r="T9" s="775"/>
      <c r="U9" s="775"/>
      <c r="V9" s="775"/>
      <c r="W9" s="775"/>
      <c r="X9" s="775"/>
      <c r="Y9" s="775"/>
      <c r="Z9" s="775"/>
      <c r="AA9" s="775"/>
      <c r="AB9" s="775"/>
      <c r="AC9" s="775"/>
      <c r="AD9" s="775"/>
      <c r="AE9" s="775"/>
      <c r="AF9" s="775"/>
      <c r="AG9" s="775"/>
      <c r="AH9" s="775"/>
      <c r="AI9" s="775"/>
      <c r="AJ9" s="775"/>
      <c r="AK9" s="775"/>
      <c r="AL9" s="775"/>
      <c r="AM9" s="776"/>
      <c r="AN9" s="281"/>
      <c r="AO9" s="281"/>
      <c r="AP9" s="281"/>
      <c r="AQ9" s="281"/>
      <c r="AR9" s="281"/>
      <c r="AS9" s="281"/>
      <c r="AT9" s="281"/>
      <c r="AU9" s="281"/>
      <c r="AV9" s="281"/>
      <c r="AW9" s="281"/>
      <c r="AX9" s="281"/>
      <c r="AY9" s="281"/>
      <c r="AZ9" s="281"/>
      <c r="BA9" s="281"/>
      <c r="BB9" s="281"/>
      <c r="BC9" s="281"/>
    </row>
    <row r="10" spans="1:55" ht="28.5" customHeight="1" thickBot="1" x14ac:dyDescent="0.3">
      <c r="A10" s="427"/>
      <c r="B10" s="810"/>
      <c r="C10" s="790"/>
      <c r="D10" s="790"/>
      <c r="E10" s="790"/>
      <c r="F10" s="838"/>
      <c r="G10" s="790"/>
      <c r="H10" s="790"/>
      <c r="I10" s="793"/>
      <c r="J10" s="815"/>
      <c r="K10" s="366" t="s">
        <v>704</v>
      </c>
      <c r="L10" s="365"/>
      <c r="M10" s="365" t="s">
        <v>704</v>
      </c>
      <c r="N10" s="364"/>
      <c r="O10" s="855"/>
      <c r="P10" s="560"/>
      <c r="Q10" s="322"/>
      <c r="R10" s="777"/>
      <c r="S10" s="778"/>
      <c r="T10" s="778"/>
      <c r="U10" s="778"/>
      <c r="V10" s="778"/>
      <c r="W10" s="778"/>
      <c r="X10" s="778"/>
      <c r="Y10" s="778"/>
      <c r="Z10" s="778"/>
      <c r="AA10" s="778"/>
      <c r="AB10" s="778"/>
      <c r="AC10" s="778"/>
      <c r="AD10" s="778"/>
      <c r="AE10" s="778"/>
      <c r="AF10" s="778"/>
      <c r="AG10" s="778"/>
      <c r="AH10" s="778"/>
      <c r="AI10" s="778"/>
      <c r="AJ10" s="778"/>
      <c r="AK10" s="778"/>
      <c r="AL10" s="778"/>
      <c r="AM10" s="779"/>
    </row>
    <row r="11" spans="1:55" ht="15" customHeight="1" x14ac:dyDescent="0.25">
      <c r="A11" s="427"/>
      <c r="B11" s="859" t="s">
        <v>770</v>
      </c>
      <c r="C11" s="559" t="s">
        <v>769</v>
      </c>
      <c r="D11" s="499"/>
      <c r="E11" s="558"/>
      <c r="F11" s="557"/>
      <c r="G11" s="556"/>
      <c r="H11" s="556"/>
      <c r="I11" s="493"/>
      <c r="J11" s="555"/>
      <c r="K11" s="363"/>
      <c r="L11" s="493"/>
      <c r="M11" s="349"/>
      <c r="N11" s="531"/>
      <c r="O11" s="554"/>
      <c r="P11" s="530"/>
      <c r="Q11" s="550"/>
      <c r="R11" s="421"/>
      <c r="S11" s="420"/>
      <c r="T11" s="420"/>
      <c r="U11" s="420"/>
      <c r="V11" s="420"/>
      <c r="W11" s="420"/>
      <c r="X11" s="420"/>
      <c r="Y11" s="420"/>
      <c r="Z11" s="416"/>
      <c r="AA11" s="416"/>
      <c r="AB11" s="416"/>
      <c r="AC11" s="416"/>
      <c r="AD11" s="281"/>
      <c r="AE11" s="281"/>
      <c r="AF11" s="281"/>
      <c r="AG11" s="281"/>
      <c r="AH11" s="281"/>
      <c r="AI11" s="281"/>
      <c r="AJ11" s="281"/>
      <c r="AK11" s="281"/>
      <c r="AL11" s="281"/>
      <c r="AM11" s="281"/>
    </row>
    <row r="12" spans="1:55" ht="15" customHeight="1" x14ac:dyDescent="0.25">
      <c r="A12" s="427"/>
      <c r="B12" s="870"/>
      <c r="C12" s="553" t="s">
        <v>768</v>
      </c>
      <c r="D12" s="359"/>
      <c r="E12" s="552"/>
      <c r="F12" s="542"/>
      <c r="G12" s="551"/>
      <c r="H12" s="551"/>
      <c r="I12" s="314"/>
      <c r="J12" s="521"/>
      <c r="K12" s="357"/>
      <c r="L12" s="314"/>
      <c r="M12" s="519"/>
      <c r="N12" s="518"/>
      <c r="O12" s="347"/>
      <c r="P12" s="530"/>
      <c r="Q12" s="550"/>
      <c r="R12" s="421"/>
      <c r="S12" s="420"/>
      <c r="T12" s="420"/>
      <c r="U12" s="420"/>
      <c r="V12" s="420"/>
      <c r="W12" s="420"/>
      <c r="X12" s="420"/>
      <c r="Y12" s="420"/>
      <c r="Z12" s="416"/>
      <c r="AA12" s="416"/>
      <c r="AB12" s="416"/>
      <c r="AC12" s="416"/>
      <c r="AD12" s="281"/>
      <c r="AE12" s="281"/>
      <c r="AF12" s="281"/>
      <c r="AG12" s="281"/>
      <c r="AH12" s="281"/>
      <c r="AI12" s="281"/>
      <c r="AJ12" s="281"/>
      <c r="AK12" s="281"/>
      <c r="AL12" s="281"/>
      <c r="AM12" s="281"/>
    </row>
    <row r="13" spans="1:55" ht="15" customHeight="1" x14ac:dyDescent="0.25">
      <c r="A13" s="427"/>
      <c r="B13" s="870"/>
      <c r="C13" s="547" t="s">
        <v>767</v>
      </c>
      <c r="D13" s="359"/>
      <c r="E13" s="543"/>
      <c r="F13" s="542">
        <f>G13/(SUM($I$12:$I$21))</f>
        <v>0.73494239499745417</v>
      </c>
      <c r="G13" s="551">
        <v>2206996</v>
      </c>
      <c r="H13" s="551"/>
      <c r="I13" s="314">
        <f>H13+G13</f>
        <v>2206996</v>
      </c>
      <c r="J13" s="521">
        <f>I13*$M$5</f>
        <v>2284240.8600000003</v>
      </c>
      <c r="K13" s="357">
        <v>1</v>
      </c>
      <c r="L13" s="314">
        <f>J13*K13</f>
        <v>2284240.8600000003</v>
      </c>
      <c r="M13" s="519">
        <f>1-K13</f>
        <v>0</v>
      </c>
      <c r="N13" s="518">
        <f>M13*J13</f>
        <v>0</v>
      </c>
      <c r="O13" s="347"/>
      <c r="P13" s="530"/>
      <c r="Q13" s="550"/>
      <c r="R13" s="419"/>
      <c r="S13" s="418"/>
      <c r="T13" s="418"/>
      <c r="U13" s="418"/>
      <c r="V13" s="418"/>
      <c r="W13" s="418"/>
      <c r="X13" s="417"/>
      <c r="Y13" s="416"/>
      <c r="Z13" s="416"/>
      <c r="AA13" s="416"/>
      <c r="AB13" s="416"/>
      <c r="AC13" s="416"/>
      <c r="AD13" s="281"/>
      <c r="AE13" s="281"/>
      <c r="AF13" s="281"/>
      <c r="AG13" s="281"/>
      <c r="AH13" s="281"/>
      <c r="AI13" s="281"/>
      <c r="AJ13" s="281"/>
      <c r="AK13" s="281"/>
      <c r="AL13" s="281"/>
      <c r="AM13" s="281"/>
    </row>
    <row r="14" spans="1:55" x14ac:dyDescent="0.25">
      <c r="A14" s="427"/>
      <c r="B14" s="851"/>
      <c r="C14" s="547" t="s">
        <v>766</v>
      </c>
      <c r="D14" s="526"/>
      <c r="E14" s="543"/>
      <c r="F14" s="542">
        <f>G14/(SUM($I$12:$I$21))</f>
        <v>0</v>
      </c>
      <c r="G14" s="315"/>
      <c r="H14" s="315"/>
      <c r="I14" s="314">
        <f>H14+G14</f>
        <v>0</v>
      </c>
      <c r="J14" s="521">
        <f>I14*$M$5</f>
        <v>0</v>
      </c>
      <c r="K14" s="357">
        <v>1</v>
      </c>
      <c r="L14" s="314">
        <f>J14*K14</f>
        <v>0</v>
      </c>
      <c r="M14" s="519">
        <f>1-K14</f>
        <v>0</v>
      </c>
      <c r="N14" s="518">
        <f>M14*J14</f>
        <v>0</v>
      </c>
      <c r="O14" s="347"/>
      <c r="P14" s="530"/>
      <c r="Q14" s="358"/>
      <c r="R14" s="310"/>
      <c r="S14" s="549"/>
      <c r="T14" s="311"/>
      <c r="U14" s="311"/>
      <c r="V14" s="311"/>
      <c r="W14" s="311"/>
      <c r="X14" s="360"/>
      <c r="Y14" s="281"/>
      <c r="Z14" s="281"/>
      <c r="AA14" s="281"/>
      <c r="AB14" s="281"/>
      <c r="AC14" s="281"/>
      <c r="AD14" s="281"/>
      <c r="AE14" s="281"/>
      <c r="AF14" s="281"/>
      <c r="AG14" s="281"/>
      <c r="AH14" s="281"/>
      <c r="AI14" s="281"/>
      <c r="AJ14" s="281"/>
      <c r="AK14" s="281"/>
      <c r="AL14" s="281"/>
      <c r="AM14" s="281"/>
    </row>
    <row r="15" spans="1:55" x14ac:dyDescent="0.25">
      <c r="A15" s="427"/>
      <c r="B15" s="851"/>
      <c r="C15" s="547" t="s">
        <v>765</v>
      </c>
      <c r="D15" s="526"/>
      <c r="E15" s="543"/>
      <c r="F15" s="542">
        <f>G15/(SUM($I$12:$I$21))</f>
        <v>0.2142289368024986</v>
      </c>
      <c r="G15" s="315">
        <v>643319</v>
      </c>
      <c r="H15" s="315"/>
      <c r="I15" s="314">
        <f>H15+G15</f>
        <v>643319</v>
      </c>
      <c r="J15" s="521">
        <f>I15*$M$5</f>
        <v>665835.16500000004</v>
      </c>
      <c r="K15" s="357">
        <v>1</v>
      </c>
      <c r="L15" s="314">
        <f>J15*K15</f>
        <v>665835.16500000004</v>
      </c>
      <c r="M15" s="519">
        <f>1-K15</f>
        <v>0</v>
      </c>
      <c r="N15" s="518">
        <f>M15*J15</f>
        <v>0</v>
      </c>
      <c r="O15" s="347"/>
      <c r="P15" s="530"/>
      <c r="Q15" s="358"/>
      <c r="R15" s="358"/>
      <c r="S15" s="548"/>
      <c r="T15" s="527"/>
      <c r="U15" s="527"/>
      <c r="V15" s="527"/>
      <c r="W15" s="527"/>
      <c r="X15" s="321"/>
    </row>
    <row r="16" spans="1:55" x14ac:dyDescent="0.25">
      <c r="A16" s="427"/>
      <c r="B16" s="851"/>
      <c r="C16" s="547" t="s">
        <v>764</v>
      </c>
      <c r="D16" s="526"/>
      <c r="E16" s="543"/>
      <c r="F16" s="542">
        <f>G16/(SUM($I$12:$I$21))</f>
        <v>0</v>
      </c>
      <c r="G16" s="315"/>
      <c r="H16" s="315"/>
      <c r="I16" s="314">
        <f>H16+G16</f>
        <v>0</v>
      </c>
      <c r="J16" s="521">
        <f>I16*$M$5</f>
        <v>0</v>
      </c>
      <c r="K16" s="357">
        <v>1</v>
      </c>
      <c r="L16" s="314">
        <f>J16*K16</f>
        <v>0</v>
      </c>
      <c r="M16" s="519">
        <f>1-K16</f>
        <v>0</v>
      </c>
      <c r="N16" s="518">
        <f>M16*J16</f>
        <v>0</v>
      </c>
      <c r="O16" s="347"/>
      <c r="P16" s="530"/>
      <c r="Q16" s="358"/>
      <c r="R16" s="529"/>
      <c r="S16" s="528"/>
      <c r="T16" s="527"/>
      <c r="U16" s="527"/>
      <c r="V16" s="527"/>
      <c r="W16" s="527"/>
      <c r="X16" s="321"/>
    </row>
    <row r="17" spans="1:24" x14ac:dyDescent="0.25">
      <c r="A17" s="427"/>
      <c r="B17" s="851"/>
      <c r="C17" s="356"/>
      <c r="D17" s="526"/>
      <c r="E17" s="543"/>
      <c r="F17" s="546"/>
      <c r="G17" s="315"/>
      <c r="H17" s="315"/>
      <c r="I17" s="314"/>
      <c r="J17" s="521"/>
      <c r="K17" s="520"/>
      <c r="L17" s="314"/>
      <c r="M17" s="519"/>
      <c r="N17" s="518"/>
      <c r="O17" s="347"/>
      <c r="P17" s="530"/>
      <c r="Q17" s="358"/>
      <c r="R17" s="529"/>
      <c r="S17" s="528"/>
      <c r="T17" s="527"/>
      <c r="U17" s="527"/>
      <c r="V17" s="527"/>
      <c r="W17" s="527"/>
      <c r="X17" s="321"/>
    </row>
    <row r="18" spans="1:24" x14ac:dyDescent="0.25">
      <c r="A18" s="427"/>
      <c r="B18" s="851"/>
      <c r="C18" s="545" t="s">
        <v>763</v>
      </c>
      <c r="D18" s="526"/>
      <c r="E18" s="543"/>
      <c r="F18" s="542">
        <f>G18/(SUM($I$12:$I$21))</f>
        <v>5.0828668200047222E-2</v>
      </c>
      <c r="G18" s="315">
        <v>152636</v>
      </c>
      <c r="H18" s="315"/>
      <c r="I18" s="314">
        <f>H18+G18</f>
        <v>152636</v>
      </c>
      <c r="J18" s="521">
        <f>I18*$M$5</f>
        <v>157978.26</v>
      </c>
      <c r="K18" s="520">
        <v>1</v>
      </c>
      <c r="L18" s="314">
        <f>J18*K18</f>
        <v>157978.26</v>
      </c>
      <c r="M18" s="519">
        <f>1-K18</f>
        <v>0</v>
      </c>
      <c r="N18" s="518">
        <f>M18*J18</f>
        <v>0</v>
      </c>
      <c r="O18" s="347"/>
      <c r="P18" s="530"/>
      <c r="Q18" s="358"/>
      <c r="R18" s="529"/>
      <c r="S18" s="528"/>
      <c r="T18" s="527"/>
      <c r="U18" s="527"/>
      <c r="V18" s="527"/>
      <c r="W18" s="527"/>
      <c r="X18" s="321"/>
    </row>
    <row r="19" spans="1:24" x14ac:dyDescent="0.25">
      <c r="A19" s="427"/>
      <c r="B19" s="851"/>
      <c r="C19" s="356"/>
      <c r="D19" s="526"/>
      <c r="E19" s="543"/>
      <c r="F19" s="540"/>
      <c r="G19" s="315"/>
      <c r="H19" s="315"/>
      <c r="I19" s="314"/>
      <c r="J19" s="521"/>
      <c r="K19" s="520"/>
      <c r="L19" s="314"/>
      <c r="M19" s="519"/>
      <c r="N19" s="518"/>
      <c r="O19" s="347"/>
      <c r="P19" s="530"/>
      <c r="Q19" s="358"/>
      <c r="R19" s="529"/>
      <c r="S19" s="528"/>
      <c r="T19" s="527"/>
      <c r="U19" s="527"/>
      <c r="V19" s="527"/>
      <c r="W19" s="527"/>
      <c r="X19" s="321"/>
    </row>
    <row r="20" spans="1:24" x14ac:dyDescent="0.25">
      <c r="A20" s="427"/>
      <c r="B20" s="851"/>
      <c r="C20" s="544" t="s">
        <v>762</v>
      </c>
      <c r="D20" s="526"/>
      <c r="E20" s="543"/>
      <c r="F20" s="542">
        <f>G20/(SUM($I$12:$I$21))</f>
        <v>0</v>
      </c>
      <c r="G20" s="315"/>
      <c r="H20" s="315"/>
      <c r="I20" s="314">
        <f>H20+G20</f>
        <v>0</v>
      </c>
      <c r="J20" s="521">
        <f>I20*$M$5</f>
        <v>0</v>
      </c>
      <c r="K20" s="520">
        <v>1</v>
      </c>
      <c r="L20" s="314">
        <f>J20*K20</f>
        <v>0</v>
      </c>
      <c r="M20" s="519">
        <f>1-K20</f>
        <v>0</v>
      </c>
      <c r="N20" s="518">
        <f>M20*J20</f>
        <v>0</v>
      </c>
      <c r="O20" s="347"/>
      <c r="P20" s="530"/>
      <c r="Q20" s="358"/>
      <c r="R20" s="529"/>
      <c r="S20" s="528"/>
      <c r="T20" s="527"/>
      <c r="U20" s="527"/>
      <c r="V20" s="527"/>
      <c r="W20" s="527"/>
      <c r="X20" s="321"/>
    </row>
    <row r="21" spans="1:24" x14ac:dyDescent="0.25">
      <c r="A21" s="427"/>
      <c r="B21" s="851"/>
      <c r="C21" s="544" t="s">
        <v>761</v>
      </c>
      <c r="D21" s="526"/>
      <c r="E21" s="543"/>
      <c r="F21" s="542">
        <f>G21/(SUM($I$12:$I$21))</f>
        <v>0</v>
      </c>
      <c r="G21" s="315"/>
      <c r="H21" s="315"/>
      <c r="I21" s="314">
        <f>H21+G21</f>
        <v>0</v>
      </c>
      <c r="J21" s="521">
        <f>I21*$M$5</f>
        <v>0</v>
      </c>
      <c r="K21" s="520">
        <v>1</v>
      </c>
      <c r="L21" s="314">
        <f>J21*K21</f>
        <v>0</v>
      </c>
      <c r="M21" s="519">
        <f>1-K21</f>
        <v>0</v>
      </c>
      <c r="N21" s="518">
        <f>M21*J21</f>
        <v>0</v>
      </c>
      <c r="O21" s="347"/>
      <c r="P21" s="530"/>
      <c r="Q21" s="358"/>
      <c r="R21" s="529"/>
      <c r="S21" s="528"/>
      <c r="T21" s="527"/>
      <c r="U21" s="527"/>
      <c r="V21" s="527"/>
      <c r="W21" s="527"/>
      <c r="X21" s="321"/>
    </row>
    <row r="22" spans="1:24" x14ac:dyDescent="0.25">
      <c r="A22" s="427"/>
      <c r="B22" s="851"/>
      <c r="C22" s="356"/>
      <c r="D22" s="526"/>
      <c r="E22" s="525"/>
      <c r="F22" s="540"/>
      <c r="G22" s="315"/>
      <c r="H22" s="315"/>
      <c r="I22" s="314"/>
      <c r="J22" s="521"/>
      <c r="K22" s="520"/>
      <c r="L22" s="314"/>
      <c r="M22" s="519"/>
      <c r="N22" s="518"/>
      <c r="O22" s="347"/>
      <c r="P22" s="530"/>
      <c r="Q22" s="358"/>
      <c r="R22" s="529"/>
      <c r="S22" s="528"/>
      <c r="T22" s="527"/>
      <c r="U22" s="527"/>
      <c r="V22" s="527"/>
      <c r="W22" s="527"/>
      <c r="X22" s="321"/>
    </row>
    <row r="23" spans="1:24" x14ac:dyDescent="0.25">
      <c r="A23" s="427"/>
      <c r="B23" s="851"/>
      <c r="C23" s="541" t="s">
        <v>760</v>
      </c>
      <c r="D23" s="526"/>
      <c r="E23" s="525"/>
      <c r="F23" s="540"/>
      <c r="G23" s="315"/>
      <c r="H23" s="315"/>
      <c r="I23" s="314">
        <f>H23+G23</f>
        <v>0</v>
      </c>
      <c r="J23" s="521">
        <f>I23*$M$5</f>
        <v>0</v>
      </c>
      <c r="K23" s="520">
        <v>1</v>
      </c>
      <c r="L23" s="314">
        <f>J23*K23</f>
        <v>0</v>
      </c>
      <c r="M23" s="519">
        <f>1-K23</f>
        <v>0</v>
      </c>
      <c r="N23" s="518">
        <f>M23*J23</f>
        <v>0</v>
      </c>
      <c r="O23" s="347"/>
      <c r="P23" s="530"/>
      <c r="Q23" s="358"/>
      <c r="R23" s="529"/>
      <c r="S23" s="528"/>
      <c r="T23" s="527"/>
      <c r="U23" s="527"/>
      <c r="V23" s="527"/>
      <c r="W23" s="527"/>
      <c r="X23" s="321"/>
    </row>
    <row r="24" spans="1:24" ht="13.5" thickBot="1" x14ac:dyDescent="0.3">
      <c r="A24" s="427"/>
      <c r="B24" s="851"/>
      <c r="C24" s="477"/>
      <c r="D24" s="524"/>
      <c r="E24" s="523"/>
      <c r="F24" s="539"/>
      <c r="G24" s="490"/>
      <c r="H24" s="387"/>
      <c r="I24" s="522"/>
      <c r="J24" s="521"/>
      <c r="K24" s="538"/>
      <c r="L24" s="522"/>
      <c r="M24" s="537"/>
      <c r="N24" s="536"/>
      <c r="O24" s="535"/>
      <c r="P24" s="530"/>
      <c r="Q24" s="358"/>
      <c r="R24" s="529"/>
      <c r="S24" s="528"/>
      <c r="T24" s="527"/>
      <c r="U24" s="527"/>
      <c r="V24" s="527"/>
      <c r="W24" s="527"/>
      <c r="X24" s="321"/>
    </row>
    <row r="25" spans="1:24" ht="27.95" customHeight="1" thickBot="1" x14ac:dyDescent="0.3">
      <c r="A25" s="427"/>
      <c r="B25" s="851"/>
      <c r="C25" s="835" t="s">
        <v>759</v>
      </c>
      <c r="D25" s="836"/>
      <c r="E25" s="836"/>
      <c r="F25" s="837"/>
      <c r="G25" s="513">
        <f>SUM(G11:G24)</f>
        <v>3002951</v>
      </c>
      <c r="H25" s="513">
        <f>SUM(H11:H24)</f>
        <v>0</v>
      </c>
      <c r="I25" s="513">
        <f>SUM(I11:I24)</f>
        <v>3002951</v>
      </c>
      <c r="J25" s="512">
        <f>SUM(J11:J24)</f>
        <v>3108054.2850000001</v>
      </c>
      <c r="K25" s="761">
        <f>SUM(L11:L24)</f>
        <v>3108054.2850000001</v>
      </c>
      <c r="L25" s="762"/>
      <c r="M25" s="763">
        <f>SUM(N11:N24)</f>
        <v>0</v>
      </c>
      <c r="N25" s="764"/>
      <c r="O25" s="409">
        <f>IF(AND(J25&gt;0,J25&lt;1000000),ROUNDUP(J25,-4),IF(AND(J25&gt;=1000000,J25&lt;=100000000),ROUNDUP(J25,-5),IF(J25&gt;100000000,ROUNDUP(J25,-6),0)))</f>
        <v>3200000</v>
      </c>
      <c r="P25" s="442"/>
      <c r="Q25" s="307" t="s">
        <v>758</v>
      </c>
      <c r="R25" s="321"/>
      <c r="S25" s="321"/>
      <c r="T25" s="321"/>
      <c r="U25" s="321"/>
      <c r="V25" s="321"/>
      <c r="W25" s="321"/>
      <c r="X25" s="321"/>
    </row>
    <row r="26" spans="1:24" ht="14.1" customHeight="1" thickBot="1" x14ac:dyDescent="0.3">
      <c r="A26" s="427"/>
      <c r="B26" s="851"/>
      <c r="C26" s="281"/>
      <c r="D26" s="281"/>
      <c r="E26" s="281"/>
      <c r="F26" s="281"/>
      <c r="G26" s="281"/>
      <c r="H26" s="281"/>
      <c r="I26" s="534"/>
      <c r="J26" s="281"/>
      <c r="K26" s="281"/>
      <c r="L26" s="281"/>
      <c r="M26" s="281"/>
      <c r="N26" s="281"/>
      <c r="O26" s="533"/>
      <c r="P26" s="427"/>
      <c r="Q26" s="321"/>
      <c r="R26" s="321"/>
      <c r="S26" s="321"/>
      <c r="T26" s="321"/>
      <c r="U26" s="321"/>
      <c r="V26" s="321"/>
      <c r="W26" s="321"/>
      <c r="X26" s="321"/>
    </row>
    <row r="27" spans="1:24" ht="15" customHeight="1" x14ac:dyDescent="0.25">
      <c r="A27" s="427"/>
      <c r="B27" s="851"/>
      <c r="C27" s="532" t="s">
        <v>757</v>
      </c>
      <c r="D27" s="526"/>
      <c r="E27" s="525"/>
      <c r="F27" s="525"/>
      <c r="G27" s="315"/>
      <c r="H27" s="393"/>
      <c r="I27" s="314">
        <f>H27+G27</f>
        <v>0</v>
      </c>
      <c r="J27" s="521">
        <f>I27*$M$5</f>
        <v>0</v>
      </c>
      <c r="K27" s="363">
        <v>1</v>
      </c>
      <c r="L27" s="493">
        <f>J27*K27</f>
        <v>0</v>
      </c>
      <c r="M27" s="349">
        <f>1-K27</f>
        <v>0</v>
      </c>
      <c r="N27" s="531">
        <f>M27*J27</f>
        <v>0</v>
      </c>
      <c r="O27" s="347"/>
      <c r="P27" s="530"/>
      <c r="Q27" s="358"/>
      <c r="R27" s="529"/>
      <c r="S27" s="528"/>
      <c r="T27" s="527"/>
      <c r="U27" s="527"/>
      <c r="V27" s="527"/>
      <c r="W27" s="527"/>
      <c r="X27" s="321"/>
    </row>
    <row r="28" spans="1:24" x14ac:dyDescent="0.2">
      <c r="A28" s="427"/>
      <c r="B28" s="851"/>
      <c r="C28" s="476" t="s">
        <v>756</v>
      </c>
      <c r="D28" s="526"/>
      <c r="E28" s="525"/>
      <c r="F28" s="525"/>
      <c r="G28" s="315">
        <f>I25*0.04</f>
        <v>120118.04000000001</v>
      </c>
      <c r="H28" s="393"/>
      <c r="I28" s="314">
        <f>H28+G28</f>
        <v>120118.04000000001</v>
      </c>
      <c r="J28" s="521">
        <f>I28*$M$5</f>
        <v>124322.17140000002</v>
      </c>
      <c r="K28" s="520">
        <v>1</v>
      </c>
      <c r="L28" s="314">
        <f>J28*K28</f>
        <v>124322.17140000002</v>
      </c>
      <c r="M28" s="519">
        <f>1-K28</f>
        <v>0</v>
      </c>
      <c r="N28" s="518">
        <f>M28*J28</f>
        <v>0</v>
      </c>
      <c r="O28" s="347"/>
      <c r="P28" s="530"/>
      <c r="Q28" s="358"/>
      <c r="R28" s="529"/>
      <c r="S28" s="528"/>
      <c r="T28" s="527"/>
      <c r="U28" s="527"/>
      <c r="V28" s="527"/>
      <c r="W28" s="527"/>
      <c r="X28" s="321"/>
    </row>
    <row r="29" spans="1:24" s="292" customFormat="1" ht="12.75" customHeight="1" x14ac:dyDescent="0.2">
      <c r="A29" s="426"/>
      <c r="B29" s="851"/>
      <c r="C29" s="476" t="s">
        <v>755</v>
      </c>
      <c r="D29" s="526"/>
      <c r="E29" s="525"/>
      <c r="F29" s="523"/>
      <c r="G29" s="490">
        <f>I25*0.015</f>
        <v>45044.264999999999</v>
      </c>
      <c r="H29" s="387"/>
      <c r="I29" s="314">
        <f>H29+G29</f>
        <v>45044.264999999999</v>
      </c>
      <c r="J29" s="521">
        <f>I29*$M$5</f>
        <v>46620.814275000004</v>
      </c>
      <c r="K29" s="520">
        <v>1</v>
      </c>
      <c r="L29" s="314">
        <f>J29*K29</f>
        <v>46620.814275000004</v>
      </c>
      <c r="M29" s="519">
        <f>1-K29</f>
        <v>0</v>
      </c>
      <c r="N29" s="518">
        <f>M29*J29</f>
        <v>0</v>
      </c>
      <c r="O29" s="517"/>
      <c r="P29" s="516"/>
      <c r="Q29" s="794"/>
      <c r="R29" s="794"/>
      <c r="S29" s="514"/>
      <c r="T29" s="514"/>
      <c r="U29" s="514"/>
      <c r="V29" s="514"/>
      <c r="W29" s="514"/>
      <c r="X29" s="305"/>
    </row>
    <row r="30" spans="1:24" s="292" customFormat="1" ht="12.75" customHeight="1" x14ac:dyDescent="0.25">
      <c r="A30" s="426"/>
      <c r="B30" s="851"/>
      <c r="C30" s="477"/>
      <c r="D30" s="526"/>
      <c r="E30" s="525"/>
      <c r="F30" s="523"/>
      <c r="G30" s="490"/>
      <c r="H30" s="387"/>
      <c r="I30" s="314">
        <f>H30+G30</f>
        <v>0</v>
      </c>
      <c r="J30" s="521">
        <f>I30*$M$5</f>
        <v>0</v>
      </c>
      <c r="K30" s="520">
        <v>1</v>
      </c>
      <c r="L30" s="314">
        <f>J30*K30</f>
        <v>0</v>
      </c>
      <c r="M30" s="519">
        <f>1-K30</f>
        <v>0</v>
      </c>
      <c r="N30" s="518">
        <f>M30*J30</f>
        <v>0</v>
      </c>
      <c r="O30" s="517"/>
      <c r="P30" s="516"/>
      <c r="Q30" s="515"/>
      <c r="R30" s="515"/>
      <c r="S30" s="514"/>
      <c r="T30" s="514"/>
      <c r="U30" s="514"/>
      <c r="V30" s="514"/>
      <c r="W30" s="514"/>
      <c r="X30" s="305"/>
    </row>
    <row r="31" spans="1:24" s="292" customFormat="1" ht="12.75" customHeight="1" thickBot="1" x14ac:dyDescent="0.3">
      <c r="A31" s="426"/>
      <c r="B31" s="851"/>
      <c r="C31" s="477"/>
      <c r="D31" s="524"/>
      <c r="E31" s="523"/>
      <c r="F31" s="523"/>
      <c r="G31" s="490"/>
      <c r="H31" s="387"/>
      <c r="I31" s="522">
        <f>H31+G31</f>
        <v>0</v>
      </c>
      <c r="J31" s="521">
        <f>I31*$M$5</f>
        <v>0</v>
      </c>
      <c r="K31" s="520">
        <v>1</v>
      </c>
      <c r="L31" s="314">
        <f>J31*K31</f>
        <v>0</v>
      </c>
      <c r="M31" s="519">
        <f>1-K31</f>
        <v>0</v>
      </c>
      <c r="N31" s="518">
        <f>M31*J31</f>
        <v>0</v>
      </c>
      <c r="O31" s="517"/>
      <c r="P31" s="516"/>
      <c r="Q31" s="515"/>
      <c r="R31" s="515"/>
      <c r="S31" s="514"/>
      <c r="T31" s="514"/>
      <c r="U31" s="514"/>
      <c r="V31" s="514"/>
      <c r="W31" s="514"/>
      <c r="X31" s="305"/>
    </row>
    <row r="32" spans="1:24" ht="27.95" customHeight="1" thickBot="1" x14ac:dyDescent="0.3">
      <c r="A32" s="427"/>
      <c r="B32" s="871"/>
      <c r="C32" s="835" t="s">
        <v>754</v>
      </c>
      <c r="D32" s="836"/>
      <c r="E32" s="836"/>
      <c r="F32" s="837"/>
      <c r="G32" s="513">
        <f>SUM(G26:G31)</f>
        <v>165162.30499999999</v>
      </c>
      <c r="H32" s="513">
        <f>SUM(H26:H31)</f>
        <v>0</v>
      </c>
      <c r="I32" s="513">
        <f>SUM(I27:I31)</f>
        <v>165162.30499999999</v>
      </c>
      <c r="J32" s="512">
        <f>SUM(J27:J31)</f>
        <v>170942.98567500003</v>
      </c>
      <c r="K32" s="761">
        <f>SUM(L27:L31)</f>
        <v>170942.98567500003</v>
      </c>
      <c r="L32" s="762"/>
      <c r="M32" s="763">
        <f>SUM(N27:N31)</f>
        <v>0</v>
      </c>
      <c r="N32" s="764"/>
      <c r="O32" s="409">
        <f>IF(AND(J32&gt;0,J32&lt;1000000),ROUNDUP(J32,-4),IF(AND(J32&gt;=1000000,J32&lt;=100000000),ROUNDUP(J32,-5),IF(J32&gt;100000000,ROUNDUP(J32,-6),0)))</f>
        <v>180000</v>
      </c>
      <c r="P32" s="442"/>
      <c r="Q32" s="307" t="s">
        <v>753</v>
      </c>
      <c r="R32" s="321"/>
      <c r="S32" s="321"/>
      <c r="T32" s="321"/>
      <c r="U32" s="321"/>
      <c r="V32" s="321"/>
      <c r="W32" s="321"/>
      <c r="X32" s="321"/>
    </row>
    <row r="33" spans="1:61" ht="29.25" customHeight="1" thickBot="1" x14ac:dyDescent="0.3">
      <c r="A33" s="427"/>
      <c r="B33" s="339" t="s">
        <v>752</v>
      </c>
      <c r="C33" s="338"/>
      <c r="D33" s="338"/>
      <c r="E33" s="338"/>
      <c r="F33" s="338"/>
      <c r="G33" s="337">
        <f>G25+G32</f>
        <v>3168113.3050000002</v>
      </c>
      <c r="H33" s="337">
        <f>H25+H32</f>
        <v>0</v>
      </c>
      <c r="I33" s="337">
        <f>I25+I32</f>
        <v>3168113.3050000002</v>
      </c>
      <c r="J33" s="336">
        <f>J25+J32</f>
        <v>3278997.2706750003</v>
      </c>
      <c r="K33" s="785">
        <v>0</v>
      </c>
      <c r="L33" s="762"/>
      <c r="M33" s="769">
        <v>0</v>
      </c>
      <c r="N33" s="764"/>
      <c r="O33" s="511">
        <f>O25+O32</f>
        <v>3380000</v>
      </c>
      <c r="P33" s="424"/>
      <c r="R33" s="321"/>
      <c r="S33" s="321"/>
      <c r="T33" s="321"/>
      <c r="U33" s="321"/>
      <c r="V33" s="321"/>
      <c r="W33" s="321"/>
      <c r="X33" s="321"/>
    </row>
    <row r="34" spans="1:61" s="500" customFormat="1" ht="6" customHeight="1" thickBot="1" x14ac:dyDescent="0.3">
      <c r="A34" s="510"/>
      <c r="B34" s="509"/>
      <c r="C34" s="508"/>
      <c r="D34" s="508"/>
      <c r="E34" s="507"/>
      <c r="F34" s="505"/>
      <c r="G34" s="506"/>
      <c r="H34" s="505"/>
      <c r="I34" s="504"/>
      <c r="J34" s="504"/>
      <c r="K34" s="504"/>
      <c r="L34" s="504"/>
      <c r="M34" s="504"/>
      <c r="N34" s="503"/>
      <c r="O34" s="502"/>
      <c r="P34" s="501"/>
      <c r="Q34" s="501"/>
      <c r="R34" s="501"/>
      <c r="S34" s="501"/>
      <c r="T34" s="501"/>
      <c r="U34" s="501"/>
      <c r="V34" s="501"/>
      <c r="W34" s="501"/>
    </row>
    <row r="35" spans="1:61" s="457" customFormat="1" ht="23.85" customHeight="1" thickBot="1" x14ac:dyDescent="0.3">
      <c r="A35" s="469"/>
      <c r="B35" s="839" t="s">
        <v>751</v>
      </c>
      <c r="C35" s="422" t="s">
        <v>739</v>
      </c>
      <c r="D35" s="499"/>
      <c r="E35" s="498"/>
      <c r="F35" s="498"/>
      <c r="G35" s="497"/>
      <c r="H35" s="496"/>
      <c r="I35" s="495">
        <f t="shared" ref="I35:I44" si="0">H35+G35</f>
        <v>0</v>
      </c>
      <c r="J35" s="488">
        <f t="shared" ref="J35:J44" si="1">I35*$M$5</f>
        <v>0</v>
      </c>
      <c r="K35" s="494"/>
      <c r="L35" s="493">
        <f t="shared" ref="L35:L44" si="2">J35*K35</f>
        <v>0</v>
      </c>
      <c r="M35" s="349">
        <f t="shared" ref="M35:M44" si="3">1-K35</f>
        <v>1</v>
      </c>
      <c r="N35" s="492">
        <f t="shared" ref="N35:N44" si="4">M35*J35</f>
        <v>0</v>
      </c>
      <c r="O35" s="491"/>
      <c r="P35" s="459"/>
      <c r="Q35" s="458"/>
      <c r="R35" s="458"/>
      <c r="S35" s="458"/>
      <c r="T35" s="458"/>
      <c r="U35" s="458"/>
    </row>
    <row r="36" spans="1:61" s="457" customFormat="1" ht="23.85" customHeight="1" thickBot="1" x14ac:dyDescent="0.25">
      <c r="A36" s="469"/>
      <c r="B36" s="840"/>
      <c r="C36" s="476"/>
      <c r="D36" s="359"/>
      <c r="E36" s="475"/>
      <c r="F36" s="467"/>
      <c r="G36" s="490"/>
      <c r="H36" s="473"/>
      <c r="I36" s="483">
        <f t="shared" si="0"/>
        <v>0</v>
      </c>
      <c r="J36" s="488">
        <f t="shared" si="1"/>
        <v>0</v>
      </c>
      <c r="K36" s="471"/>
      <c r="L36" s="353">
        <f t="shared" si="2"/>
        <v>0</v>
      </c>
      <c r="M36" s="392">
        <f t="shared" si="3"/>
        <v>1</v>
      </c>
      <c r="N36" s="470">
        <f t="shared" si="4"/>
        <v>0</v>
      </c>
      <c r="O36" s="460"/>
      <c r="P36" s="459"/>
      <c r="Q36" s="458"/>
      <c r="R36" s="458"/>
      <c r="S36" s="458"/>
      <c r="T36" s="458"/>
      <c r="U36" s="458"/>
    </row>
    <row r="37" spans="1:61" s="457" customFormat="1" ht="23.85" customHeight="1" thickBot="1" x14ac:dyDescent="0.25">
      <c r="A37" s="469"/>
      <c r="B37" s="841"/>
      <c r="C37" s="468" t="s">
        <v>750</v>
      </c>
      <c r="D37" s="359"/>
      <c r="E37" s="475"/>
      <c r="F37" s="467"/>
      <c r="G37" s="466"/>
      <c r="H37" s="465"/>
      <c r="I37" s="483">
        <f t="shared" si="0"/>
        <v>0</v>
      </c>
      <c r="J37" s="488">
        <f t="shared" si="1"/>
        <v>0</v>
      </c>
      <c r="K37" s="471"/>
      <c r="L37" s="353">
        <f t="shared" si="2"/>
        <v>0</v>
      </c>
      <c r="M37" s="392">
        <f t="shared" si="3"/>
        <v>1</v>
      </c>
      <c r="N37" s="470">
        <f t="shared" si="4"/>
        <v>0</v>
      </c>
      <c r="O37" s="460"/>
      <c r="P37" s="459"/>
      <c r="Q37" s="458"/>
      <c r="R37" s="458"/>
      <c r="S37" s="458"/>
      <c r="T37" s="458"/>
      <c r="U37" s="458"/>
    </row>
    <row r="38" spans="1:61" s="457" customFormat="1" ht="23.85" customHeight="1" thickBot="1" x14ac:dyDescent="0.25">
      <c r="A38" s="469"/>
      <c r="B38" s="841"/>
      <c r="C38" s="468" t="s">
        <v>749</v>
      </c>
      <c r="D38" s="359"/>
      <c r="E38" s="475"/>
      <c r="F38" s="467"/>
      <c r="G38" s="466"/>
      <c r="H38" s="465"/>
      <c r="I38" s="483">
        <f t="shared" si="0"/>
        <v>0</v>
      </c>
      <c r="J38" s="488">
        <f t="shared" si="1"/>
        <v>0</v>
      </c>
      <c r="K38" s="471"/>
      <c r="L38" s="353">
        <f t="shared" si="2"/>
        <v>0</v>
      </c>
      <c r="M38" s="392">
        <f t="shared" si="3"/>
        <v>1</v>
      </c>
      <c r="N38" s="470">
        <f t="shared" si="4"/>
        <v>0</v>
      </c>
      <c r="O38" s="460"/>
      <c r="P38" s="459"/>
      <c r="Q38" s="458"/>
      <c r="R38" s="458"/>
      <c r="S38" s="458"/>
      <c r="T38" s="458"/>
      <c r="U38" s="458"/>
    </row>
    <row r="39" spans="1:61" s="457" customFormat="1" ht="23.85" customHeight="1" thickBot="1" x14ac:dyDescent="0.25">
      <c r="A39" s="469"/>
      <c r="B39" s="841"/>
      <c r="C39" s="468" t="s">
        <v>748</v>
      </c>
      <c r="D39" s="359"/>
      <c r="E39" s="475"/>
      <c r="F39" s="467"/>
      <c r="G39" s="466"/>
      <c r="H39" s="465"/>
      <c r="I39" s="483">
        <f t="shared" si="0"/>
        <v>0</v>
      </c>
      <c r="J39" s="488">
        <f t="shared" si="1"/>
        <v>0</v>
      </c>
      <c r="K39" s="471"/>
      <c r="L39" s="353">
        <f t="shared" si="2"/>
        <v>0</v>
      </c>
      <c r="M39" s="392">
        <f t="shared" si="3"/>
        <v>1</v>
      </c>
      <c r="N39" s="470">
        <f t="shared" si="4"/>
        <v>0</v>
      </c>
      <c r="O39" s="460"/>
      <c r="P39" s="459"/>
      <c r="Q39" s="458"/>
      <c r="R39" s="458"/>
      <c r="S39" s="458"/>
      <c r="T39" s="458"/>
      <c r="U39" s="458"/>
    </row>
    <row r="40" spans="1:61" s="457" customFormat="1" ht="23.85" customHeight="1" thickBot="1" x14ac:dyDescent="0.25">
      <c r="A40" s="469"/>
      <c r="B40" s="841"/>
      <c r="C40" s="468" t="s">
        <v>747</v>
      </c>
      <c r="D40" s="359"/>
      <c r="E40" s="475"/>
      <c r="F40" s="467"/>
      <c r="G40" s="466"/>
      <c r="H40" s="465"/>
      <c r="I40" s="483">
        <f t="shared" si="0"/>
        <v>0</v>
      </c>
      <c r="J40" s="488">
        <f t="shared" si="1"/>
        <v>0</v>
      </c>
      <c r="K40" s="471"/>
      <c r="L40" s="353">
        <f t="shared" si="2"/>
        <v>0</v>
      </c>
      <c r="M40" s="392">
        <f t="shared" si="3"/>
        <v>1</v>
      </c>
      <c r="N40" s="470">
        <f t="shared" si="4"/>
        <v>0</v>
      </c>
      <c r="O40" s="460"/>
      <c r="P40" s="459"/>
      <c r="Q40" s="458"/>
      <c r="R40" s="458"/>
      <c r="S40" s="458"/>
      <c r="T40" s="458"/>
      <c r="U40" s="458"/>
    </row>
    <row r="41" spans="1:61" s="457" customFormat="1" ht="23.85" customHeight="1" thickBot="1" x14ac:dyDescent="0.25">
      <c r="A41" s="469"/>
      <c r="B41" s="841"/>
      <c r="C41" s="468" t="s">
        <v>746</v>
      </c>
      <c r="D41" s="359"/>
      <c r="E41" s="475"/>
      <c r="F41" s="467"/>
      <c r="G41" s="466"/>
      <c r="H41" s="465"/>
      <c r="I41" s="483">
        <f t="shared" si="0"/>
        <v>0</v>
      </c>
      <c r="J41" s="488">
        <f t="shared" si="1"/>
        <v>0</v>
      </c>
      <c r="K41" s="471"/>
      <c r="L41" s="353">
        <f t="shared" si="2"/>
        <v>0</v>
      </c>
      <c r="M41" s="392">
        <f t="shared" si="3"/>
        <v>1</v>
      </c>
      <c r="N41" s="470">
        <f t="shared" si="4"/>
        <v>0</v>
      </c>
      <c r="O41" s="460"/>
      <c r="P41" s="459"/>
      <c r="Q41" s="458"/>
      <c r="R41" s="458"/>
      <c r="S41" s="458"/>
      <c r="T41" s="458"/>
      <c r="U41" s="458"/>
    </row>
    <row r="42" spans="1:61" s="457" customFormat="1" ht="23.85" customHeight="1" thickBot="1" x14ac:dyDescent="0.25">
      <c r="A42" s="469"/>
      <c r="B42" s="841"/>
      <c r="C42" s="468" t="s">
        <v>745</v>
      </c>
      <c r="D42" s="359"/>
      <c r="E42" s="475"/>
      <c r="F42" s="467"/>
      <c r="G42" s="466"/>
      <c r="H42" s="465"/>
      <c r="I42" s="483">
        <f t="shared" si="0"/>
        <v>0</v>
      </c>
      <c r="J42" s="488">
        <f t="shared" si="1"/>
        <v>0</v>
      </c>
      <c r="K42" s="471"/>
      <c r="L42" s="353">
        <f t="shared" si="2"/>
        <v>0</v>
      </c>
      <c r="M42" s="392">
        <f t="shared" si="3"/>
        <v>1</v>
      </c>
      <c r="N42" s="470">
        <f t="shared" si="4"/>
        <v>0</v>
      </c>
      <c r="O42" s="460"/>
      <c r="P42" s="459"/>
      <c r="Q42" s="458"/>
      <c r="R42" s="458"/>
      <c r="S42" s="458"/>
      <c r="T42" s="458"/>
      <c r="U42" s="458"/>
    </row>
    <row r="43" spans="1:61" s="457" customFormat="1" ht="23.85" customHeight="1" thickBot="1" x14ac:dyDescent="0.25">
      <c r="A43" s="469"/>
      <c r="B43" s="841"/>
      <c r="C43" s="468" t="s">
        <v>744</v>
      </c>
      <c r="D43" s="359"/>
      <c r="E43" s="475"/>
      <c r="F43" s="467"/>
      <c r="G43" s="466"/>
      <c r="H43" s="465"/>
      <c r="I43" s="483">
        <f t="shared" si="0"/>
        <v>0</v>
      </c>
      <c r="J43" s="488">
        <f t="shared" si="1"/>
        <v>0</v>
      </c>
      <c r="K43" s="471"/>
      <c r="L43" s="353">
        <f t="shared" si="2"/>
        <v>0</v>
      </c>
      <c r="M43" s="392">
        <f t="shared" si="3"/>
        <v>1</v>
      </c>
      <c r="N43" s="470">
        <f t="shared" si="4"/>
        <v>0</v>
      </c>
      <c r="O43" s="460"/>
      <c r="P43" s="459"/>
      <c r="Q43" s="458"/>
      <c r="R43" s="458"/>
      <c r="S43" s="458"/>
      <c r="T43" s="458"/>
      <c r="U43" s="458"/>
    </row>
    <row r="44" spans="1:61" s="457" customFormat="1" ht="23.85" customHeight="1" thickBot="1" x14ac:dyDescent="0.25">
      <c r="A44" s="469"/>
      <c r="B44" s="841"/>
      <c r="C44" s="468"/>
      <c r="D44" s="389"/>
      <c r="E44" s="467"/>
      <c r="F44" s="467"/>
      <c r="G44" s="466"/>
      <c r="H44" s="465"/>
      <c r="I44" s="489">
        <f t="shared" si="0"/>
        <v>0</v>
      </c>
      <c r="J44" s="488">
        <f t="shared" si="1"/>
        <v>0</v>
      </c>
      <c r="K44" s="462"/>
      <c r="L44" s="386">
        <f t="shared" si="2"/>
        <v>0</v>
      </c>
      <c r="M44" s="412">
        <f t="shared" si="3"/>
        <v>1</v>
      </c>
      <c r="N44" s="461">
        <f t="shared" si="4"/>
        <v>0</v>
      </c>
      <c r="O44" s="460"/>
      <c r="P44" s="459"/>
      <c r="Q44" s="458"/>
      <c r="R44" s="458"/>
      <c r="S44" s="458"/>
      <c r="T44" s="458"/>
      <c r="U44" s="458"/>
    </row>
    <row r="45" spans="1:61" s="441" customFormat="1" ht="23.85" customHeight="1" thickBot="1" x14ac:dyDescent="0.4">
      <c r="A45" s="435"/>
      <c r="B45" s="841"/>
      <c r="C45" s="872" t="s">
        <v>743</v>
      </c>
      <c r="D45" s="873"/>
      <c r="E45" s="874"/>
      <c r="F45" s="487"/>
      <c r="G45" s="481">
        <f>SUM(G35:G44)</f>
        <v>0</v>
      </c>
      <c r="H45" s="481">
        <f>SUM(H35:H44)</f>
        <v>0</v>
      </c>
      <c r="I45" s="481">
        <f>SUM(I35:I44)</f>
        <v>0</v>
      </c>
      <c r="J45" s="480">
        <f>SUM(J35:J44)</f>
        <v>0</v>
      </c>
      <c r="K45" s="770">
        <f>SUM(L35:L44)</f>
        <v>0</v>
      </c>
      <c r="L45" s="773"/>
      <c r="M45" s="770">
        <f>SUM(N35:N44)</f>
        <v>0</v>
      </c>
      <c r="N45" s="807">
        <f>SUM(N36:N44)</f>
        <v>0</v>
      </c>
      <c r="O45" s="380">
        <f>IF(AND(J45&gt;0,J45&lt;1000000),ROUNDUP(J45,-4),IF(AND(J45&gt;=1000000,J45&lt;=100000000),ROUNDUP(J45,-5),IF(J45&gt;100000000,ROUNDUP(J45,-6),0)))</f>
        <v>0</v>
      </c>
      <c r="P45" s="442"/>
      <c r="Q45" s="402"/>
      <c r="R45" s="402"/>
      <c r="S45" s="402"/>
      <c r="T45" s="402"/>
      <c r="U45" s="402"/>
    </row>
    <row r="46" spans="1:61" s="479" customFormat="1" ht="6.75" customHeight="1" x14ac:dyDescent="0.35">
      <c r="A46" s="435"/>
      <c r="B46" s="841"/>
      <c r="C46" s="407"/>
      <c r="D46" s="406"/>
      <c r="E46" s="406"/>
      <c r="F46" s="406"/>
      <c r="G46" s="405"/>
      <c r="H46" s="405"/>
      <c r="I46" s="405"/>
      <c r="J46" s="405"/>
      <c r="K46" s="405"/>
      <c r="L46" s="405"/>
      <c r="M46" s="405"/>
      <c r="N46" s="404"/>
      <c r="O46" s="403"/>
      <c r="P46" s="429"/>
      <c r="Q46" s="402"/>
      <c r="R46" s="402"/>
      <c r="S46" s="402"/>
      <c r="T46" s="402"/>
      <c r="U46" s="402"/>
      <c r="V46" s="441"/>
      <c r="W46" s="441"/>
      <c r="X46" s="441"/>
      <c r="Y46" s="441"/>
      <c r="Z46" s="441"/>
      <c r="AA46" s="441"/>
      <c r="AB46" s="441"/>
      <c r="AC46" s="441"/>
      <c r="AD46" s="441"/>
      <c r="AE46" s="441"/>
      <c r="AF46" s="441"/>
      <c r="AG46" s="441"/>
      <c r="AH46" s="441"/>
      <c r="AI46" s="441"/>
      <c r="AJ46" s="441"/>
      <c r="AK46" s="441"/>
      <c r="AL46" s="441"/>
      <c r="AM46" s="441"/>
      <c r="AN46" s="441"/>
      <c r="AO46" s="441"/>
      <c r="AP46" s="441"/>
      <c r="AQ46" s="441"/>
      <c r="AR46" s="441"/>
      <c r="AS46" s="441"/>
      <c r="AT46" s="441"/>
      <c r="AU46" s="441"/>
      <c r="AV46" s="441"/>
      <c r="AW46" s="441"/>
      <c r="AX46" s="441"/>
      <c r="AY46" s="441"/>
      <c r="AZ46" s="441"/>
      <c r="BA46" s="441"/>
      <c r="BB46" s="441"/>
      <c r="BC46" s="441"/>
      <c r="BD46" s="441"/>
      <c r="BE46" s="441"/>
      <c r="BF46" s="441"/>
      <c r="BG46" s="441"/>
      <c r="BH46" s="441"/>
      <c r="BI46" s="441"/>
    </row>
    <row r="47" spans="1:61" s="457" customFormat="1" ht="23.85" customHeight="1" x14ac:dyDescent="0.25">
      <c r="A47" s="469"/>
      <c r="B47" s="841"/>
      <c r="C47" s="401" t="s">
        <v>739</v>
      </c>
      <c r="D47" s="359"/>
      <c r="E47" s="486"/>
      <c r="F47" s="486"/>
      <c r="G47" s="485"/>
      <c r="H47" s="484"/>
      <c r="I47" s="483">
        <f t="shared" ref="I47:I52" si="5">H47+G47</f>
        <v>0</v>
      </c>
      <c r="J47" s="463">
        <f t="shared" ref="J47:J52" si="6">I47*$M$5</f>
        <v>0</v>
      </c>
      <c r="K47" s="471"/>
      <c r="L47" s="353">
        <f t="shared" ref="L47:L52" si="7">J47*K47</f>
        <v>0</v>
      </c>
      <c r="M47" s="392">
        <f t="shared" ref="M47:M52" si="8">1-K47</f>
        <v>1</v>
      </c>
      <c r="N47" s="470">
        <f t="shared" ref="N47:N52" si="9">M47*J47</f>
        <v>0</v>
      </c>
      <c r="O47" s="460"/>
      <c r="P47" s="459"/>
      <c r="Q47" s="458"/>
      <c r="R47" s="458"/>
      <c r="S47" s="458"/>
      <c r="T47" s="458"/>
      <c r="U47" s="458"/>
    </row>
    <row r="48" spans="1:61" s="457" customFormat="1" ht="23.85" customHeight="1" x14ac:dyDescent="0.2">
      <c r="A48" s="469"/>
      <c r="B48" s="841"/>
      <c r="C48" s="476"/>
      <c r="D48" s="359"/>
      <c r="E48" s="475"/>
      <c r="F48" s="475"/>
      <c r="G48" s="474"/>
      <c r="H48" s="473"/>
      <c r="I48" s="472">
        <f t="shared" si="5"/>
        <v>0</v>
      </c>
      <c r="J48" s="463">
        <f t="shared" si="6"/>
        <v>0</v>
      </c>
      <c r="K48" s="471"/>
      <c r="L48" s="353">
        <f t="shared" si="7"/>
        <v>0</v>
      </c>
      <c r="M48" s="392">
        <f t="shared" si="8"/>
        <v>1</v>
      </c>
      <c r="N48" s="470">
        <f t="shared" si="9"/>
        <v>0</v>
      </c>
      <c r="O48" s="460"/>
      <c r="P48" s="459"/>
      <c r="Q48" s="458"/>
      <c r="R48" s="458"/>
      <c r="S48" s="458"/>
      <c r="T48" s="458"/>
      <c r="U48" s="458"/>
    </row>
    <row r="49" spans="1:61" s="457" customFormat="1" ht="23.85" customHeight="1" x14ac:dyDescent="0.2">
      <c r="A49" s="469"/>
      <c r="B49" s="841"/>
      <c r="C49" s="476" t="s">
        <v>742</v>
      </c>
      <c r="D49" s="359"/>
      <c r="E49" s="475"/>
      <c r="F49" s="475"/>
      <c r="G49" s="474"/>
      <c r="H49" s="473"/>
      <c r="I49" s="472">
        <f t="shared" si="5"/>
        <v>0</v>
      </c>
      <c r="J49" s="463">
        <f t="shared" si="6"/>
        <v>0</v>
      </c>
      <c r="K49" s="471"/>
      <c r="L49" s="353">
        <f t="shared" si="7"/>
        <v>0</v>
      </c>
      <c r="M49" s="392">
        <f t="shared" si="8"/>
        <v>1</v>
      </c>
      <c r="N49" s="470">
        <f t="shared" si="9"/>
        <v>0</v>
      </c>
      <c r="O49" s="460"/>
      <c r="P49" s="459"/>
      <c r="Q49" s="458"/>
      <c r="R49" s="458"/>
      <c r="S49" s="458"/>
      <c r="T49" s="458"/>
      <c r="U49" s="458"/>
    </row>
    <row r="50" spans="1:61" s="457" customFormat="1" ht="23.85" customHeight="1" x14ac:dyDescent="0.2">
      <c r="A50" s="469"/>
      <c r="B50" s="841"/>
      <c r="C50" s="476"/>
      <c r="D50" s="359"/>
      <c r="E50" s="475"/>
      <c r="F50" s="475"/>
      <c r="G50" s="474"/>
      <c r="H50" s="473"/>
      <c r="I50" s="472">
        <f t="shared" si="5"/>
        <v>0</v>
      </c>
      <c r="J50" s="463">
        <f t="shared" si="6"/>
        <v>0</v>
      </c>
      <c r="K50" s="471"/>
      <c r="L50" s="353">
        <f t="shared" si="7"/>
        <v>0</v>
      </c>
      <c r="M50" s="392">
        <f t="shared" si="8"/>
        <v>1</v>
      </c>
      <c r="N50" s="470">
        <f t="shared" si="9"/>
        <v>0</v>
      </c>
      <c r="O50" s="460"/>
      <c r="P50" s="459"/>
      <c r="Q50" s="458"/>
      <c r="R50" s="458"/>
      <c r="S50" s="458"/>
      <c r="T50" s="458"/>
      <c r="U50" s="458"/>
    </row>
    <row r="51" spans="1:61" s="457" customFormat="1" ht="23.85" customHeight="1" x14ac:dyDescent="0.2">
      <c r="A51" s="469"/>
      <c r="B51" s="841"/>
      <c r="C51" s="468" t="s">
        <v>741</v>
      </c>
      <c r="D51" s="359"/>
      <c r="E51" s="475"/>
      <c r="F51" s="475"/>
      <c r="G51" s="474"/>
      <c r="H51" s="473"/>
      <c r="I51" s="472">
        <f t="shared" si="5"/>
        <v>0</v>
      </c>
      <c r="J51" s="463">
        <f t="shared" si="6"/>
        <v>0</v>
      </c>
      <c r="K51" s="471"/>
      <c r="L51" s="353">
        <f t="shared" si="7"/>
        <v>0</v>
      </c>
      <c r="M51" s="392">
        <f t="shared" si="8"/>
        <v>1</v>
      </c>
      <c r="N51" s="470">
        <f t="shared" si="9"/>
        <v>0</v>
      </c>
      <c r="O51" s="460"/>
      <c r="P51" s="459"/>
      <c r="Q51" s="458"/>
      <c r="R51" s="458"/>
      <c r="S51" s="458"/>
      <c r="T51" s="458"/>
      <c r="U51" s="458"/>
    </row>
    <row r="52" spans="1:61" s="457" customFormat="1" ht="23.85" customHeight="1" thickBot="1" x14ac:dyDescent="0.25">
      <c r="A52" s="469"/>
      <c r="B52" s="841"/>
      <c r="C52" s="468"/>
      <c r="D52" s="359"/>
      <c r="E52" s="467"/>
      <c r="F52" s="467"/>
      <c r="G52" s="466"/>
      <c r="H52" s="465"/>
      <c r="I52" s="464">
        <f t="shared" si="5"/>
        <v>0</v>
      </c>
      <c r="J52" s="463">
        <f t="shared" si="6"/>
        <v>0</v>
      </c>
      <c r="K52" s="462"/>
      <c r="L52" s="386">
        <f t="shared" si="7"/>
        <v>0</v>
      </c>
      <c r="M52" s="412">
        <f t="shared" si="8"/>
        <v>1</v>
      </c>
      <c r="N52" s="461">
        <f t="shared" si="9"/>
        <v>0</v>
      </c>
      <c r="O52" s="460"/>
      <c r="P52" s="459"/>
      <c r="Q52" s="458"/>
      <c r="R52" s="458"/>
      <c r="S52" s="458"/>
      <c r="T52" s="458"/>
      <c r="U52" s="458"/>
    </row>
    <row r="53" spans="1:61" s="441" customFormat="1" ht="23.85" customHeight="1" thickBot="1" x14ac:dyDescent="0.4">
      <c r="A53" s="435"/>
      <c r="B53" s="841"/>
      <c r="C53" s="872" t="s">
        <v>740</v>
      </c>
      <c r="D53" s="875"/>
      <c r="E53" s="876"/>
      <c r="F53" s="482"/>
      <c r="G53" s="481">
        <f>SUM(G47:G52)</f>
        <v>0</v>
      </c>
      <c r="H53" s="481">
        <f>SUM(H47:H52)</f>
        <v>0</v>
      </c>
      <c r="I53" s="481">
        <f>SUM(I47:I52)</f>
        <v>0</v>
      </c>
      <c r="J53" s="480">
        <f>SUM(J47:J52)</f>
        <v>0</v>
      </c>
      <c r="K53" s="770">
        <f>SUM(L47:L52)</f>
        <v>0</v>
      </c>
      <c r="L53" s="773">
        <f>SUM(L48:L52)</f>
        <v>0</v>
      </c>
      <c r="M53" s="770">
        <f>SUM(N47:N52)</f>
        <v>0</v>
      </c>
      <c r="N53" s="807">
        <f>SUM(N48:N52)</f>
        <v>0</v>
      </c>
      <c r="O53" s="380">
        <f>IF(AND(J53&gt;0,J53&lt;1000000),ROUNDUP(J53,-4),IF(AND(J53&gt;=1000000,J53&lt;=100000000),ROUNDUP(J53,-5),IF(J53&gt;100000000,ROUNDUP(J53,-6),0)))</f>
        <v>0</v>
      </c>
      <c r="P53" s="442"/>
      <c r="Q53" s="402"/>
      <c r="R53" s="402"/>
      <c r="S53" s="402"/>
      <c r="T53" s="402"/>
      <c r="U53" s="402"/>
    </row>
    <row r="54" spans="1:61" s="479" customFormat="1" ht="6.75" customHeight="1" x14ac:dyDescent="0.35">
      <c r="A54" s="435"/>
      <c r="B54" s="841"/>
      <c r="C54" s="407"/>
      <c r="D54" s="406"/>
      <c r="E54" s="406"/>
      <c r="F54" s="406"/>
      <c r="G54" s="405"/>
      <c r="H54" s="405"/>
      <c r="I54" s="405"/>
      <c r="J54" s="405"/>
      <c r="K54" s="405"/>
      <c r="L54" s="405"/>
      <c r="M54" s="405"/>
      <c r="N54" s="404"/>
      <c r="O54" s="403"/>
      <c r="P54" s="429"/>
      <c r="Q54" s="402"/>
      <c r="R54" s="402"/>
      <c r="S54" s="402"/>
      <c r="T54" s="402"/>
      <c r="U54" s="402"/>
      <c r="V54" s="441"/>
      <c r="W54" s="441"/>
      <c r="X54" s="441"/>
      <c r="Y54" s="441"/>
      <c r="Z54" s="441"/>
      <c r="AA54" s="441"/>
      <c r="AB54" s="441"/>
      <c r="AC54" s="441"/>
      <c r="AD54" s="441"/>
      <c r="AE54" s="441"/>
      <c r="AF54" s="441"/>
      <c r="AG54" s="441"/>
      <c r="AH54" s="441"/>
      <c r="AI54" s="441"/>
      <c r="AJ54" s="441"/>
      <c r="AK54" s="441"/>
      <c r="AL54" s="441"/>
      <c r="AM54" s="441"/>
      <c r="AN54" s="441"/>
      <c r="AO54" s="441"/>
      <c r="AP54" s="441"/>
      <c r="AQ54" s="441"/>
      <c r="AR54" s="441"/>
      <c r="AS54" s="441"/>
      <c r="AT54" s="441"/>
      <c r="AU54" s="441"/>
      <c r="AV54" s="441"/>
      <c r="AW54" s="441"/>
      <c r="AX54" s="441"/>
      <c r="AY54" s="441"/>
      <c r="AZ54" s="441"/>
      <c r="BA54" s="441"/>
      <c r="BB54" s="441"/>
      <c r="BC54" s="441"/>
      <c r="BD54" s="441"/>
      <c r="BE54" s="441"/>
      <c r="BF54" s="441"/>
      <c r="BG54" s="441"/>
      <c r="BH54" s="441"/>
      <c r="BI54" s="441"/>
    </row>
    <row r="55" spans="1:61" s="457" customFormat="1" ht="23.85" customHeight="1" x14ac:dyDescent="0.25">
      <c r="A55" s="469"/>
      <c r="B55" s="841"/>
      <c r="C55" s="401" t="s">
        <v>739</v>
      </c>
      <c r="D55" s="359"/>
      <c r="E55" s="478"/>
      <c r="F55" s="478"/>
      <c r="G55" s="474"/>
      <c r="H55" s="473"/>
      <c r="I55" s="472">
        <f t="shared" ref="I55:I62" si="10">H55+G55</f>
        <v>0</v>
      </c>
      <c r="J55" s="463">
        <f t="shared" ref="J55:J62" si="11">I55*$M$5</f>
        <v>0</v>
      </c>
      <c r="K55" s="471"/>
      <c r="L55" s="353">
        <f t="shared" ref="L55:L62" si="12">J55*K55</f>
        <v>0</v>
      </c>
      <c r="M55" s="392">
        <f t="shared" ref="M55:M62" si="13">1-K55</f>
        <v>1</v>
      </c>
      <c r="N55" s="470">
        <f t="shared" ref="N55:N62" si="14">M55*J55</f>
        <v>0</v>
      </c>
      <c r="O55" s="460"/>
      <c r="P55" s="459"/>
      <c r="Q55" s="458"/>
      <c r="R55" s="458"/>
      <c r="S55" s="458"/>
      <c r="T55" s="458"/>
      <c r="U55" s="458"/>
    </row>
    <row r="56" spans="1:61" s="457" customFormat="1" ht="23.85" customHeight="1" x14ac:dyDescent="0.2">
      <c r="A56" s="469"/>
      <c r="B56" s="841"/>
      <c r="C56" s="476"/>
      <c r="D56" s="359"/>
      <c r="E56" s="475"/>
      <c r="F56" s="475"/>
      <c r="G56" s="474"/>
      <c r="H56" s="473"/>
      <c r="I56" s="472">
        <f t="shared" si="10"/>
        <v>0</v>
      </c>
      <c r="J56" s="463">
        <f t="shared" si="11"/>
        <v>0</v>
      </c>
      <c r="K56" s="471"/>
      <c r="L56" s="353">
        <f t="shared" si="12"/>
        <v>0</v>
      </c>
      <c r="M56" s="392">
        <f t="shared" si="13"/>
        <v>1</v>
      </c>
      <c r="N56" s="470">
        <f t="shared" si="14"/>
        <v>0</v>
      </c>
      <c r="O56" s="460"/>
      <c r="P56" s="459"/>
      <c r="Q56" s="458"/>
      <c r="R56" s="458"/>
      <c r="S56" s="458"/>
      <c r="T56" s="458"/>
      <c r="U56" s="458"/>
    </row>
    <row r="57" spans="1:61" s="457" customFormat="1" ht="23.85" customHeight="1" x14ac:dyDescent="0.2">
      <c r="A57" s="469"/>
      <c r="B57" s="841"/>
      <c r="C57" s="356" t="s">
        <v>738</v>
      </c>
      <c r="D57" s="359"/>
      <c r="E57" s="475"/>
      <c r="F57" s="475"/>
      <c r="G57" s="474"/>
      <c r="H57" s="473"/>
      <c r="I57" s="472">
        <f t="shared" si="10"/>
        <v>0</v>
      </c>
      <c r="J57" s="463">
        <f t="shared" si="11"/>
        <v>0</v>
      </c>
      <c r="K57" s="471"/>
      <c r="L57" s="353">
        <f t="shared" si="12"/>
        <v>0</v>
      </c>
      <c r="M57" s="392">
        <f t="shared" si="13"/>
        <v>1</v>
      </c>
      <c r="N57" s="470">
        <f t="shared" si="14"/>
        <v>0</v>
      </c>
      <c r="O57" s="460"/>
      <c r="P57" s="459"/>
      <c r="Q57" s="458"/>
      <c r="R57" s="458"/>
      <c r="S57" s="458"/>
      <c r="T57" s="458"/>
      <c r="U57" s="458"/>
    </row>
    <row r="58" spans="1:61" s="457" customFormat="1" ht="23.85" customHeight="1" x14ac:dyDescent="0.2">
      <c r="A58" s="469"/>
      <c r="B58" s="841"/>
      <c r="C58" s="477" t="s">
        <v>737</v>
      </c>
      <c r="D58" s="359"/>
      <c r="E58" s="475"/>
      <c r="F58" s="475"/>
      <c r="G58" s="474"/>
      <c r="H58" s="473"/>
      <c r="I58" s="472">
        <f t="shared" si="10"/>
        <v>0</v>
      </c>
      <c r="J58" s="463">
        <f t="shared" si="11"/>
        <v>0</v>
      </c>
      <c r="K58" s="471"/>
      <c r="L58" s="353">
        <f t="shared" si="12"/>
        <v>0</v>
      </c>
      <c r="M58" s="392">
        <f t="shared" si="13"/>
        <v>1</v>
      </c>
      <c r="N58" s="470">
        <f t="shared" si="14"/>
        <v>0</v>
      </c>
      <c r="O58" s="460"/>
      <c r="P58" s="459"/>
      <c r="Q58" s="458"/>
      <c r="R58" s="458"/>
      <c r="S58" s="458"/>
      <c r="T58" s="458"/>
      <c r="U58" s="458"/>
    </row>
    <row r="59" spans="1:61" s="457" customFormat="1" ht="23.85" customHeight="1" x14ac:dyDescent="0.2">
      <c r="A59" s="469"/>
      <c r="B59" s="841"/>
      <c r="C59" s="477" t="s">
        <v>736</v>
      </c>
      <c r="D59" s="359"/>
      <c r="E59" s="475"/>
      <c r="F59" s="475"/>
      <c r="G59" s="474"/>
      <c r="H59" s="473"/>
      <c r="I59" s="472">
        <f t="shared" si="10"/>
        <v>0</v>
      </c>
      <c r="J59" s="463">
        <f t="shared" si="11"/>
        <v>0</v>
      </c>
      <c r="K59" s="471"/>
      <c r="L59" s="353">
        <f t="shared" si="12"/>
        <v>0</v>
      </c>
      <c r="M59" s="392">
        <f t="shared" si="13"/>
        <v>1</v>
      </c>
      <c r="N59" s="470">
        <f t="shared" si="14"/>
        <v>0</v>
      </c>
      <c r="O59" s="460"/>
      <c r="P59" s="459"/>
      <c r="Q59" s="458"/>
      <c r="R59" s="458"/>
      <c r="S59" s="458"/>
      <c r="T59" s="458"/>
      <c r="U59" s="458"/>
    </row>
    <row r="60" spans="1:61" s="457" customFormat="1" ht="23.85" customHeight="1" x14ac:dyDescent="0.2">
      <c r="A60" s="469"/>
      <c r="B60" s="841"/>
      <c r="C60" s="476" t="s">
        <v>735</v>
      </c>
      <c r="D60" s="359"/>
      <c r="E60" s="475"/>
      <c r="F60" s="475"/>
      <c r="G60" s="474"/>
      <c r="H60" s="473"/>
      <c r="I60" s="472">
        <f t="shared" si="10"/>
        <v>0</v>
      </c>
      <c r="J60" s="463">
        <f t="shared" si="11"/>
        <v>0</v>
      </c>
      <c r="K60" s="471"/>
      <c r="L60" s="353">
        <f t="shared" si="12"/>
        <v>0</v>
      </c>
      <c r="M60" s="392">
        <f t="shared" si="13"/>
        <v>1</v>
      </c>
      <c r="N60" s="470">
        <f t="shared" si="14"/>
        <v>0</v>
      </c>
      <c r="O60" s="460"/>
      <c r="P60" s="459"/>
      <c r="Q60" s="458"/>
      <c r="R60" s="458"/>
      <c r="S60" s="458"/>
      <c r="T60" s="458"/>
      <c r="U60" s="458"/>
    </row>
    <row r="61" spans="1:61" s="457" customFormat="1" ht="23.85" customHeight="1" x14ac:dyDescent="0.2">
      <c r="A61" s="469"/>
      <c r="B61" s="841"/>
      <c r="C61" s="476"/>
      <c r="D61" s="359"/>
      <c r="E61" s="475"/>
      <c r="F61" s="475"/>
      <c r="G61" s="474"/>
      <c r="H61" s="473"/>
      <c r="I61" s="472">
        <f t="shared" si="10"/>
        <v>0</v>
      </c>
      <c r="J61" s="463">
        <f t="shared" si="11"/>
        <v>0</v>
      </c>
      <c r="K61" s="471"/>
      <c r="L61" s="353">
        <f t="shared" si="12"/>
        <v>0</v>
      </c>
      <c r="M61" s="392">
        <f t="shared" si="13"/>
        <v>1</v>
      </c>
      <c r="N61" s="470">
        <f t="shared" si="14"/>
        <v>0</v>
      </c>
      <c r="O61" s="460"/>
      <c r="P61" s="459"/>
      <c r="Q61" s="458"/>
      <c r="R61" s="458"/>
      <c r="S61" s="458"/>
      <c r="T61" s="458"/>
      <c r="U61" s="458"/>
    </row>
    <row r="62" spans="1:61" s="457" customFormat="1" ht="23.85" customHeight="1" thickBot="1" x14ac:dyDescent="0.25">
      <c r="A62" s="469"/>
      <c r="B62" s="841"/>
      <c r="C62" s="468"/>
      <c r="D62" s="359"/>
      <c r="E62" s="467"/>
      <c r="F62" s="467"/>
      <c r="G62" s="466"/>
      <c r="H62" s="465"/>
      <c r="I62" s="464">
        <f t="shared" si="10"/>
        <v>0</v>
      </c>
      <c r="J62" s="463">
        <f t="shared" si="11"/>
        <v>0</v>
      </c>
      <c r="K62" s="462"/>
      <c r="L62" s="386">
        <f t="shared" si="12"/>
        <v>0</v>
      </c>
      <c r="M62" s="412">
        <f t="shared" si="13"/>
        <v>1</v>
      </c>
      <c r="N62" s="461">
        <f t="shared" si="14"/>
        <v>0</v>
      </c>
      <c r="O62" s="460"/>
      <c r="P62" s="459"/>
      <c r="Q62" s="458"/>
      <c r="R62" s="458"/>
      <c r="S62" s="458"/>
      <c r="T62" s="458"/>
      <c r="U62" s="458"/>
    </row>
    <row r="63" spans="1:61" s="441" customFormat="1" ht="23.85" customHeight="1" thickBot="1" x14ac:dyDescent="0.4">
      <c r="A63" s="435"/>
      <c r="B63" s="841"/>
      <c r="C63" s="848" t="s">
        <v>734</v>
      </c>
      <c r="D63" s="849"/>
      <c r="E63" s="850"/>
      <c r="F63" s="456"/>
      <c r="G63" s="455">
        <f>SUM(G55:G62)</f>
        <v>0</v>
      </c>
      <c r="H63" s="454">
        <f>SUM(H55:H62)</f>
        <v>0</v>
      </c>
      <c r="I63" s="454">
        <f>SUM(I55:I62)</f>
        <v>0</v>
      </c>
      <c r="J63" s="453">
        <f>SUM(J55:J62)</f>
        <v>0</v>
      </c>
      <c r="K63" s="842">
        <f>SUM(L55:L62)</f>
        <v>0</v>
      </c>
      <c r="L63" s="843">
        <f>SUM(L56:L62)</f>
        <v>0</v>
      </c>
      <c r="M63" s="770">
        <f>SUM(N55:N62)</f>
        <v>0</v>
      </c>
      <c r="N63" s="844">
        <f>SUM(N56:N62)</f>
        <v>0</v>
      </c>
      <c r="O63" s="380">
        <f>IF(AND(J63&gt;0,J63&lt;1000000),ROUNDUP(J63,-4),IF(AND(J63&gt;=1000000,J63&lt;=100000000),ROUNDUP(J63,-5),IF(J63&gt;100000000,ROUNDUP(J63,-6),0)))</f>
        <v>0</v>
      </c>
      <c r="P63" s="442"/>
      <c r="Q63" s="402"/>
      <c r="R63" s="402"/>
      <c r="S63" s="402"/>
      <c r="T63" s="402"/>
      <c r="U63" s="402"/>
    </row>
    <row r="64" spans="1:61" s="441" customFormat="1" ht="6.75" customHeight="1" thickBot="1" x14ac:dyDescent="0.4">
      <c r="A64" s="435"/>
      <c r="B64" s="851"/>
      <c r="C64" s="452"/>
      <c r="D64" s="451"/>
      <c r="E64" s="451"/>
      <c r="F64" s="451"/>
      <c r="G64" s="450"/>
      <c r="H64" s="450"/>
      <c r="I64" s="450"/>
      <c r="J64" s="450"/>
      <c r="K64" s="449"/>
      <c r="L64" s="449"/>
      <c r="M64" s="449"/>
      <c r="N64" s="449"/>
      <c r="O64" s="448"/>
      <c r="P64" s="429"/>
      <c r="Q64" s="402"/>
      <c r="R64" s="402"/>
      <c r="S64" s="402"/>
      <c r="T64" s="402"/>
      <c r="U64" s="402"/>
    </row>
    <row r="65" spans="1:54" s="441" customFormat="1" ht="28.15" customHeight="1" thickBot="1" x14ac:dyDescent="0.4">
      <c r="A65" s="435"/>
      <c r="B65" s="852"/>
      <c r="C65" s="447" t="s">
        <v>733</v>
      </c>
      <c r="D65" s="445"/>
      <c r="E65" s="446"/>
      <c r="F65" s="445"/>
      <c r="G65" s="444">
        <f>G63+G53+G45</f>
        <v>0</v>
      </c>
      <c r="H65" s="444">
        <f>H63+H53+H45</f>
        <v>0</v>
      </c>
      <c r="I65" s="444">
        <f>I63+I53+I45</f>
        <v>0</v>
      </c>
      <c r="J65" s="443">
        <f>J63+J53+J45</f>
        <v>0</v>
      </c>
      <c r="K65" s="845">
        <f>K63+K53+K45</f>
        <v>0</v>
      </c>
      <c r="L65" s="846"/>
      <c r="M65" s="845">
        <f>M63+M53+M45</f>
        <v>0</v>
      </c>
      <c r="N65" s="847"/>
      <c r="O65" s="380">
        <f>O45+O53+O63</f>
        <v>0</v>
      </c>
      <c r="P65" s="442"/>
      <c r="Q65" s="307" t="s">
        <v>732</v>
      </c>
      <c r="R65" s="402"/>
      <c r="S65" s="402"/>
      <c r="T65" s="402"/>
      <c r="U65" s="402"/>
    </row>
    <row r="66" spans="1:54" s="428" customFormat="1" ht="1.5" customHeight="1" thickBot="1" x14ac:dyDescent="0.4">
      <c r="A66" s="435"/>
      <c r="B66" s="440"/>
      <c r="C66" s="439"/>
      <c r="D66" s="438"/>
      <c r="E66" s="438"/>
      <c r="F66" s="437"/>
      <c r="G66" s="437"/>
      <c r="H66" s="437"/>
      <c r="I66" s="437"/>
      <c r="J66" s="437"/>
      <c r="K66" s="437"/>
      <c r="L66" s="437"/>
      <c r="M66" s="437"/>
      <c r="N66" s="436"/>
      <c r="O66" s="429"/>
      <c r="P66" s="373"/>
      <c r="Q66" s="373"/>
      <c r="R66" s="373"/>
      <c r="S66" s="373"/>
      <c r="T66" s="373"/>
    </row>
    <row r="67" spans="1:54" s="428" customFormat="1" ht="17.25" customHeight="1" thickBot="1" x14ac:dyDescent="0.4">
      <c r="A67" s="435"/>
      <c r="B67" s="434"/>
      <c r="C67" s="433"/>
      <c r="D67" s="432"/>
      <c r="E67" s="432"/>
      <c r="F67" s="431"/>
      <c r="G67" s="431"/>
      <c r="H67" s="431"/>
      <c r="I67" s="431"/>
      <c r="J67" s="431"/>
      <c r="K67" s="431"/>
      <c r="L67" s="431"/>
      <c r="M67" s="431"/>
      <c r="N67" s="430"/>
      <c r="O67" s="429"/>
      <c r="P67" s="373"/>
      <c r="Q67" s="373"/>
      <c r="R67" s="373"/>
      <c r="S67" s="373"/>
      <c r="T67" s="373"/>
    </row>
    <row r="68" spans="1:54" ht="29.25" customHeight="1" thickBot="1" x14ac:dyDescent="0.3">
      <c r="A68" s="427"/>
      <c r="B68" s="339" t="s">
        <v>731</v>
      </c>
      <c r="C68" s="338"/>
      <c r="D68" s="338"/>
      <c r="E68" s="338"/>
      <c r="F68" s="337">
        <f>G65+G32+G25</f>
        <v>3168113.3050000002</v>
      </c>
      <c r="G68" s="337">
        <f>H65+H32+H25</f>
        <v>0</v>
      </c>
      <c r="H68" s="337">
        <f>I65+I32+I25</f>
        <v>3168113.3050000002</v>
      </c>
      <c r="I68" s="337">
        <f>J65+J32+J25</f>
        <v>3278997.2706750003</v>
      </c>
      <c r="J68" s="769">
        <f>K65+K32+K25</f>
        <v>3278997.2706750003</v>
      </c>
      <c r="K68" s="762"/>
      <c r="L68" s="769">
        <f>M65+M32+M25</f>
        <v>0</v>
      </c>
      <c r="M68" s="762"/>
      <c r="N68" s="372">
        <f>O65+O33</f>
        <v>3380000</v>
      </c>
      <c r="O68" s="424"/>
      <c r="Q68" s="321"/>
      <c r="R68" s="321"/>
      <c r="S68" s="321"/>
      <c r="T68" s="321"/>
      <c r="U68" s="321"/>
      <c r="V68" s="321"/>
      <c r="W68" s="321"/>
    </row>
    <row r="69" spans="1:54" s="292" customFormat="1" ht="16.5" customHeight="1" x14ac:dyDescent="0.25">
      <c r="A69" s="426"/>
      <c r="B69" s="425"/>
      <c r="C69" s="425"/>
      <c r="D69" s="425"/>
      <c r="E69" s="425"/>
      <c r="F69" s="424"/>
      <c r="G69" s="424"/>
      <c r="H69" s="424"/>
      <c r="I69" s="424"/>
      <c r="J69" s="424"/>
      <c r="K69" s="424"/>
      <c r="L69" s="424"/>
      <c r="M69" s="424"/>
      <c r="N69" s="424"/>
      <c r="O69" s="424"/>
      <c r="P69" s="298"/>
      <c r="Q69" s="305"/>
      <c r="R69" s="305"/>
      <c r="S69" s="305"/>
      <c r="T69" s="305"/>
      <c r="U69" s="305"/>
      <c r="V69" s="305"/>
      <c r="W69" s="305"/>
    </row>
    <row r="70" spans="1:54" s="296" customFormat="1" ht="16.5" customHeight="1" thickBot="1" x14ac:dyDescent="0.3">
      <c r="B70" s="423"/>
      <c r="C70" s="423"/>
      <c r="D70" s="423"/>
      <c r="E70" s="423"/>
      <c r="F70" s="294"/>
      <c r="G70" s="294"/>
      <c r="H70" s="294"/>
      <c r="I70" s="294"/>
      <c r="J70" s="294"/>
      <c r="K70" s="294"/>
      <c r="L70" s="294"/>
      <c r="M70" s="294"/>
      <c r="N70" s="294"/>
      <c r="O70" s="294"/>
      <c r="P70" s="298"/>
      <c r="Q70" s="297"/>
      <c r="R70" s="297"/>
      <c r="S70" s="297"/>
      <c r="T70" s="297"/>
      <c r="U70" s="297"/>
      <c r="V70" s="297"/>
      <c r="W70" s="297"/>
    </row>
    <row r="71" spans="1:54" ht="68.25" customHeight="1" x14ac:dyDescent="0.25">
      <c r="A71" s="281"/>
      <c r="B71" s="808" t="s">
        <v>696</v>
      </c>
      <c r="C71" s="786" t="s">
        <v>695</v>
      </c>
      <c r="D71" s="786" t="s">
        <v>694</v>
      </c>
      <c r="E71" s="786" t="s">
        <v>693</v>
      </c>
      <c r="F71" s="786" t="s">
        <v>692</v>
      </c>
      <c r="G71" s="791" t="s">
        <v>691</v>
      </c>
      <c r="H71" s="791" t="s">
        <v>690</v>
      </c>
      <c r="I71" s="813" t="s">
        <v>689</v>
      </c>
      <c r="J71" s="816" t="s">
        <v>730</v>
      </c>
      <c r="K71" s="817"/>
      <c r="L71" s="817"/>
      <c r="M71" s="818"/>
      <c r="N71" s="853" t="s">
        <v>709</v>
      </c>
      <c r="O71" s="328"/>
      <c r="P71" s="322"/>
      <c r="Q71" s="371" t="s">
        <v>729</v>
      </c>
      <c r="R71" s="370"/>
      <c r="S71" s="370"/>
      <c r="T71" s="370"/>
      <c r="U71" s="370"/>
      <c r="V71" s="370"/>
      <c r="W71" s="370"/>
      <c r="X71" s="370"/>
      <c r="Y71" s="369"/>
      <c r="Z71" s="369"/>
      <c r="AA71" s="369"/>
      <c r="AB71" s="369"/>
      <c r="AC71" s="368"/>
      <c r="AD71" s="368"/>
      <c r="AE71" s="368"/>
      <c r="AF71" s="368"/>
      <c r="AG71" s="368"/>
      <c r="AH71" s="368"/>
      <c r="AI71" s="368"/>
      <c r="AJ71" s="368"/>
      <c r="AK71" s="368"/>
      <c r="AL71" s="367"/>
    </row>
    <row r="72" spans="1:54" ht="68.25" customHeight="1" x14ac:dyDescent="0.3">
      <c r="A72" s="281"/>
      <c r="B72" s="809"/>
      <c r="C72" s="789"/>
      <c r="D72" s="789"/>
      <c r="E72" s="789"/>
      <c r="F72" s="789"/>
      <c r="G72" s="792"/>
      <c r="H72" s="792"/>
      <c r="I72" s="814"/>
      <c r="J72" s="765" t="s">
        <v>707</v>
      </c>
      <c r="K72" s="766"/>
      <c r="L72" s="767" t="s">
        <v>706</v>
      </c>
      <c r="M72" s="768"/>
      <c r="N72" s="854"/>
      <c r="O72" s="328"/>
      <c r="P72" s="327"/>
      <c r="Q72" s="774" t="s">
        <v>728</v>
      </c>
      <c r="R72" s="780"/>
      <c r="S72" s="780"/>
      <c r="T72" s="780"/>
      <c r="U72" s="780"/>
      <c r="V72" s="780"/>
      <c r="W72" s="780"/>
      <c r="X72" s="780"/>
      <c r="Y72" s="780"/>
      <c r="Z72" s="780"/>
      <c r="AA72" s="780"/>
      <c r="AB72" s="780"/>
      <c r="AC72" s="780"/>
      <c r="AD72" s="780"/>
      <c r="AE72" s="780"/>
      <c r="AF72" s="780"/>
      <c r="AG72" s="780"/>
      <c r="AH72" s="780"/>
      <c r="AI72" s="780"/>
      <c r="AJ72" s="780"/>
      <c r="AK72" s="780"/>
      <c r="AL72" s="781"/>
      <c r="AM72" s="281"/>
      <c r="AN72" s="281"/>
      <c r="AO72" s="281"/>
      <c r="AP72" s="281"/>
      <c r="AQ72" s="281"/>
      <c r="AR72" s="281"/>
      <c r="AS72" s="281"/>
      <c r="AT72" s="281"/>
      <c r="AU72" s="281"/>
      <c r="AV72" s="281"/>
      <c r="AW72" s="281"/>
      <c r="AX72" s="281"/>
      <c r="AY72" s="281"/>
      <c r="AZ72" s="281"/>
      <c r="BA72" s="281"/>
      <c r="BB72" s="281"/>
    </row>
    <row r="73" spans="1:54" ht="28.5" customHeight="1" thickBot="1" x14ac:dyDescent="0.3">
      <c r="A73" s="281"/>
      <c r="B73" s="810"/>
      <c r="C73" s="790"/>
      <c r="D73" s="790"/>
      <c r="E73" s="790"/>
      <c r="F73" s="790"/>
      <c r="G73" s="790"/>
      <c r="H73" s="793"/>
      <c r="I73" s="815"/>
      <c r="J73" s="366" t="s">
        <v>704</v>
      </c>
      <c r="K73" s="365"/>
      <c r="L73" s="365" t="s">
        <v>704</v>
      </c>
      <c r="M73" s="364"/>
      <c r="N73" s="855"/>
      <c r="O73" s="323"/>
      <c r="P73" s="322"/>
      <c r="Q73" s="782"/>
      <c r="R73" s="783"/>
      <c r="S73" s="783"/>
      <c r="T73" s="783"/>
      <c r="U73" s="783"/>
      <c r="V73" s="783"/>
      <c r="W73" s="783"/>
      <c r="X73" s="783"/>
      <c r="Y73" s="783"/>
      <c r="Z73" s="783"/>
      <c r="AA73" s="783"/>
      <c r="AB73" s="783"/>
      <c r="AC73" s="783"/>
      <c r="AD73" s="783"/>
      <c r="AE73" s="783"/>
      <c r="AF73" s="783"/>
      <c r="AG73" s="783"/>
      <c r="AH73" s="783"/>
      <c r="AI73" s="783"/>
      <c r="AJ73" s="783"/>
      <c r="AK73" s="783"/>
      <c r="AL73" s="784"/>
    </row>
    <row r="74" spans="1:54" s="292" customFormat="1" ht="27.95" customHeight="1" x14ac:dyDescent="0.25">
      <c r="B74" s="839" t="s">
        <v>727</v>
      </c>
      <c r="C74" s="422" t="s">
        <v>726</v>
      </c>
      <c r="D74" s="398"/>
      <c r="E74" s="398" t="s">
        <v>718</v>
      </c>
      <c r="F74" s="398"/>
      <c r="G74" s="398"/>
      <c r="H74" s="398"/>
      <c r="I74" s="400"/>
      <c r="J74" s="399"/>
      <c r="K74" s="398"/>
      <c r="L74" s="398"/>
      <c r="M74" s="397"/>
      <c r="N74" s="396"/>
      <c r="O74" s="395"/>
      <c r="P74" s="306"/>
      <c r="Q74" s="421"/>
      <c r="R74" s="420"/>
      <c r="S74" s="420"/>
      <c r="T74" s="420"/>
      <c r="U74" s="420"/>
      <c r="V74" s="420"/>
      <c r="W74" s="420"/>
      <c r="X74" s="420"/>
      <c r="Y74" s="416"/>
      <c r="Z74" s="416"/>
      <c r="AA74" s="416"/>
      <c r="AB74" s="416"/>
      <c r="AC74" s="281"/>
      <c r="AD74" s="281"/>
      <c r="AE74" s="281"/>
      <c r="AF74" s="281"/>
      <c r="AG74" s="281"/>
      <c r="AH74" s="281"/>
      <c r="AI74" s="281"/>
      <c r="AJ74" s="281"/>
      <c r="AK74" s="281"/>
      <c r="AL74" s="281"/>
    </row>
    <row r="75" spans="1:54" s="292" customFormat="1" ht="13.9" customHeight="1" x14ac:dyDescent="0.2">
      <c r="A75" s="279"/>
      <c r="B75" s="840"/>
      <c r="C75" s="394"/>
      <c r="D75" s="359"/>
      <c r="E75" s="359"/>
      <c r="F75" s="316"/>
      <c r="G75" s="393"/>
      <c r="H75" s="353">
        <f t="shared" ref="H75:H88" si="15">G75+F75</f>
        <v>0</v>
      </c>
      <c r="I75" s="385">
        <f t="shared" ref="I75:I88" si="16">H75*$M$5</f>
        <v>0</v>
      </c>
      <c r="J75" s="357"/>
      <c r="K75" s="353">
        <f t="shared" ref="K75:K88" si="17">I75*J75</f>
        <v>0</v>
      </c>
      <c r="L75" s="392">
        <f t="shared" ref="L75:L88" si="18">1-J75</f>
        <v>1</v>
      </c>
      <c r="M75" s="391">
        <f t="shared" ref="M75:M88" si="19">L75*I75</f>
        <v>0</v>
      </c>
      <c r="N75" s="347"/>
      <c r="O75" s="358"/>
      <c r="P75" s="410"/>
      <c r="Q75" s="419"/>
      <c r="R75" s="418"/>
      <c r="S75" s="418"/>
      <c r="T75" s="418"/>
      <c r="U75" s="418"/>
      <c r="V75" s="418"/>
      <c r="W75" s="417"/>
      <c r="X75" s="416"/>
      <c r="Y75" s="416"/>
      <c r="Z75" s="416"/>
      <c r="AA75" s="416"/>
      <c r="AB75" s="416"/>
      <c r="AC75" s="281"/>
      <c r="AD75" s="281"/>
      <c r="AE75" s="281"/>
      <c r="AF75" s="281"/>
      <c r="AG75" s="281"/>
      <c r="AH75" s="281"/>
      <c r="AI75" s="281"/>
      <c r="AJ75" s="281"/>
      <c r="AK75" s="281"/>
      <c r="AL75" s="281"/>
    </row>
    <row r="76" spans="1:54" s="292" customFormat="1" ht="13.9" customHeight="1" x14ac:dyDescent="0.2">
      <c r="A76" s="279"/>
      <c r="B76" s="841"/>
      <c r="C76" s="394"/>
      <c r="D76" s="359"/>
      <c r="E76" s="359"/>
      <c r="F76" s="316"/>
      <c r="G76" s="393"/>
      <c r="H76" s="353">
        <f t="shared" si="15"/>
        <v>0</v>
      </c>
      <c r="I76" s="385">
        <f t="shared" si="16"/>
        <v>0</v>
      </c>
      <c r="J76" s="357"/>
      <c r="K76" s="353">
        <f t="shared" si="17"/>
        <v>0</v>
      </c>
      <c r="L76" s="392">
        <f t="shared" si="18"/>
        <v>1</v>
      </c>
      <c r="M76" s="391">
        <f t="shared" si="19"/>
        <v>0</v>
      </c>
      <c r="N76" s="347"/>
      <c r="O76" s="358"/>
      <c r="P76" s="410"/>
      <c r="Q76" s="297"/>
      <c r="R76" s="297"/>
      <c r="S76" s="297"/>
      <c r="T76" s="297"/>
      <c r="U76" s="297"/>
      <c r="V76" s="297"/>
      <c r="W76" s="297"/>
      <c r="X76" s="296"/>
      <c r="Y76" s="296"/>
      <c r="Z76" s="296"/>
      <c r="AA76" s="296"/>
      <c r="AB76" s="296"/>
      <c r="AC76" s="296"/>
      <c r="AD76" s="296"/>
      <c r="AE76" s="296"/>
      <c r="AF76" s="296"/>
      <c r="AG76" s="296"/>
      <c r="AH76" s="296"/>
      <c r="AI76" s="296"/>
      <c r="AJ76" s="296"/>
      <c r="AK76" s="296"/>
      <c r="AL76" s="296"/>
    </row>
    <row r="77" spans="1:54" s="292" customFormat="1" ht="13.9" customHeight="1" x14ac:dyDescent="0.2">
      <c r="A77" s="279"/>
      <c r="B77" s="841"/>
      <c r="C77" s="394" t="s">
        <v>725</v>
      </c>
      <c r="D77" s="359"/>
      <c r="E77" s="359"/>
      <c r="F77" s="316">
        <f>I25*0.12</f>
        <v>360354.12</v>
      </c>
      <c r="G77" s="393"/>
      <c r="H77" s="353">
        <f t="shared" si="15"/>
        <v>360354.12</v>
      </c>
      <c r="I77" s="385">
        <f t="shared" si="16"/>
        <v>372966.51420000003</v>
      </c>
      <c r="J77" s="357"/>
      <c r="K77" s="353">
        <f t="shared" si="17"/>
        <v>0</v>
      </c>
      <c r="L77" s="392">
        <f t="shared" si="18"/>
        <v>1</v>
      </c>
      <c r="M77" s="391">
        <f t="shared" si="19"/>
        <v>372966.51420000003</v>
      </c>
      <c r="N77" s="347"/>
      <c r="O77" s="358"/>
      <c r="P77" s="410"/>
      <c r="Q77" s="297"/>
      <c r="R77" s="297"/>
      <c r="S77" s="297"/>
      <c r="T77" s="297"/>
      <c r="U77" s="297"/>
      <c r="V77" s="297"/>
      <c r="W77" s="297"/>
      <c r="X77" s="296"/>
      <c r="Y77" s="296"/>
      <c r="Z77" s="296"/>
      <c r="AA77" s="296"/>
      <c r="AB77" s="296"/>
      <c r="AC77" s="296"/>
      <c r="AD77" s="296"/>
      <c r="AE77" s="296"/>
      <c r="AF77" s="296"/>
      <c r="AG77" s="296"/>
      <c r="AH77" s="296"/>
      <c r="AI77" s="296"/>
      <c r="AJ77" s="296"/>
      <c r="AK77" s="296"/>
      <c r="AL77" s="296"/>
    </row>
    <row r="78" spans="1:54" s="292" customFormat="1" ht="13.9" customHeight="1" x14ac:dyDescent="0.2">
      <c r="A78" s="279"/>
      <c r="B78" s="841"/>
      <c r="C78" s="394"/>
      <c r="D78" s="359"/>
      <c r="E78" s="359"/>
      <c r="F78" s="316"/>
      <c r="G78" s="393"/>
      <c r="H78" s="353">
        <f t="shared" si="15"/>
        <v>0</v>
      </c>
      <c r="I78" s="385">
        <f t="shared" si="16"/>
        <v>0</v>
      </c>
      <c r="J78" s="357"/>
      <c r="K78" s="353">
        <f t="shared" si="17"/>
        <v>0</v>
      </c>
      <c r="L78" s="392">
        <f t="shared" si="18"/>
        <v>1</v>
      </c>
      <c r="M78" s="391">
        <f t="shared" si="19"/>
        <v>0</v>
      </c>
      <c r="N78" s="347"/>
      <c r="O78" s="358"/>
      <c r="P78" s="410"/>
      <c r="Q78" s="283"/>
      <c r="R78" s="282"/>
      <c r="S78" s="282"/>
      <c r="T78" s="282"/>
      <c r="U78" s="297"/>
      <c r="V78" s="297"/>
      <c r="W78" s="297"/>
      <c r="X78" s="296"/>
      <c r="Y78" s="296"/>
      <c r="Z78" s="296"/>
      <c r="AA78" s="296"/>
      <c r="AB78" s="296"/>
      <c r="AC78" s="296"/>
      <c r="AD78" s="296"/>
      <c r="AE78" s="296"/>
      <c r="AF78" s="296"/>
      <c r="AG78" s="296"/>
      <c r="AH78" s="296"/>
      <c r="AI78" s="296"/>
      <c r="AJ78" s="296"/>
      <c r="AK78" s="296"/>
      <c r="AL78" s="296"/>
    </row>
    <row r="79" spans="1:54" s="292" customFormat="1" ht="13.9" customHeight="1" x14ac:dyDescent="0.2">
      <c r="A79" s="279"/>
      <c r="B79" s="841"/>
      <c r="C79" s="394"/>
      <c r="D79" s="359"/>
      <c r="E79" s="359"/>
      <c r="F79" s="316"/>
      <c r="G79" s="393"/>
      <c r="H79" s="353">
        <f t="shared" si="15"/>
        <v>0</v>
      </c>
      <c r="I79" s="385">
        <f t="shared" si="16"/>
        <v>0</v>
      </c>
      <c r="J79" s="357"/>
      <c r="K79" s="353">
        <f t="shared" si="17"/>
        <v>0</v>
      </c>
      <c r="L79" s="392">
        <f t="shared" si="18"/>
        <v>1</v>
      </c>
      <c r="M79" s="391">
        <f t="shared" si="19"/>
        <v>0</v>
      </c>
      <c r="N79" s="347"/>
      <c r="O79" s="358"/>
      <c r="P79" s="410"/>
      <c r="Q79" s="415" t="s">
        <v>724</v>
      </c>
      <c r="R79" s="282"/>
      <c r="S79" s="282"/>
      <c r="T79" s="282"/>
      <c r="U79" s="297"/>
      <c r="V79" s="297"/>
      <c r="W79" s="297"/>
      <c r="X79" s="296"/>
      <c r="Y79" s="296"/>
      <c r="Z79" s="296"/>
      <c r="AA79" s="296"/>
      <c r="AB79" s="296"/>
      <c r="AC79" s="296"/>
      <c r="AD79" s="296"/>
      <c r="AE79" s="296"/>
      <c r="AF79" s="296"/>
      <c r="AG79" s="296"/>
      <c r="AH79" s="296"/>
      <c r="AI79" s="296"/>
      <c r="AJ79" s="296"/>
      <c r="AK79" s="296"/>
      <c r="AL79" s="296"/>
    </row>
    <row r="80" spans="1:54" s="292" customFormat="1" ht="13.9" customHeight="1" x14ac:dyDescent="0.2">
      <c r="A80" s="279"/>
      <c r="B80" s="841"/>
      <c r="C80" s="394"/>
      <c r="D80" s="359"/>
      <c r="E80" s="359"/>
      <c r="F80" s="316"/>
      <c r="G80" s="393"/>
      <c r="H80" s="353">
        <f t="shared" si="15"/>
        <v>0</v>
      </c>
      <c r="I80" s="385">
        <f t="shared" si="16"/>
        <v>0</v>
      </c>
      <c r="J80" s="357"/>
      <c r="K80" s="353">
        <f t="shared" si="17"/>
        <v>0</v>
      </c>
      <c r="L80" s="392">
        <f t="shared" si="18"/>
        <v>1</v>
      </c>
      <c r="M80" s="391">
        <f t="shared" si="19"/>
        <v>0</v>
      </c>
      <c r="N80" s="347"/>
      <c r="O80" s="358"/>
      <c r="P80" s="410"/>
      <c r="Q80" s="415" t="s">
        <v>723</v>
      </c>
      <c r="R80" s="282"/>
      <c r="S80" s="282"/>
      <c r="T80" s="282"/>
      <c r="U80" s="297"/>
      <c r="V80" s="297"/>
      <c r="W80" s="297"/>
      <c r="X80" s="296"/>
      <c r="Y80" s="296"/>
      <c r="Z80" s="296"/>
      <c r="AA80" s="296"/>
      <c r="AB80" s="296"/>
      <c r="AC80" s="296"/>
      <c r="AD80" s="296"/>
      <c r="AE80" s="296"/>
      <c r="AF80" s="296"/>
      <c r="AG80" s="296"/>
      <c r="AH80" s="296"/>
      <c r="AI80" s="296"/>
      <c r="AJ80" s="296"/>
      <c r="AK80" s="296"/>
      <c r="AL80" s="296"/>
    </row>
    <row r="81" spans="1:38" s="292" customFormat="1" ht="13.9" customHeight="1" x14ac:dyDescent="0.2">
      <c r="A81" s="279"/>
      <c r="B81" s="841"/>
      <c r="C81" s="414"/>
      <c r="D81" s="359"/>
      <c r="E81" s="359"/>
      <c r="F81" s="316"/>
      <c r="G81" s="393"/>
      <c r="H81" s="353">
        <f t="shared" si="15"/>
        <v>0</v>
      </c>
      <c r="I81" s="385">
        <f t="shared" si="16"/>
        <v>0</v>
      </c>
      <c r="J81" s="357"/>
      <c r="K81" s="353">
        <f t="shared" si="17"/>
        <v>0</v>
      </c>
      <c r="L81" s="392">
        <f t="shared" si="18"/>
        <v>1</v>
      </c>
      <c r="M81" s="391">
        <f t="shared" si="19"/>
        <v>0</v>
      </c>
      <c r="N81" s="347"/>
      <c r="O81" s="358"/>
      <c r="P81" s="410"/>
      <c r="Q81" s="297"/>
      <c r="R81" s="297"/>
      <c r="S81" s="297"/>
      <c r="T81" s="297"/>
      <c r="U81" s="297"/>
      <c r="V81" s="297"/>
      <c r="W81" s="297"/>
      <c r="X81" s="296"/>
      <c r="Y81" s="296"/>
      <c r="Z81" s="296"/>
      <c r="AA81" s="296"/>
      <c r="AB81" s="296"/>
      <c r="AC81" s="296"/>
      <c r="AD81" s="296"/>
      <c r="AE81" s="296"/>
      <c r="AF81" s="296"/>
      <c r="AG81" s="296"/>
      <c r="AH81" s="296"/>
      <c r="AI81" s="296"/>
      <c r="AJ81" s="296"/>
      <c r="AK81" s="296"/>
      <c r="AL81" s="296"/>
    </row>
    <row r="82" spans="1:38" s="292" customFormat="1" ht="13.9" customHeight="1" x14ac:dyDescent="0.2">
      <c r="A82" s="279"/>
      <c r="B82" s="841"/>
      <c r="C82" s="414"/>
      <c r="D82" s="359"/>
      <c r="E82" s="359"/>
      <c r="F82" s="316"/>
      <c r="G82" s="393"/>
      <c r="H82" s="353">
        <f t="shared" si="15"/>
        <v>0</v>
      </c>
      <c r="I82" s="385">
        <f t="shared" si="16"/>
        <v>0</v>
      </c>
      <c r="J82" s="357"/>
      <c r="K82" s="353">
        <f t="shared" si="17"/>
        <v>0</v>
      </c>
      <c r="L82" s="392">
        <f t="shared" si="18"/>
        <v>1</v>
      </c>
      <c r="M82" s="391">
        <f t="shared" si="19"/>
        <v>0</v>
      </c>
      <c r="N82" s="347"/>
      <c r="O82" s="358"/>
      <c r="P82" s="410"/>
      <c r="Q82" s="297"/>
      <c r="R82" s="297"/>
      <c r="S82" s="297"/>
      <c r="T82" s="297"/>
      <c r="U82" s="297"/>
      <c r="V82" s="297"/>
      <c r="W82" s="297"/>
      <c r="X82" s="296"/>
      <c r="Y82" s="296"/>
      <c r="Z82" s="296"/>
      <c r="AA82" s="296"/>
      <c r="AB82" s="296"/>
      <c r="AC82" s="296"/>
      <c r="AD82" s="296"/>
      <c r="AE82" s="296"/>
      <c r="AF82" s="296"/>
      <c r="AG82" s="296"/>
      <c r="AH82" s="296"/>
      <c r="AI82" s="296"/>
      <c r="AJ82" s="296"/>
      <c r="AK82" s="296"/>
      <c r="AL82" s="296"/>
    </row>
    <row r="83" spans="1:38" s="292" customFormat="1" ht="13.9" customHeight="1" x14ac:dyDescent="0.2">
      <c r="A83" s="279"/>
      <c r="B83" s="841"/>
      <c r="C83" s="414"/>
      <c r="D83" s="359"/>
      <c r="E83" s="359"/>
      <c r="F83" s="316"/>
      <c r="G83" s="393"/>
      <c r="H83" s="353">
        <f t="shared" si="15"/>
        <v>0</v>
      </c>
      <c r="I83" s="385">
        <f t="shared" si="16"/>
        <v>0</v>
      </c>
      <c r="J83" s="357"/>
      <c r="K83" s="353">
        <f t="shared" si="17"/>
        <v>0</v>
      </c>
      <c r="L83" s="392">
        <f t="shared" si="18"/>
        <v>1</v>
      </c>
      <c r="M83" s="391">
        <f t="shared" si="19"/>
        <v>0</v>
      </c>
      <c r="N83" s="347"/>
      <c r="O83" s="358"/>
      <c r="P83" s="321"/>
      <c r="Q83" s="305"/>
      <c r="R83" s="305"/>
      <c r="S83" s="305"/>
      <c r="T83" s="305"/>
      <c r="U83" s="305"/>
      <c r="V83" s="305"/>
      <c r="W83" s="305"/>
    </row>
    <row r="84" spans="1:38" s="292" customFormat="1" ht="13.9" customHeight="1" x14ac:dyDescent="0.2">
      <c r="A84" s="279"/>
      <c r="B84" s="841"/>
      <c r="C84" s="414"/>
      <c r="D84" s="359"/>
      <c r="E84" s="359"/>
      <c r="F84" s="316"/>
      <c r="G84" s="393"/>
      <c r="H84" s="353">
        <f t="shared" si="15"/>
        <v>0</v>
      </c>
      <c r="I84" s="385">
        <f t="shared" si="16"/>
        <v>0</v>
      </c>
      <c r="J84" s="357"/>
      <c r="K84" s="353">
        <f t="shared" si="17"/>
        <v>0</v>
      </c>
      <c r="L84" s="392">
        <f t="shared" si="18"/>
        <v>1</v>
      </c>
      <c r="M84" s="391">
        <f t="shared" si="19"/>
        <v>0</v>
      </c>
      <c r="N84" s="347"/>
      <c r="O84" s="358"/>
      <c r="P84" s="321"/>
      <c r="Q84" s="305"/>
      <c r="R84" s="305"/>
      <c r="S84" s="305"/>
      <c r="T84" s="305"/>
      <c r="U84" s="305"/>
      <c r="V84" s="305"/>
      <c r="W84" s="305"/>
    </row>
    <row r="85" spans="1:38" s="292" customFormat="1" ht="13.9" customHeight="1" x14ac:dyDescent="0.2">
      <c r="A85" s="279"/>
      <c r="B85" s="841"/>
      <c r="C85" s="414"/>
      <c r="D85" s="359"/>
      <c r="E85" s="359"/>
      <c r="F85" s="316"/>
      <c r="G85" s="393"/>
      <c r="H85" s="353">
        <f t="shared" si="15"/>
        <v>0</v>
      </c>
      <c r="I85" s="385">
        <f t="shared" si="16"/>
        <v>0</v>
      </c>
      <c r="J85" s="357"/>
      <c r="K85" s="353">
        <f t="shared" si="17"/>
        <v>0</v>
      </c>
      <c r="L85" s="392">
        <f t="shared" si="18"/>
        <v>1</v>
      </c>
      <c r="M85" s="391">
        <f t="shared" si="19"/>
        <v>0</v>
      </c>
      <c r="N85" s="347"/>
      <c r="O85" s="358"/>
      <c r="P85" s="321"/>
      <c r="Q85" s="305"/>
      <c r="R85" s="305"/>
      <c r="S85" s="305"/>
      <c r="T85" s="305"/>
      <c r="U85" s="305"/>
      <c r="V85" s="305"/>
      <c r="W85" s="305"/>
    </row>
    <row r="86" spans="1:38" s="292" customFormat="1" ht="13.9" customHeight="1" x14ac:dyDescent="0.2">
      <c r="A86" s="279"/>
      <c r="B86" s="841"/>
      <c r="C86" s="414"/>
      <c r="D86" s="359"/>
      <c r="E86" s="359"/>
      <c r="F86" s="316"/>
      <c r="G86" s="393"/>
      <c r="H86" s="353">
        <f t="shared" si="15"/>
        <v>0</v>
      </c>
      <c r="I86" s="385">
        <f t="shared" si="16"/>
        <v>0</v>
      </c>
      <c r="J86" s="357"/>
      <c r="K86" s="353">
        <f t="shared" si="17"/>
        <v>0</v>
      </c>
      <c r="L86" s="392">
        <f t="shared" si="18"/>
        <v>1</v>
      </c>
      <c r="M86" s="391">
        <f t="shared" si="19"/>
        <v>0</v>
      </c>
      <c r="N86" s="347"/>
      <c r="O86" s="358"/>
      <c r="P86" s="410"/>
      <c r="Q86" s="305"/>
      <c r="R86" s="305"/>
      <c r="S86" s="305"/>
      <c r="T86" s="305"/>
      <c r="U86" s="305"/>
      <c r="V86" s="305"/>
      <c r="W86" s="305"/>
    </row>
    <row r="87" spans="1:38" s="292" customFormat="1" ht="13.9" customHeight="1" x14ac:dyDescent="0.2">
      <c r="A87" s="279"/>
      <c r="B87" s="841"/>
      <c r="C87" s="414"/>
      <c r="D87" s="359"/>
      <c r="E87" s="359"/>
      <c r="F87" s="316"/>
      <c r="G87" s="393"/>
      <c r="H87" s="353">
        <f t="shared" si="15"/>
        <v>0</v>
      </c>
      <c r="I87" s="385">
        <f t="shared" si="16"/>
        <v>0</v>
      </c>
      <c r="J87" s="357"/>
      <c r="K87" s="353">
        <f t="shared" si="17"/>
        <v>0</v>
      </c>
      <c r="L87" s="392">
        <f t="shared" si="18"/>
        <v>1</v>
      </c>
      <c r="M87" s="391">
        <f t="shared" si="19"/>
        <v>0</v>
      </c>
      <c r="N87" s="347"/>
      <c r="O87" s="358"/>
      <c r="P87" s="410"/>
      <c r="Q87" s="305"/>
      <c r="R87" s="305"/>
      <c r="S87" s="305"/>
      <c r="T87" s="305"/>
      <c r="U87" s="305"/>
      <c r="V87" s="305"/>
      <c r="W87" s="305"/>
    </row>
    <row r="88" spans="1:38" s="292" customFormat="1" ht="13.9" customHeight="1" thickBot="1" x14ac:dyDescent="0.25">
      <c r="A88" s="279"/>
      <c r="B88" s="841"/>
      <c r="C88" s="390"/>
      <c r="D88" s="389"/>
      <c r="E88" s="389"/>
      <c r="F88" s="388"/>
      <c r="G88" s="387"/>
      <c r="H88" s="386">
        <f t="shared" si="15"/>
        <v>0</v>
      </c>
      <c r="I88" s="385">
        <f t="shared" si="16"/>
        <v>0</v>
      </c>
      <c r="J88" s="413"/>
      <c r="K88" s="386">
        <f t="shared" si="17"/>
        <v>0</v>
      </c>
      <c r="L88" s="412">
        <f t="shared" si="18"/>
        <v>1</v>
      </c>
      <c r="M88" s="411">
        <f t="shared" si="19"/>
        <v>0</v>
      </c>
      <c r="N88" s="347"/>
      <c r="O88" s="358"/>
      <c r="P88" s="410"/>
      <c r="Q88" s="305"/>
      <c r="R88" s="305"/>
      <c r="S88" s="305"/>
      <c r="T88" s="305"/>
      <c r="U88" s="305"/>
      <c r="V88" s="305"/>
      <c r="W88" s="305"/>
    </row>
    <row r="89" spans="1:38" s="292" customFormat="1" ht="24.6" customHeight="1" thickBot="1" x14ac:dyDescent="0.4">
      <c r="A89" s="279"/>
      <c r="B89" s="841"/>
      <c r="C89" s="346" t="s">
        <v>722</v>
      </c>
      <c r="D89" s="346"/>
      <c r="E89" s="345"/>
      <c r="F89" s="344">
        <f>SUM(F75:F88)</f>
        <v>360354.12</v>
      </c>
      <c r="G89" s="343">
        <f>SUM(G75:G88)</f>
        <v>0</v>
      </c>
      <c r="H89" s="343">
        <f>SUM(H75:H88)</f>
        <v>360354.12</v>
      </c>
      <c r="I89" s="342">
        <f>SUM(I75:I88)</f>
        <v>372966.51420000003</v>
      </c>
      <c r="J89" s="770">
        <f>SUM(K75:K88)</f>
        <v>0</v>
      </c>
      <c r="K89" s="771"/>
      <c r="L89" s="772">
        <f>SUM(M75:M88)</f>
        <v>372966.51420000003</v>
      </c>
      <c r="M89" s="773"/>
      <c r="N89" s="409">
        <f>IF(AND(I89&gt;0,I89&lt;300000),ROUNDUP(I89,-4),IF(I89&gt;=300000,ROUNDUP(I89,-5),0))</f>
        <v>400000</v>
      </c>
      <c r="O89" s="408"/>
      <c r="P89" s="307" t="s">
        <v>721</v>
      </c>
      <c r="Q89" s="305" t="s">
        <v>720</v>
      </c>
      <c r="R89" s="305"/>
      <c r="S89" s="305"/>
      <c r="T89" s="305"/>
      <c r="U89" s="305"/>
      <c r="V89" s="305"/>
      <c r="W89" s="305"/>
    </row>
    <row r="90" spans="1:38" s="292" customFormat="1" ht="6" customHeight="1" thickBot="1" x14ac:dyDescent="0.4">
      <c r="A90" s="279"/>
      <c r="B90" s="841"/>
      <c r="C90" s="407"/>
      <c r="D90" s="406"/>
      <c r="E90" s="406"/>
      <c r="F90" s="405"/>
      <c r="G90" s="405"/>
      <c r="H90" s="405"/>
      <c r="I90" s="405"/>
      <c r="J90" s="405"/>
      <c r="K90" s="405"/>
      <c r="L90" s="405"/>
      <c r="M90" s="404"/>
      <c r="N90" s="403"/>
      <c r="O90" s="402"/>
      <c r="P90" s="321"/>
      <c r="Q90" s="305"/>
      <c r="R90" s="305"/>
      <c r="S90" s="305"/>
      <c r="T90" s="305"/>
      <c r="U90" s="305"/>
      <c r="V90" s="305"/>
      <c r="W90" s="305"/>
    </row>
    <row r="91" spans="1:38" s="292" customFormat="1" ht="24.6" customHeight="1" x14ac:dyDescent="0.25">
      <c r="A91" s="279"/>
      <c r="B91" s="841"/>
      <c r="C91" s="401" t="s">
        <v>719</v>
      </c>
      <c r="D91" s="398"/>
      <c r="E91" s="398" t="s">
        <v>718</v>
      </c>
      <c r="F91" s="398"/>
      <c r="G91" s="398"/>
      <c r="H91" s="398"/>
      <c r="I91" s="400"/>
      <c r="J91" s="399"/>
      <c r="K91" s="398"/>
      <c r="L91" s="398"/>
      <c r="M91" s="397"/>
      <c r="N91" s="396"/>
      <c r="O91" s="395"/>
      <c r="P91" s="321"/>
      <c r="Q91" s="305"/>
      <c r="R91" s="305"/>
      <c r="S91" s="305"/>
      <c r="T91" s="305"/>
      <c r="U91" s="305"/>
      <c r="V91" s="305"/>
      <c r="W91" s="305"/>
    </row>
    <row r="92" spans="1:38" s="292" customFormat="1" ht="13.9" customHeight="1" x14ac:dyDescent="0.2">
      <c r="A92" s="279"/>
      <c r="B92" s="841"/>
      <c r="C92" s="394"/>
      <c r="D92" s="359"/>
      <c r="E92" s="359"/>
      <c r="F92" s="355"/>
      <c r="G92" s="354"/>
      <c r="H92" s="353">
        <f>G92+F92</f>
        <v>0</v>
      </c>
      <c r="I92" s="385">
        <f>H92*$M$5</f>
        <v>0</v>
      </c>
      <c r="J92" s="357"/>
      <c r="K92" s="353">
        <f>I92*J92</f>
        <v>0</v>
      </c>
      <c r="L92" s="392">
        <f>1-J92</f>
        <v>1</v>
      </c>
      <c r="M92" s="391">
        <f>L92*I92</f>
        <v>0</v>
      </c>
      <c r="N92" s="347"/>
      <c r="O92" s="310"/>
      <c r="P92" s="321"/>
      <c r="Q92" s="305"/>
      <c r="R92" s="305"/>
      <c r="S92" s="305"/>
      <c r="T92" s="305"/>
      <c r="U92" s="305"/>
      <c r="V92" s="305"/>
      <c r="W92" s="305"/>
    </row>
    <row r="93" spans="1:38" s="292" customFormat="1" ht="13.9" customHeight="1" x14ac:dyDescent="0.2">
      <c r="A93" s="279"/>
      <c r="B93" s="841"/>
      <c r="C93" s="394" t="s">
        <v>717</v>
      </c>
      <c r="D93" s="359"/>
      <c r="E93" s="359"/>
      <c r="F93" s="316">
        <f>I25*0.18</f>
        <v>540531.17999999993</v>
      </c>
      <c r="G93" s="393"/>
      <c r="H93" s="353">
        <f>G93+F93</f>
        <v>540531.17999999993</v>
      </c>
      <c r="I93" s="385">
        <f>H93*$M$5</f>
        <v>559449.77130000002</v>
      </c>
      <c r="J93" s="357"/>
      <c r="K93" s="353">
        <f>I93*J93</f>
        <v>0</v>
      </c>
      <c r="L93" s="392">
        <f>1-J93</f>
        <v>1</v>
      </c>
      <c r="M93" s="391">
        <f>L93*I93</f>
        <v>559449.77130000002</v>
      </c>
      <c r="N93" s="347"/>
      <c r="O93" s="310"/>
      <c r="P93" s="321"/>
      <c r="Q93" s="305"/>
      <c r="R93" s="305"/>
      <c r="S93" s="305"/>
      <c r="T93" s="305"/>
      <c r="U93" s="305"/>
      <c r="V93" s="305"/>
      <c r="W93" s="305"/>
    </row>
    <row r="94" spans="1:38" s="292" customFormat="1" ht="13.9" customHeight="1" x14ac:dyDescent="0.2">
      <c r="A94" s="279"/>
      <c r="B94" s="841"/>
      <c r="C94" s="394"/>
      <c r="D94" s="359"/>
      <c r="E94" s="359"/>
      <c r="F94" s="316"/>
      <c r="G94" s="393"/>
      <c r="H94" s="353">
        <f>G94+F94</f>
        <v>0</v>
      </c>
      <c r="I94" s="385">
        <f>H94*$M$5</f>
        <v>0</v>
      </c>
      <c r="J94" s="357"/>
      <c r="K94" s="353">
        <f>I94*J94</f>
        <v>0</v>
      </c>
      <c r="L94" s="392">
        <f>1-J94</f>
        <v>1</v>
      </c>
      <c r="M94" s="391">
        <f>L94*I94</f>
        <v>0</v>
      </c>
      <c r="N94" s="347"/>
      <c r="O94" s="310"/>
      <c r="P94" s="321"/>
      <c r="Q94" s="305"/>
      <c r="R94" s="305"/>
      <c r="S94" s="305"/>
      <c r="T94" s="305"/>
      <c r="U94" s="305"/>
      <c r="V94" s="305"/>
      <c r="W94" s="305"/>
    </row>
    <row r="95" spans="1:38" s="292" customFormat="1" ht="13.9" customHeight="1" thickBot="1" x14ac:dyDescent="0.25">
      <c r="A95" s="279"/>
      <c r="B95" s="841"/>
      <c r="C95" s="390"/>
      <c r="D95" s="389"/>
      <c r="E95" s="389"/>
      <c r="F95" s="388"/>
      <c r="G95" s="387"/>
      <c r="H95" s="386">
        <f>G95+F95</f>
        <v>0</v>
      </c>
      <c r="I95" s="385">
        <f>H95*$M$5</f>
        <v>0</v>
      </c>
      <c r="J95" s="351"/>
      <c r="K95" s="384">
        <f>I95*J95</f>
        <v>0</v>
      </c>
      <c r="L95" s="383">
        <f>1-J95</f>
        <v>1</v>
      </c>
      <c r="M95" s="382">
        <f>L95*I95</f>
        <v>0</v>
      </c>
      <c r="N95" s="347"/>
      <c r="O95" s="310"/>
      <c r="P95" s="321"/>
      <c r="Q95" s="305"/>
      <c r="R95" s="305"/>
      <c r="S95" s="305"/>
      <c r="T95" s="305"/>
      <c r="U95" s="305"/>
      <c r="V95" s="305"/>
      <c r="W95" s="305"/>
    </row>
    <row r="96" spans="1:38" s="292" customFormat="1" ht="27" customHeight="1" thickBot="1" x14ac:dyDescent="0.4">
      <c r="A96" s="279"/>
      <c r="B96" s="841"/>
      <c r="C96" s="346" t="s">
        <v>716</v>
      </c>
      <c r="D96" s="346"/>
      <c r="E96" s="345"/>
      <c r="F96" s="344">
        <f>SUM(F92:F95)</f>
        <v>540531.17999999993</v>
      </c>
      <c r="G96" s="343">
        <f>SUM(G92:G95)</f>
        <v>0</v>
      </c>
      <c r="H96" s="343">
        <f>SUM(H92:H95)</f>
        <v>540531.17999999993</v>
      </c>
      <c r="I96" s="381">
        <f>SUM(I92:I95)</f>
        <v>559449.77130000002</v>
      </c>
      <c r="J96" s="772">
        <f>SUM(K92:K95)</f>
        <v>0</v>
      </c>
      <c r="K96" s="771"/>
      <c r="L96" s="772">
        <f>SUM(M92:M95)</f>
        <v>559449.77130000002</v>
      </c>
      <c r="M96" s="807"/>
      <c r="N96" s="380">
        <f>IF(AND(I96&gt;0,I96&lt;300000),ROUNDUP(I96,-4),IF(I96&gt;=300000,ROUNDUP(I96,-5),0))</f>
        <v>600000</v>
      </c>
      <c r="O96" s="340"/>
      <c r="P96" s="307" t="s">
        <v>715</v>
      </c>
      <c r="Q96" s="305" t="s">
        <v>714</v>
      </c>
      <c r="R96" s="305"/>
      <c r="S96" s="305"/>
      <c r="T96" s="305"/>
      <c r="U96" s="305"/>
      <c r="V96" s="305"/>
      <c r="W96" s="305"/>
    </row>
    <row r="97" spans="1:54" s="292" customFormat="1" ht="8.25" customHeight="1" thickBot="1" x14ac:dyDescent="0.4">
      <c r="A97" s="279"/>
      <c r="B97" s="379"/>
      <c r="C97" s="378"/>
      <c r="D97" s="377"/>
      <c r="E97" s="377"/>
      <c r="F97" s="376"/>
      <c r="G97" s="376"/>
      <c r="H97" s="376"/>
      <c r="I97" s="376"/>
      <c r="J97" s="375"/>
      <c r="K97" s="375"/>
      <c r="L97" s="375"/>
      <c r="M97" s="375"/>
      <c r="N97" s="374"/>
      <c r="O97" s="373"/>
      <c r="P97" s="307"/>
      <c r="Q97" s="305"/>
      <c r="R97" s="305"/>
      <c r="S97" s="305"/>
      <c r="T97" s="305"/>
      <c r="U97" s="305"/>
      <c r="V97" s="305"/>
      <c r="W97" s="305"/>
    </row>
    <row r="98" spans="1:54" s="292" customFormat="1" ht="36" customHeight="1" thickBot="1" x14ac:dyDescent="0.3">
      <c r="B98" s="339" t="s">
        <v>713</v>
      </c>
      <c r="C98" s="338"/>
      <c r="D98" s="338"/>
      <c r="E98" s="338"/>
      <c r="F98" s="337">
        <f>F89+F96</f>
        <v>900885.29999999993</v>
      </c>
      <c r="G98" s="337">
        <f>G89+G96</f>
        <v>0</v>
      </c>
      <c r="H98" s="337">
        <f>H89+H96</f>
        <v>900885.29999999993</v>
      </c>
      <c r="I98" s="337">
        <f>I96+I89</f>
        <v>932416.2855</v>
      </c>
      <c r="J98" s="769">
        <f>J96+J89</f>
        <v>0</v>
      </c>
      <c r="K98" s="762"/>
      <c r="L98" s="769">
        <f>L96+L89</f>
        <v>932416.2855</v>
      </c>
      <c r="M98" s="762"/>
      <c r="N98" s="372">
        <f>N96+N89</f>
        <v>1000000</v>
      </c>
      <c r="O98" s="294"/>
      <c r="P98" s="306"/>
      <c r="Q98" s="305"/>
      <c r="R98" s="305"/>
      <c r="S98" s="305"/>
      <c r="T98" s="305"/>
      <c r="U98" s="305"/>
      <c r="V98" s="305"/>
      <c r="W98" s="305"/>
    </row>
    <row r="99" spans="1:54" s="292" customFormat="1" ht="14.25" customHeight="1" thickBot="1" x14ac:dyDescent="0.3">
      <c r="B99" s="334"/>
      <c r="C99" s="299"/>
      <c r="D99" s="299"/>
      <c r="E99" s="299"/>
      <c r="F99" s="299"/>
      <c r="G99" s="299"/>
      <c r="H99" s="299"/>
      <c r="I99" s="299"/>
      <c r="J99" s="299"/>
      <c r="K99" s="299"/>
      <c r="L99" s="299"/>
      <c r="M99" s="299"/>
      <c r="N99" s="299"/>
      <c r="O99" s="299"/>
      <c r="P99" s="306"/>
      <c r="Q99" s="305"/>
      <c r="R99" s="305"/>
      <c r="S99" s="305"/>
      <c r="T99" s="305"/>
      <c r="U99" s="305"/>
      <c r="V99" s="305"/>
      <c r="W99" s="305"/>
    </row>
    <row r="100" spans="1:54" ht="68.25" customHeight="1" x14ac:dyDescent="0.25">
      <c r="A100" s="281"/>
      <c r="B100" s="839" t="s">
        <v>712</v>
      </c>
      <c r="C100" s="786" t="s">
        <v>695</v>
      </c>
      <c r="D100" s="786" t="s">
        <v>694</v>
      </c>
      <c r="E100" s="786" t="s">
        <v>693</v>
      </c>
      <c r="F100" s="786" t="s">
        <v>692</v>
      </c>
      <c r="G100" s="791" t="s">
        <v>691</v>
      </c>
      <c r="H100" s="791" t="s">
        <v>690</v>
      </c>
      <c r="I100" s="813" t="s">
        <v>711</v>
      </c>
      <c r="J100" s="816" t="s">
        <v>710</v>
      </c>
      <c r="K100" s="817"/>
      <c r="L100" s="817"/>
      <c r="M100" s="818"/>
      <c r="N100" s="795" t="s">
        <v>709</v>
      </c>
      <c r="O100" s="328"/>
      <c r="P100" s="322"/>
      <c r="Q100" s="371" t="s">
        <v>708</v>
      </c>
      <c r="R100" s="370"/>
      <c r="S100" s="370"/>
      <c r="T100" s="370"/>
      <c r="U100" s="370"/>
      <c r="V100" s="370"/>
      <c r="W100" s="370"/>
      <c r="X100" s="370"/>
      <c r="Y100" s="369"/>
      <c r="Z100" s="369"/>
      <c r="AA100" s="369"/>
      <c r="AB100" s="369"/>
      <c r="AC100" s="368"/>
      <c r="AD100" s="368"/>
      <c r="AE100" s="368"/>
      <c r="AF100" s="368"/>
      <c r="AG100" s="368"/>
      <c r="AH100" s="368"/>
      <c r="AI100" s="368"/>
      <c r="AJ100" s="368"/>
      <c r="AK100" s="368"/>
      <c r="AL100" s="367"/>
    </row>
    <row r="101" spans="1:54" ht="68.25" customHeight="1" x14ac:dyDescent="0.3">
      <c r="A101" s="281"/>
      <c r="B101" s="840"/>
      <c r="C101" s="789"/>
      <c r="D101" s="789"/>
      <c r="E101" s="789"/>
      <c r="F101" s="789"/>
      <c r="G101" s="792"/>
      <c r="H101" s="792"/>
      <c r="I101" s="814"/>
      <c r="J101" s="765" t="s">
        <v>707</v>
      </c>
      <c r="K101" s="766"/>
      <c r="L101" s="767" t="s">
        <v>706</v>
      </c>
      <c r="M101" s="768"/>
      <c r="N101" s="796"/>
      <c r="O101" s="328"/>
      <c r="P101" s="327"/>
      <c r="Q101" s="774" t="s">
        <v>705</v>
      </c>
      <c r="R101" s="780"/>
      <c r="S101" s="780"/>
      <c r="T101" s="780"/>
      <c r="U101" s="780"/>
      <c r="V101" s="780"/>
      <c r="W101" s="780"/>
      <c r="X101" s="780"/>
      <c r="Y101" s="780"/>
      <c r="Z101" s="780"/>
      <c r="AA101" s="780"/>
      <c r="AB101" s="780"/>
      <c r="AC101" s="780"/>
      <c r="AD101" s="780"/>
      <c r="AE101" s="780"/>
      <c r="AF101" s="780"/>
      <c r="AG101" s="780"/>
      <c r="AH101" s="780"/>
      <c r="AI101" s="780"/>
      <c r="AJ101" s="780"/>
      <c r="AK101" s="780"/>
      <c r="AL101" s="781"/>
      <c r="AM101" s="281"/>
      <c r="AN101" s="281"/>
      <c r="AO101" s="281"/>
      <c r="AP101" s="281"/>
      <c r="AQ101" s="281"/>
      <c r="AR101" s="281"/>
      <c r="AS101" s="281"/>
      <c r="AT101" s="281"/>
      <c r="AU101" s="281"/>
      <c r="AV101" s="281"/>
      <c r="AW101" s="281"/>
      <c r="AX101" s="281"/>
      <c r="AY101" s="281"/>
      <c r="AZ101" s="281"/>
      <c r="BA101" s="281"/>
      <c r="BB101" s="281"/>
    </row>
    <row r="102" spans="1:54" ht="75.75" customHeight="1" thickBot="1" x14ac:dyDescent="0.3">
      <c r="A102" s="281"/>
      <c r="B102" s="840"/>
      <c r="C102" s="790"/>
      <c r="D102" s="790"/>
      <c r="E102" s="790"/>
      <c r="F102" s="790"/>
      <c r="G102" s="790"/>
      <c r="H102" s="793"/>
      <c r="I102" s="815"/>
      <c r="J102" s="366" t="s">
        <v>704</v>
      </c>
      <c r="K102" s="365"/>
      <c r="L102" s="365" t="s">
        <v>704</v>
      </c>
      <c r="M102" s="364"/>
      <c r="N102" s="797"/>
      <c r="O102" s="323"/>
      <c r="P102" s="322"/>
      <c r="Q102" s="782"/>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4"/>
    </row>
    <row r="103" spans="1:54" s="292" customFormat="1" ht="14.25" customHeight="1" thickBot="1" x14ac:dyDescent="0.25">
      <c r="A103" s="279"/>
      <c r="B103" s="840"/>
      <c r="C103" s="356"/>
      <c r="D103" s="359"/>
      <c r="E103" s="359"/>
      <c r="F103" s="355"/>
      <c r="G103" s="354"/>
      <c r="H103" s="353">
        <f t="shared" ref="H103:H109" si="20">F103+G103</f>
        <v>0</v>
      </c>
      <c r="I103" s="352"/>
      <c r="J103" s="363">
        <v>1</v>
      </c>
      <c r="K103" s="350">
        <f t="shared" ref="K103:K109" si="21">J103*H103</f>
        <v>0</v>
      </c>
      <c r="L103" s="349">
        <f t="shared" ref="L103:L109" si="22">1-J103</f>
        <v>0</v>
      </c>
      <c r="M103" s="348">
        <f t="shared" ref="M103:M109" si="23">H103*L103</f>
        <v>0</v>
      </c>
      <c r="N103" s="347"/>
      <c r="O103" s="310"/>
      <c r="P103" s="321"/>
      <c r="Q103" s="362"/>
      <c r="R103" s="362"/>
      <c r="S103" s="362"/>
      <c r="T103" s="362"/>
      <c r="U103" s="362"/>
      <c r="V103" s="362"/>
      <c r="W103" s="362"/>
      <c r="X103" s="361"/>
      <c r="Y103" s="361"/>
      <c r="Z103" s="361"/>
      <c r="AA103" s="361"/>
      <c r="AB103" s="361"/>
      <c r="AC103" s="361"/>
      <c r="AD103" s="361"/>
      <c r="AE103" s="361"/>
      <c r="AF103" s="361"/>
      <c r="AG103" s="361"/>
      <c r="AH103" s="361"/>
      <c r="AI103" s="361"/>
      <c r="AJ103" s="361"/>
      <c r="AK103" s="296"/>
      <c r="AL103" s="296"/>
      <c r="AM103" s="296"/>
      <c r="AN103" s="296"/>
      <c r="AO103" s="296"/>
      <c r="AP103" s="296"/>
      <c r="AQ103" s="296"/>
      <c r="AR103" s="296"/>
      <c r="AS103" s="296"/>
      <c r="AT103" s="296"/>
      <c r="AU103" s="296"/>
      <c r="AV103" s="296"/>
      <c r="AW103" s="296"/>
      <c r="AX103" s="296"/>
      <c r="AY103" s="296"/>
    </row>
    <row r="104" spans="1:54" s="292" customFormat="1" ht="14.25" customHeight="1" thickBot="1" x14ac:dyDescent="0.25">
      <c r="A104" s="279"/>
      <c r="B104" s="840"/>
      <c r="C104" s="356"/>
      <c r="D104" s="359" t="s">
        <v>937</v>
      </c>
      <c r="E104" s="359"/>
      <c r="F104" s="355">
        <v>40000</v>
      </c>
      <c r="G104" s="354"/>
      <c r="H104" s="353">
        <f t="shared" si="20"/>
        <v>40000</v>
      </c>
      <c r="I104" s="352"/>
      <c r="J104" s="357">
        <v>1</v>
      </c>
      <c r="K104" s="350">
        <f t="shared" si="21"/>
        <v>40000</v>
      </c>
      <c r="L104" s="349">
        <f t="shared" si="22"/>
        <v>0</v>
      </c>
      <c r="M104" s="348">
        <f t="shared" si="23"/>
        <v>0</v>
      </c>
      <c r="N104" s="347"/>
      <c r="O104" s="310"/>
      <c r="P104" s="321"/>
      <c r="Q104" s="805"/>
      <c r="R104" s="806"/>
      <c r="S104" s="806"/>
      <c r="T104" s="806"/>
      <c r="U104" s="806"/>
      <c r="V104" s="806"/>
      <c r="W104" s="806"/>
      <c r="X104" s="806"/>
      <c r="Y104" s="806"/>
      <c r="Z104" s="806"/>
      <c r="AA104" s="806"/>
      <c r="AB104" s="806"/>
      <c r="AC104" s="806"/>
      <c r="AD104" s="806"/>
      <c r="AE104" s="806"/>
      <c r="AF104" s="806"/>
      <c r="AG104" s="806"/>
      <c r="AH104" s="806"/>
      <c r="AI104" s="806"/>
      <c r="AJ104" s="806"/>
      <c r="AK104" s="806"/>
      <c r="AL104" s="806"/>
      <c r="AM104" s="296"/>
      <c r="AN104" s="296"/>
      <c r="AO104" s="296"/>
      <c r="AP104" s="296"/>
      <c r="AQ104" s="296"/>
      <c r="AR104" s="296"/>
      <c r="AS104" s="296"/>
      <c r="AT104" s="296"/>
      <c r="AU104" s="296"/>
      <c r="AV104" s="296"/>
      <c r="AW104" s="296"/>
      <c r="AX104" s="296"/>
      <c r="AY104" s="296"/>
    </row>
    <row r="105" spans="1:54" s="292" customFormat="1" ht="14.25" customHeight="1" thickBot="1" x14ac:dyDescent="0.25">
      <c r="A105" s="279"/>
      <c r="B105" s="841"/>
      <c r="C105" s="356"/>
      <c r="D105" s="359"/>
      <c r="E105" s="359"/>
      <c r="F105" s="355"/>
      <c r="G105" s="354"/>
      <c r="H105" s="353">
        <f t="shared" si="20"/>
        <v>0</v>
      </c>
      <c r="I105" s="352"/>
      <c r="J105" s="357">
        <v>1</v>
      </c>
      <c r="K105" s="350">
        <f t="shared" si="21"/>
        <v>0</v>
      </c>
      <c r="L105" s="349">
        <f t="shared" si="22"/>
        <v>0</v>
      </c>
      <c r="M105" s="348">
        <f t="shared" si="23"/>
        <v>0</v>
      </c>
      <c r="N105" s="347"/>
      <c r="O105" s="310"/>
      <c r="P105" s="321"/>
      <c r="Q105" s="806"/>
      <c r="R105" s="806"/>
      <c r="S105" s="806"/>
      <c r="T105" s="806"/>
      <c r="U105" s="806"/>
      <c r="V105" s="806"/>
      <c r="W105" s="806"/>
      <c r="X105" s="806"/>
      <c r="Y105" s="806"/>
      <c r="Z105" s="806"/>
      <c r="AA105" s="806"/>
      <c r="AB105" s="806"/>
      <c r="AC105" s="806"/>
      <c r="AD105" s="806"/>
      <c r="AE105" s="806"/>
      <c r="AF105" s="806"/>
      <c r="AG105" s="806"/>
      <c r="AH105" s="806"/>
      <c r="AI105" s="806"/>
      <c r="AJ105" s="806"/>
      <c r="AK105" s="806"/>
      <c r="AL105" s="806"/>
      <c r="AM105" s="296"/>
      <c r="AN105" s="296"/>
      <c r="AO105" s="296"/>
      <c r="AP105" s="296"/>
      <c r="AQ105" s="296"/>
      <c r="AR105" s="296"/>
      <c r="AS105" s="296"/>
      <c r="AT105" s="296"/>
      <c r="AU105" s="296"/>
      <c r="AV105" s="296"/>
      <c r="AW105" s="296"/>
      <c r="AX105" s="296"/>
      <c r="AY105" s="296"/>
    </row>
    <row r="106" spans="1:54" s="292" customFormat="1" ht="14.25" customHeight="1" thickBot="1" x14ac:dyDescent="0.25">
      <c r="A106" s="279"/>
      <c r="B106" s="841"/>
      <c r="C106" s="356"/>
      <c r="D106" s="359"/>
      <c r="E106" s="359"/>
      <c r="F106" s="355"/>
      <c r="G106" s="354"/>
      <c r="H106" s="353">
        <f t="shared" si="20"/>
        <v>0</v>
      </c>
      <c r="I106" s="352"/>
      <c r="J106" s="357">
        <v>1</v>
      </c>
      <c r="K106" s="350">
        <f t="shared" si="21"/>
        <v>0</v>
      </c>
      <c r="L106" s="349">
        <f t="shared" si="22"/>
        <v>0</v>
      </c>
      <c r="M106" s="348">
        <f t="shared" si="23"/>
        <v>0</v>
      </c>
      <c r="N106" s="347"/>
      <c r="O106" s="310"/>
      <c r="P106" s="321"/>
      <c r="Q106" s="360"/>
      <c r="R106" s="360"/>
      <c r="S106" s="297"/>
      <c r="T106" s="297"/>
      <c r="U106" s="297"/>
      <c r="V106" s="297"/>
      <c r="W106" s="297"/>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row>
    <row r="107" spans="1:54" s="292" customFormat="1" ht="14.25" customHeight="1" thickBot="1" x14ac:dyDescent="0.25">
      <c r="A107" s="279"/>
      <c r="B107" s="841"/>
      <c r="C107" s="356"/>
      <c r="D107" s="359"/>
      <c r="E107" s="359"/>
      <c r="F107" s="355"/>
      <c r="G107" s="354"/>
      <c r="H107" s="353">
        <f t="shared" si="20"/>
        <v>0</v>
      </c>
      <c r="I107" s="352"/>
      <c r="J107" s="357">
        <v>1</v>
      </c>
      <c r="K107" s="350">
        <f t="shared" si="21"/>
        <v>0</v>
      </c>
      <c r="L107" s="349">
        <f t="shared" si="22"/>
        <v>0</v>
      </c>
      <c r="M107" s="348">
        <f t="shared" si="23"/>
        <v>0</v>
      </c>
      <c r="N107" s="347"/>
      <c r="O107" s="310"/>
      <c r="P107" s="321"/>
      <c r="Q107" s="321"/>
      <c r="R107" s="321"/>
      <c r="S107" s="305"/>
      <c r="T107" s="305"/>
      <c r="U107" s="305"/>
      <c r="V107" s="305"/>
      <c r="W107" s="305"/>
    </row>
    <row r="108" spans="1:54" s="292" customFormat="1" ht="14.25" customHeight="1" thickBot="1" x14ac:dyDescent="0.25">
      <c r="A108" s="279"/>
      <c r="B108" s="841"/>
      <c r="C108" s="356"/>
      <c r="D108" s="356" t="s">
        <v>702</v>
      </c>
      <c r="E108" s="358" t="s">
        <v>703</v>
      </c>
      <c r="F108" s="355">
        <v>100000</v>
      </c>
      <c r="G108" s="354"/>
      <c r="H108" s="353">
        <f t="shared" si="20"/>
        <v>100000</v>
      </c>
      <c r="I108" s="352"/>
      <c r="J108" s="357">
        <v>1</v>
      </c>
      <c r="K108" s="350">
        <f t="shared" si="21"/>
        <v>100000</v>
      </c>
      <c r="L108" s="349">
        <f t="shared" si="22"/>
        <v>0</v>
      </c>
      <c r="M108" s="348">
        <f t="shared" si="23"/>
        <v>0</v>
      </c>
      <c r="N108" s="347"/>
      <c r="O108" s="310"/>
      <c r="P108" s="321"/>
      <c r="Q108" s="321"/>
      <c r="R108" s="321"/>
      <c r="S108" s="305"/>
      <c r="T108" s="305"/>
      <c r="U108" s="305"/>
      <c r="V108" s="305"/>
      <c r="W108" s="305"/>
    </row>
    <row r="109" spans="1:54" s="292" customFormat="1" ht="14.25" customHeight="1" thickBot="1" x14ac:dyDescent="0.25">
      <c r="A109" s="279"/>
      <c r="B109" s="841"/>
      <c r="C109" s="356"/>
      <c r="D109" s="356" t="s">
        <v>702</v>
      </c>
      <c r="E109" s="356" t="s">
        <v>701</v>
      </c>
      <c r="F109" s="355"/>
      <c r="G109" s="354"/>
      <c r="H109" s="353">
        <f t="shared" si="20"/>
        <v>0</v>
      </c>
      <c r="I109" s="352"/>
      <c r="J109" s="351">
        <v>1</v>
      </c>
      <c r="K109" s="350">
        <f t="shared" si="21"/>
        <v>0</v>
      </c>
      <c r="L109" s="349">
        <f t="shared" si="22"/>
        <v>0</v>
      </c>
      <c r="M109" s="348">
        <f t="shared" si="23"/>
        <v>0</v>
      </c>
      <c r="N109" s="347"/>
      <c r="O109" s="310"/>
      <c r="P109" s="321"/>
      <c r="Q109" s="305" t="s">
        <v>700</v>
      </c>
      <c r="R109" s="321"/>
      <c r="S109" s="305"/>
      <c r="T109" s="305"/>
      <c r="U109" s="305"/>
      <c r="V109" s="305"/>
      <c r="W109" s="305"/>
    </row>
    <row r="110" spans="1:54" s="292" customFormat="1" ht="31.9" customHeight="1" thickBot="1" x14ac:dyDescent="0.4">
      <c r="B110" s="841"/>
      <c r="C110" s="346" t="s">
        <v>699</v>
      </c>
      <c r="D110" s="346"/>
      <c r="E110" s="345"/>
      <c r="F110" s="344">
        <f>SUM(F103:F109)</f>
        <v>140000</v>
      </c>
      <c r="G110" s="343">
        <f>SUM(G103:G109)</f>
        <v>0</v>
      </c>
      <c r="H110" s="343">
        <f>SUM(H103:H109)</f>
        <v>140000</v>
      </c>
      <c r="I110" s="342">
        <f>SUM(I103:I109)</f>
        <v>0</v>
      </c>
      <c r="J110" s="770">
        <f>SUM(K103:K109)</f>
        <v>140000</v>
      </c>
      <c r="K110" s="771"/>
      <c r="L110" s="772">
        <f>SUM(M103:M109)</f>
        <v>0</v>
      </c>
      <c r="M110" s="773"/>
      <c r="N110" s="341">
        <f>J110+L110</f>
        <v>140000</v>
      </c>
      <c r="O110" s="340"/>
      <c r="P110" s="307" t="s">
        <v>698</v>
      </c>
      <c r="Q110" s="305"/>
      <c r="R110" s="305"/>
      <c r="S110" s="305"/>
      <c r="T110" s="305"/>
      <c r="U110" s="305"/>
      <c r="V110" s="305"/>
      <c r="W110" s="305"/>
    </row>
    <row r="111" spans="1:54" s="292" customFormat="1" ht="43.9" customHeight="1" thickBot="1" x14ac:dyDescent="0.3">
      <c r="B111" s="339" t="s">
        <v>697</v>
      </c>
      <c r="C111" s="338"/>
      <c r="D111" s="338"/>
      <c r="E111" s="338"/>
      <c r="F111" s="337">
        <f>F110</f>
        <v>140000</v>
      </c>
      <c r="G111" s="337">
        <f>G110</f>
        <v>0</v>
      </c>
      <c r="H111" s="337">
        <f>H110</f>
        <v>140000</v>
      </c>
      <c r="I111" s="336">
        <f>I110</f>
        <v>0</v>
      </c>
      <c r="J111" s="785">
        <f>J110</f>
        <v>140000</v>
      </c>
      <c r="K111" s="762"/>
      <c r="L111" s="769">
        <f>L110</f>
        <v>0</v>
      </c>
      <c r="M111" s="764"/>
      <c r="N111" s="335">
        <f>J111+L111</f>
        <v>140000</v>
      </c>
      <c r="O111" s="294"/>
      <c r="Q111" s="305"/>
      <c r="R111" s="305"/>
      <c r="S111" s="305"/>
      <c r="T111" s="305"/>
      <c r="U111" s="305"/>
      <c r="V111" s="305"/>
      <c r="W111" s="305"/>
    </row>
    <row r="112" spans="1:54" s="292" customFormat="1" ht="14.25" customHeight="1" x14ac:dyDescent="0.25">
      <c r="B112" s="334"/>
      <c r="C112" s="299"/>
      <c r="D112" s="299"/>
      <c r="E112" s="299"/>
      <c r="F112" s="299"/>
      <c r="G112" s="299"/>
      <c r="H112" s="299"/>
      <c r="I112" s="299"/>
      <c r="J112" s="299"/>
      <c r="K112" s="299"/>
      <c r="L112" s="299"/>
      <c r="M112" s="299"/>
      <c r="N112" s="299"/>
      <c r="O112" s="299"/>
      <c r="P112" s="306"/>
      <c r="Q112" s="305"/>
      <c r="R112" s="305"/>
      <c r="S112" s="305"/>
      <c r="T112" s="305"/>
      <c r="U112" s="305"/>
      <c r="V112" s="305"/>
      <c r="W112" s="305"/>
    </row>
    <row r="113" spans="1:54" ht="21" thickBot="1" x14ac:dyDescent="0.3">
      <c r="B113" s="332"/>
      <c r="C113" s="333"/>
      <c r="D113" s="332"/>
      <c r="E113" s="332"/>
      <c r="F113" s="331"/>
      <c r="G113" s="331"/>
      <c r="H113" s="330"/>
      <c r="I113" s="330"/>
      <c r="J113" s="330"/>
      <c r="K113" s="330"/>
      <c r="L113" s="330"/>
      <c r="M113" s="330"/>
      <c r="N113" s="330"/>
      <c r="O113" s="330"/>
    </row>
    <row r="114" spans="1:54" ht="48" customHeight="1" x14ac:dyDescent="0.25">
      <c r="A114" s="281"/>
      <c r="B114" s="808" t="s">
        <v>696</v>
      </c>
      <c r="C114" s="786" t="s">
        <v>695</v>
      </c>
      <c r="D114" s="786" t="s">
        <v>694</v>
      </c>
      <c r="E114" s="786" t="s">
        <v>693</v>
      </c>
      <c r="F114" s="786" t="s">
        <v>692</v>
      </c>
      <c r="G114" s="791" t="s">
        <v>691</v>
      </c>
      <c r="H114" s="791" t="s">
        <v>690</v>
      </c>
      <c r="I114" s="832" t="s">
        <v>689</v>
      </c>
      <c r="J114" s="798"/>
      <c r="K114" s="799"/>
      <c r="L114" s="299"/>
      <c r="M114" s="299"/>
      <c r="N114" s="281"/>
      <c r="O114" s="328"/>
      <c r="P114" s="322"/>
      <c r="Q114" s="321"/>
      <c r="R114" s="321"/>
      <c r="S114" s="321"/>
      <c r="T114" s="321"/>
      <c r="U114" s="321"/>
      <c r="V114" s="321"/>
      <c r="W114" s="321"/>
    </row>
    <row r="115" spans="1:54" ht="45.75" customHeight="1" x14ac:dyDescent="0.3">
      <c r="A115" s="281"/>
      <c r="B115" s="830"/>
      <c r="C115" s="787"/>
      <c r="D115" s="787"/>
      <c r="E115" s="787"/>
      <c r="F115" s="787"/>
      <c r="G115" s="804"/>
      <c r="H115" s="804"/>
      <c r="I115" s="833"/>
      <c r="J115" s="798"/>
      <c r="K115" s="799"/>
      <c r="L115" s="329"/>
      <c r="M115" s="299"/>
      <c r="N115" s="281"/>
      <c r="O115" s="328"/>
      <c r="P115" s="327"/>
      <c r="Q115" s="326"/>
      <c r="R115" s="326"/>
      <c r="S115" s="326"/>
      <c r="T115" s="326"/>
      <c r="U115" s="326"/>
      <c r="V115" s="326"/>
      <c r="W115" s="326"/>
      <c r="X115" s="325"/>
      <c r="Y115" s="325"/>
      <c r="Z115" s="325"/>
      <c r="AA115" s="325"/>
      <c r="AB115" s="325"/>
      <c r="AC115" s="325"/>
      <c r="AD115" s="325"/>
      <c r="AE115" s="325"/>
      <c r="AF115" s="325"/>
      <c r="AG115" s="325"/>
      <c r="AH115" s="325"/>
      <c r="AI115" s="281"/>
      <c r="AJ115" s="281"/>
      <c r="AK115" s="281"/>
      <c r="AL115" s="281"/>
      <c r="AM115" s="281"/>
      <c r="AN115" s="281"/>
      <c r="AO115" s="281"/>
      <c r="AP115" s="281"/>
      <c r="AQ115" s="281"/>
      <c r="AR115" s="281"/>
      <c r="AS115" s="281"/>
      <c r="AT115" s="281"/>
      <c r="AU115" s="281"/>
      <c r="AV115" s="281"/>
      <c r="AW115" s="281"/>
      <c r="AX115" s="281"/>
      <c r="AY115" s="281"/>
      <c r="AZ115" s="281"/>
      <c r="BA115" s="281"/>
      <c r="BB115" s="281"/>
    </row>
    <row r="116" spans="1:54" ht="1.5" customHeight="1" x14ac:dyDescent="0.25">
      <c r="A116" s="281"/>
      <c r="B116" s="831"/>
      <c r="C116" s="788"/>
      <c r="D116" s="788"/>
      <c r="E116" s="788"/>
      <c r="F116" s="788"/>
      <c r="G116" s="788"/>
      <c r="H116" s="822"/>
      <c r="I116" s="834"/>
      <c r="J116" s="800"/>
      <c r="K116" s="799"/>
      <c r="L116" s="324"/>
      <c r="M116" s="324"/>
      <c r="N116" s="281"/>
      <c r="O116" s="323"/>
      <c r="P116" s="322"/>
      <c r="Q116" s="321"/>
      <c r="R116" s="321"/>
      <c r="S116" s="321"/>
      <c r="T116" s="321"/>
      <c r="U116" s="321"/>
      <c r="V116" s="321"/>
      <c r="W116" s="321"/>
    </row>
    <row r="117" spans="1:54" s="292" customFormat="1" ht="99" customHeight="1" x14ac:dyDescent="0.25">
      <c r="B117" s="320" t="s">
        <v>688</v>
      </c>
      <c r="C117" s="319" t="s">
        <v>687</v>
      </c>
      <c r="D117" s="318"/>
      <c r="E117" s="317"/>
      <c r="F117" s="316"/>
      <c r="G117" s="315"/>
      <c r="H117" s="314">
        <f>F117+G117</f>
        <v>0</v>
      </c>
      <c r="I117" s="313">
        <f>H117*$M$5</f>
        <v>0</v>
      </c>
      <c r="J117" s="801"/>
      <c r="K117" s="799"/>
      <c r="L117" s="312"/>
      <c r="M117" s="311"/>
      <c r="N117" s="296"/>
      <c r="O117" s="310"/>
      <c r="P117" s="306"/>
      <c r="Q117" s="305"/>
      <c r="R117" s="305"/>
      <c r="S117" s="305"/>
      <c r="T117" s="305"/>
      <c r="U117" s="305"/>
      <c r="V117" s="305"/>
      <c r="W117" s="305"/>
    </row>
    <row r="118" spans="1:54" s="292" customFormat="1" ht="43.5" customHeight="1" thickBot="1" x14ac:dyDescent="0.3">
      <c r="B118" s="828" t="s">
        <v>686</v>
      </c>
      <c r="C118" s="829"/>
      <c r="D118" s="829"/>
      <c r="E118" s="829"/>
      <c r="F118" s="309">
        <f>F117</f>
        <v>0</v>
      </c>
      <c r="G118" s="309">
        <f>G117</f>
        <v>0</v>
      </c>
      <c r="H118" s="309">
        <f>H117</f>
        <v>0</v>
      </c>
      <c r="I118" s="308">
        <f>I117</f>
        <v>0</v>
      </c>
      <c r="J118" s="802" t="s">
        <v>685</v>
      </c>
      <c r="K118" s="803"/>
      <c r="L118" s="307"/>
      <c r="M118" s="299"/>
      <c r="N118" s="296"/>
      <c r="O118" s="294"/>
      <c r="P118" s="306"/>
      <c r="Q118" s="305"/>
      <c r="R118" s="305"/>
      <c r="S118" s="305"/>
      <c r="T118" s="305"/>
      <c r="U118" s="305"/>
      <c r="V118" s="305"/>
      <c r="W118" s="305"/>
    </row>
    <row r="119" spans="1:54" s="296" customFormat="1" ht="43.5" customHeight="1" thickBot="1" x14ac:dyDescent="0.3">
      <c r="B119" s="304"/>
      <c r="C119" s="303"/>
      <c r="D119" s="303"/>
      <c r="E119" s="303"/>
      <c r="F119" s="294"/>
      <c r="G119" s="294"/>
      <c r="H119" s="294"/>
      <c r="I119" s="294"/>
      <c r="J119" s="302"/>
      <c r="K119" s="301"/>
      <c r="L119" s="294"/>
      <c r="M119" s="299"/>
      <c r="O119" s="294"/>
      <c r="P119" s="298"/>
      <c r="Q119" s="297"/>
      <c r="R119" s="297"/>
      <c r="S119" s="297"/>
      <c r="T119" s="297"/>
      <c r="U119" s="297"/>
      <c r="V119" s="297"/>
      <c r="W119" s="297"/>
    </row>
    <row r="120" spans="1:54" s="296" customFormat="1" ht="84.75" customHeight="1" thickBot="1" x14ac:dyDescent="0.3">
      <c r="B120" s="825" t="s">
        <v>684</v>
      </c>
      <c r="C120" s="826"/>
      <c r="D120" s="826"/>
      <c r="E120" s="827"/>
      <c r="F120" s="300" t="s">
        <v>683</v>
      </c>
      <c r="G120" s="300" t="s">
        <v>682</v>
      </c>
      <c r="H120" s="300" t="s">
        <v>681</v>
      </c>
      <c r="I120" s="300" t="s">
        <v>680</v>
      </c>
      <c r="J120" s="820" t="s">
        <v>679</v>
      </c>
      <c r="K120" s="821"/>
      <c r="L120" s="294"/>
      <c r="M120" s="299"/>
      <c r="O120" s="294"/>
      <c r="P120" s="298"/>
      <c r="Q120" s="297"/>
      <c r="R120" s="297"/>
      <c r="S120" s="297"/>
      <c r="T120" s="297"/>
      <c r="U120" s="297"/>
      <c r="V120" s="297"/>
      <c r="W120" s="297"/>
    </row>
    <row r="121" spans="1:54" s="292" customFormat="1" ht="27.95" customHeight="1" thickBot="1" x14ac:dyDescent="0.3">
      <c r="B121" s="823" t="s">
        <v>678</v>
      </c>
      <c r="C121" s="824"/>
      <c r="D121" s="824"/>
      <c r="E121" s="824"/>
      <c r="F121" s="295">
        <f>F111+F98+F68+F118</f>
        <v>4208998.6050000004</v>
      </c>
      <c r="G121" s="295">
        <f>G111+G98+G68+G118</f>
        <v>0</v>
      </c>
      <c r="H121" s="295">
        <f>F121+G121</f>
        <v>4208998.6050000004</v>
      </c>
      <c r="I121" s="295">
        <f>I118+I111+I98+I68</f>
        <v>4211413.556175</v>
      </c>
      <c r="J121" s="819">
        <f>I118+N111+N98+N68</f>
        <v>4520000</v>
      </c>
      <c r="K121" s="764"/>
      <c r="L121" s="294"/>
      <c r="M121" s="294"/>
      <c r="N121" s="293"/>
      <c r="O121" s="293"/>
    </row>
    <row r="122" spans="1:54" s="292" customFormat="1" ht="27.95" customHeight="1" thickBot="1" x14ac:dyDescent="0.3">
      <c r="B122" s="823" t="s">
        <v>677</v>
      </c>
      <c r="C122" s="824"/>
      <c r="D122" s="824"/>
      <c r="E122" s="824"/>
      <c r="F122" s="295">
        <f>F121-F118</f>
        <v>4208998.6050000004</v>
      </c>
      <c r="G122" s="295">
        <f>G121-G118</f>
        <v>0</v>
      </c>
      <c r="H122" s="295">
        <f>H121-H118</f>
        <v>4208998.6050000004</v>
      </c>
      <c r="I122" s="295">
        <f>I111+I98+I68</f>
        <v>4211413.556175</v>
      </c>
      <c r="J122" s="811">
        <f>J121-I118</f>
        <v>4520000</v>
      </c>
      <c r="K122" s="812"/>
      <c r="L122" s="294"/>
      <c r="M122" s="294"/>
      <c r="N122" s="293"/>
      <c r="O122" s="293"/>
    </row>
    <row r="123" spans="1:54" ht="80.099999999999994" customHeight="1" thickBot="1" x14ac:dyDescent="0.3">
      <c r="B123" s="291" t="s">
        <v>676</v>
      </c>
      <c r="C123" s="289"/>
      <c r="D123" s="289"/>
      <c r="E123" s="289"/>
      <c r="F123" s="290" t="s">
        <v>675</v>
      </c>
      <c r="G123" s="289"/>
      <c r="H123" s="289"/>
      <c r="I123" s="289"/>
      <c r="J123" s="289"/>
      <c r="K123" s="289"/>
      <c r="L123" s="289"/>
    </row>
    <row r="124" spans="1:54" ht="80.099999999999994" customHeight="1" thickBot="1" x14ac:dyDescent="0.3">
      <c r="B124" s="291" t="s">
        <v>674</v>
      </c>
      <c r="C124" s="284"/>
      <c r="D124" s="284"/>
      <c r="E124" s="284"/>
      <c r="F124" s="290" t="s">
        <v>673</v>
      </c>
      <c r="G124" s="289"/>
      <c r="H124" s="289"/>
      <c r="I124" s="289"/>
      <c r="J124" s="289"/>
      <c r="K124" s="289"/>
      <c r="L124" s="289"/>
    </row>
    <row r="125" spans="1:54" ht="80.099999999999994" customHeight="1" thickBot="1" x14ac:dyDescent="0.3">
      <c r="B125" s="288"/>
      <c r="C125" s="284"/>
      <c r="D125" s="284"/>
      <c r="E125" s="284"/>
      <c r="F125" s="290" t="s">
        <v>672</v>
      </c>
      <c r="G125" s="289"/>
      <c r="H125" s="289"/>
      <c r="I125" s="289"/>
      <c r="J125" s="289"/>
      <c r="K125" s="289"/>
      <c r="L125" s="289"/>
    </row>
    <row r="126" spans="1:54" ht="80.099999999999994" customHeight="1" thickBot="1" x14ac:dyDescent="0.3">
      <c r="B126" s="288"/>
      <c r="C126" s="287"/>
      <c r="D126" s="284"/>
      <c r="E126" s="284"/>
      <c r="F126" s="286" t="s">
        <v>671</v>
      </c>
      <c r="G126" s="284"/>
      <c r="H126" s="285"/>
      <c r="I126" s="284"/>
      <c r="J126" s="284"/>
      <c r="K126" s="284"/>
      <c r="L126" s="284"/>
    </row>
    <row r="135" spans="1:6" s="281" customFormat="1" x14ac:dyDescent="0.25">
      <c r="F135" s="670"/>
    </row>
    <row r="136" spans="1:6" s="282" customFormat="1" ht="15" x14ac:dyDescent="0.2">
      <c r="A136" s="283"/>
    </row>
    <row r="137" spans="1:6" s="281" customFormat="1" x14ac:dyDescent="0.25">
      <c r="F137" s="670"/>
    </row>
  </sheetData>
  <mergeCells count="102">
    <mergeCell ref="B2:N2"/>
    <mergeCell ref="B3:B5"/>
    <mergeCell ref="B6:N6"/>
    <mergeCell ref="K3:L3"/>
    <mergeCell ref="K4:L4"/>
    <mergeCell ref="K5:L5"/>
    <mergeCell ref="O8:O10"/>
    <mergeCell ref="B8:B10"/>
    <mergeCell ref="K53:L53"/>
    <mergeCell ref="B11:B32"/>
    <mergeCell ref="C45:E45"/>
    <mergeCell ref="C53:E53"/>
    <mergeCell ref="K32:L32"/>
    <mergeCell ref="M32:N32"/>
    <mergeCell ref="K45:L45"/>
    <mergeCell ref="M45:N45"/>
    <mergeCell ref="I3:J3"/>
    <mergeCell ref="H8:H10"/>
    <mergeCell ref="I8:I10"/>
    <mergeCell ref="J8:J10"/>
    <mergeCell ref="M53:N53"/>
    <mergeCell ref="C25:F25"/>
    <mergeCell ref="F5:H5"/>
    <mergeCell ref="C8:C10"/>
    <mergeCell ref="D8:D10"/>
    <mergeCell ref="E8:E10"/>
    <mergeCell ref="C32:F32"/>
    <mergeCell ref="F8:F10"/>
    <mergeCell ref="G8:G10"/>
    <mergeCell ref="K8:N8"/>
    <mergeCell ref="J101:K101"/>
    <mergeCell ref="L101:M101"/>
    <mergeCell ref="B100:B110"/>
    <mergeCell ref="B74:B96"/>
    <mergeCell ref="K63:L63"/>
    <mergeCell ref="M63:N63"/>
    <mergeCell ref="K65:L65"/>
    <mergeCell ref="M65:N65"/>
    <mergeCell ref="C63:E63"/>
    <mergeCell ref="B35:B65"/>
    <mergeCell ref="I71:I73"/>
    <mergeCell ref="J71:M71"/>
    <mergeCell ref="N71:N73"/>
    <mergeCell ref="J72:K72"/>
    <mergeCell ref="L72:M72"/>
    <mergeCell ref="G71:G73"/>
    <mergeCell ref="J110:K110"/>
    <mergeCell ref="L110:M110"/>
    <mergeCell ref="J122:K122"/>
    <mergeCell ref="H100:H102"/>
    <mergeCell ref="I100:I102"/>
    <mergeCell ref="J100:M100"/>
    <mergeCell ref="J121:K121"/>
    <mergeCell ref="J120:K120"/>
    <mergeCell ref="H114:H116"/>
    <mergeCell ref="B121:E121"/>
    <mergeCell ref="B120:E120"/>
    <mergeCell ref="B122:E122"/>
    <mergeCell ref="C100:C102"/>
    <mergeCell ref="D100:D102"/>
    <mergeCell ref="E100:E102"/>
    <mergeCell ref="B118:E118"/>
    <mergeCell ref="B114:B116"/>
    <mergeCell ref="C114:C116"/>
    <mergeCell ref="D114:D116"/>
    <mergeCell ref="J111:K111"/>
    <mergeCell ref="L111:M111"/>
    <mergeCell ref="I114:I116"/>
    <mergeCell ref="J117:K117"/>
    <mergeCell ref="J118:K118"/>
    <mergeCell ref="G114:G116"/>
    <mergeCell ref="Q104:AL105"/>
    <mergeCell ref="J96:K96"/>
    <mergeCell ref="L96:M96"/>
    <mergeCell ref="J98:K98"/>
    <mergeCell ref="L98:M98"/>
    <mergeCell ref="B71:B73"/>
    <mergeCell ref="C71:C73"/>
    <mergeCell ref="D71:D73"/>
    <mergeCell ref="E71:E73"/>
    <mergeCell ref="E114:E116"/>
    <mergeCell ref="F100:F102"/>
    <mergeCell ref="G100:G102"/>
    <mergeCell ref="F71:F73"/>
    <mergeCell ref="H71:H73"/>
    <mergeCell ref="F114:F116"/>
    <mergeCell ref="Q29:R29"/>
    <mergeCell ref="N100:N102"/>
    <mergeCell ref="Q101:AL102"/>
    <mergeCell ref="J114:K116"/>
    <mergeCell ref="K25:L25"/>
    <mergeCell ref="M25:N25"/>
    <mergeCell ref="K9:L9"/>
    <mergeCell ref="M9:N9"/>
    <mergeCell ref="J68:K68"/>
    <mergeCell ref="L68:M68"/>
    <mergeCell ref="J89:K89"/>
    <mergeCell ref="L89:M89"/>
    <mergeCell ref="R9:AM10"/>
    <mergeCell ref="Q72:AL73"/>
    <mergeCell ref="K33:L33"/>
    <mergeCell ref="M33:N33"/>
  </mergeCells>
  <printOptions horizontalCentered="1" verticalCentered="1"/>
  <pageMargins left="0.25" right="0.25" top="0.19" bottom="0.18" header="0" footer="0.19"/>
  <pageSetup paperSize="17" scale="34" orientation="portrait" r:id="rId1"/>
  <headerFooter alignWithMargins="0">
    <oddFooter>&amp;R&amp;"Arial,Bold"&amp;12Form Template Updated April 2012</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D9203-FB22-4824-A714-A5D1EABF78AA}">
  <sheetPr>
    <tabColor theme="0" tint="-0.14999847407452621"/>
  </sheetPr>
  <dimension ref="B1:U42"/>
  <sheetViews>
    <sheetView tabSelected="1" zoomScale="70" zoomScaleNormal="70" workbookViewId="0">
      <selection activeCell="D8" sqref="D8"/>
    </sheetView>
  </sheetViews>
  <sheetFormatPr defaultRowHeight="15" x14ac:dyDescent="0.25"/>
  <cols>
    <col min="2" max="6" width="22" customWidth="1"/>
    <col min="8" max="12" width="22" customWidth="1"/>
    <col min="18" max="21" width="11.7109375" customWidth="1"/>
  </cols>
  <sheetData>
    <row r="1" spans="2:21" x14ac:dyDescent="0.25">
      <c r="B1" s="1"/>
      <c r="C1" s="1"/>
      <c r="D1" s="1"/>
      <c r="E1" s="1"/>
      <c r="F1" s="1"/>
      <c r="G1" s="1"/>
    </row>
    <row r="2" spans="2:21" x14ac:dyDescent="0.25">
      <c r="B2" s="1" t="s">
        <v>836</v>
      </c>
    </row>
    <row r="3" spans="2:21" x14ac:dyDescent="0.25">
      <c r="B3" s="24" t="s">
        <v>583</v>
      </c>
      <c r="C3" s="24" t="s">
        <v>46</v>
      </c>
      <c r="D3" s="24" t="s">
        <v>580</v>
      </c>
      <c r="E3" s="24" t="s">
        <v>581</v>
      </c>
      <c r="F3" s="24" t="s">
        <v>582</v>
      </c>
    </row>
    <row r="4" spans="2:21" x14ac:dyDescent="0.25">
      <c r="B4" s="24">
        <v>1</v>
      </c>
      <c r="C4" s="250">
        <v>958</v>
      </c>
      <c r="D4" s="43">
        <v>1.6</v>
      </c>
      <c r="E4" s="249">
        <f>C4*D4</f>
        <v>1532.8000000000002</v>
      </c>
      <c r="F4" s="249">
        <f>E4*365</f>
        <v>559472.00000000012</v>
      </c>
    </row>
    <row r="5" spans="2:21" x14ac:dyDescent="0.25">
      <c r="B5" s="24">
        <v>2</v>
      </c>
      <c r="C5" s="250">
        <v>820</v>
      </c>
      <c r="D5" s="43">
        <v>4.5999999999999996</v>
      </c>
      <c r="E5" s="249">
        <f>C5*D5</f>
        <v>3771.9999999999995</v>
      </c>
      <c r="F5" s="249">
        <f>E5*365</f>
        <v>1376779.9999999998</v>
      </c>
    </row>
    <row r="6" spans="2:21" x14ac:dyDescent="0.25">
      <c r="B6" s="24">
        <v>3</v>
      </c>
      <c r="C6" s="250">
        <v>548</v>
      </c>
      <c r="D6" s="43">
        <v>36.799999999999997</v>
      </c>
      <c r="E6" s="249">
        <f>C6*D6</f>
        <v>20166.399999999998</v>
      </c>
      <c r="F6" s="249">
        <f>E6*365</f>
        <v>7360735.9999999991</v>
      </c>
    </row>
    <row r="7" spans="2:21" x14ac:dyDescent="0.25">
      <c r="B7" s="24">
        <v>5</v>
      </c>
      <c r="C7" s="250">
        <v>731</v>
      </c>
      <c r="D7" s="43">
        <v>9</v>
      </c>
      <c r="E7" s="249">
        <f>C7*D7</f>
        <v>6579</v>
      </c>
      <c r="F7" s="249">
        <f>E7*365</f>
        <v>2401335</v>
      </c>
    </row>
    <row r="8" spans="2:21" x14ac:dyDescent="0.25">
      <c r="B8" s="24">
        <v>6</v>
      </c>
      <c r="C8" s="250">
        <v>1247</v>
      </c>
      <c r="D8" s="43">
        <v>1.8</v>
      </c>
      <c r="E8" s="249">
        <f>C8*D8</f>
        <v>2244.6</v>
      </c>
      <c r="F8" s="249">
        <f>E8*365</f>
        <v>819279</v>
      </c>
    </row>
    <row r="9" spans="2:21" x14ac:dyDescent="0.25">
      <c r="B9" s="72" t="s">
        <v>4</v>
      </c>
      <c r="C9" s="72" t="s">
        <v>66</v>
      </c>
      <c r="D9" s="72">
        <f>SUM(D4:D8)</f>
        <v>53.8</v>
      </c>
      <c r="E9" s="248">
        <f>SUM(E4:E8)</f>
        <v>34294.799999999996</v>
      </c>
      <c r="F9" s="248">
        <f>SUM(F4:F8)</f>
        <v>12517602</v>
      </c>
    </row>
    <row r="11" spans="2:21" x14ac:dyDescent="0.25">
      <c r="B11" s="1" t="s">
        <v>837</v>
      </c>
    </row>
    <row r="12" spans="2:21" x14ac:dyDescent="0.25">
      <c r="B12" s="24" t="s">
        <v>583</v>
      </c>
      <c r="C12" s="24" t="s">
        <v>46</v>
      </c>
      <c r="D12" s="24" t="s">
        <v>580</v>
      </c>
      <c r="E12" s="24" t="s">
        <v>581</v>
      </c>
      <c r="F12" s="24" t="s">
        <v>582</v>
      </c>
    </row>
    <row r="13" spans="2:21" x14ac:dyDescent="0.25">
      <c r="B13" s="24">
        <v>1</v>
      </c>
      <c r="C13" s="250">
        <v>857</v>
      </c>
      <c r="D13" s="43">
        <v>38</v>
      </c>
      <c r="E13" s="249">
        <f t="shared" ref="E13:E28" si="0">C13*D13</f>
        <v>32566</v>
      </c>
      <c r="F13" s="249">
        <f>E13*365</f>
        <v>11886590</v>
      </c>
    </row>
    <row r="14" spans="2:21" x14ac:dyDescent="0.25">
      <c r="B14" s="24">
        <v>2</v>
      </c>
      <c r="C14" s="250">
        <v>792</v>
      </c>
      <c r="D14" s="43">
        <v>16</v>
      </c>
      <c r="E14" s="249">
        <f t="shared" si="0"/>
        <v>12672</v>
      </c>
      <c r="F14" s="249">
        <f t="shared" ref="F14:F28" si="1">E14*365</f>
        <v>4625280</v>
      </c>
      <c r="U14" s="16"/>
    </row>
    <row r="15" spans="2:21" x14ac:dyDescent="0.25">
      <c r="B15" s="24">
        <v>3</v>
      </c>
      <c r="C15" s="250">
        <v>947</v>
      </c>
      <c r="D15" s="43">
        <v>0.3</v>
      </c>
      <c r="E15" s="249">
        <f t="shared" si="0"/>
        <v>284.09999999999997</v>
      </c>
      <c r="F15" s="249">
        <f t="shared" si="1"/>
        <v>103696.49999999999</v>
      </c>
      <c r="U15" s="16"/>
    </row>
    <row r="16" spans="2:21" x14ac:dyDescent="0.25">
      <c r="B16" s="24">
        <v>4</v>
      </c>
      <c r="C16" s="250">
        <v>1320</v>
      </c>
      <c r="D16" s="43">
        <v>0.6</v>
      </c>
      <c r="E16" s="249">
        <f t="shared" si="0"/>
        <v>792</v>
      </c>
      <c r="F16" s="249">
        <f t="shared" si="1"/>
        <v>289080</v>
      </c>
      <c r="U16" s="16"/>
    </row>
    <row r="17" spans="2:21" x14ac:dyDescent="0.25">
      <c r="B17" s="24">
        <v>5</v>
      </c>
      <c r="C17" s="250">
        <v>1424</v>
      </c>
      <c r="D17" s="43">
        <v>0.1</v>
      </c>
      <c r="E17" s="249">
        <f t="shared" si="0"/>
        <v>142.4</v>
      </c>
      <c r="F17" s="249">
        <f t="shared" si="1"/>
        <v>51976</v>
      </c>
      <c r="U17" s="16"/>
    </row>
    <row r="18" spans="2:21" x14ac:dyDescent="0.25">
      <c r="B18" s="24">
        <v>6</v>
      </c>
      <c r="C18" s="250">
        <v>1357</v>
      </c>
      <c r="D18" s="43">
        <v>4.5999999999999996</v>
      </c>
      <c r="E18" s="249">
        <f t="shared" si="0"/>
        <v>6242.2</v>
      </c>
      <c r="F18" s="249">
        <f t="shared" si="1"/>
        <v>2278403</v>
      </c>
      <c r="R18" s="1"/>
      <c r="T18" s="245"/>
      <c r="U18" s="246"/>
    </row>
    <row r="19" spans="2:21" x14ac:dyDescent="0.25">
      <c r="B19" s="24">
        <v>7</v>
      </c>
      <c r="C19" s="250">
        <v>602</v>
      </c>
      <c r="D19" s="43">
        <v>4.9000000000000004</v>
      </c>
      <c r="E19" s="249">
        <f t="shared" si="0"/>
        <v>2949.8</v>
      </c>
      <c r="F19" s="249">
        <f t="shared" si="1"/>
        <v>1076677</v>
      </c>
    </row>
    <row r="20" spans="2:21" x14ac:dyDescent="0.25">
      <c r="B20" s="24">
        <v>8</v>
      </c>
      <c r="C20" s="250">
        <v>1456</v>
      </c>
      <c r="D20" s="43">
        <v>3</v>
      </c>
      <c r="E20" s="249">
        <f t="shared" si="0"/>
        <v>4368</v>
      </c>
      <c r="F20" s="249">
        <f t="shared" si="1"/>
        <v>1594320</v>
      </c>
    </row>
    <row r="21" spans="2:21" x14ac:dyDescent="0.25">
      <c r="B21" s="24">
        <v>9</v>
      </c>
      <c r="C21" s="250">
        <v>958</v>
      </c>
      <c r="D21" s="43">
        <v>2.2999999999999998</v>
      </c>
      <c r="E21" s="249">
        <f t="shared" si="0"/>
        <v>2203.3999999999996</v>
      </c>
      <c r="F21" s="249">
        <f t="shared" si="1"/>
        <v>804240.99999999988</v>
      </c>
    </row>
    <row r="22" spans="2:21" x14ac:dyDescent="0.25">
      <c r="B22" s="24">
        <v>10</v>
      </c>
      <c r="C22" s="250">
        <v>671</v>
      </c>
      <c r="D22" s="43">
        <v>4.0999999999999996</v>
      </c>
      <c r="E22" s="249">
        <f t="shared" si="0"/>
        <v>2751.1</v>
      </c>
      <c r="F22" s="249">
        <f t="shared" si="1"/>
        <v>1004151.5</v>
      </c>
    </row>
    <row r="23" spans="2:21" x14ac:dyDescent="0.25">
      <c r="B23" s="24">
        <v>11</v>
      </c>
      <c r="C23" s="250">
        <v>749</v>
      </c>
      <c r="D23" s="43">
        <v>3.9</v>
      </c>
      <c r="E23" s="249">
        <f t="shared" si="0"/>
        <v>2921.1</v>
      </c>
      <c r="F23" s="249">
        <f t="shared" si="1"/>
        <v>1066201.5</v>
      </c>
    </row>
    <row r="24" spans="2:21" x14ac:dyDescent="0.25">
      <c r="B24" s="24">
        <v>12</v>
      </c>
      <c r="C24" s="250">
        <v>695</v>
      </c>
      <c r="D24" s="43">
        <v>21</v>
      </c>
      <c r="E24" s="249">
        <f t="shared" si="0"/>
        <v>14595</v>
      </c>
      <c r="F24" s="249">
        <f t="shared" si="1"/>
        <v>5327175</v>
      </c>
    </row>
    <row r="25" spans="2:21" x14ac:dyDescent="0.25">
      <c r="B25" s="24">
        <v>13</v>
      </c>
      <c r="C25" s="250">
        <v>1292</v>
      </c>
      <c r="D25" s="43">
        <v>0.6</v>
      </c>
      <c r="E25" s="249">
        <f t="shared" si="0"/>
        <v>775.19999999999993</v>
      </c>
      <c r="F25" s="249">
        <f t="shared" si="1"/>
        <v>282948</v>
      </c>
    </row>
    <row r="26" spans="2:21" x14ac:dyDescent="0.25">
      <c r="B26" s="24">
        <v>14</v>
      </c>
      <c r="C26" s="250">
        <v>1155</v>
      </c>
      <c r="D26" s="43">
        <v>13.2</v>
      </c>
      <c r="E26" s="249">
        <f t="shared" si="0"/>
        <v>15246</v>
      </c>
      <c r="F26" s="249">
        <f t="shared" si="1"/>
        <v>5564790</v>
      </c>
    </row>
    <row r="27" spans="2:21" x14ac:dyDescent="0.25">
      <c r="B27" s="24">
        <v>15</v>
      </c>
      <c r="C27" s="250">
        <v>1018</v>
      </c>
      <c r="D27" s="43">
        <v>5.3</v>
      </c>
      <c r="E27" s="249">
        <f t="shared" si="0"/>
        <v>5395.4</v>
      </c>
      <c r="F27" s="249">
        <f t="shared" si="1"/>
        <v>1969320.9999999998</v>
      </c>
    </row>
    <row r="28" spans="2:21" x14ac:dyDescent="0.25">
      <c r="B28" s="24">
        <v>16</v>
      </c>
      <c r="C28" s="250">
        <v>1458</v>
      </c>
      <c r="D28" s="43">
        <v>8.6</v>
      </c>
      <c r="E28" s="249">
        <f t="shared" si="0"/>
        <v>12538.8</v>
      </c>
      <c r="F28" s="249">
        <f t="shared" si="1"/>
        <v>4576662</v>
      </c>
    </row>
    <row r="29" spans="2:21" x14ac:dyDescent="0.25">
      <c r="B29" s="72" t="s">
        <v>4</v>
      </c>
      <c r="C29" s="72" t="s">
        <v>66</v>
      </c>
      <c r="D29" s="72">
        <f>SUM(D13:D28)</f>
        <v>126.49999999999999</v>
      </c>
      <c r="E29" s="247">
        <f>SUM(E13:E28)</f>
        <v>116442.5</v>
      </c>
      <c r="F29" s="248">
        <f>SUM(F13:F28)</f>
        <v>42501512.5</v>
      </c>
    </row>
    <row r="31" spans="2:21" x14ac:dyDescent="0.25">
      <c r="B31" s="1" t="s">
        <v>838</v>
      </c>
    </row>
    <row r="32" spans="2:21" x14ac:dyDescent="0.25">
      <c r="B32" s="24" t="s">
        <v>583</v>
      </c>
      <c r="C32" s="24" t="s">
        <v>46</v>
      </c>
      <c r="D32" s="24" t="s">
        <v>580</v>
      </c>
      <c r="E32" s="24" t="s">
        <v>581</v>
      </c>
      <c r="F32" s="24" t="s">
        <v>582</v>
      </c>
    </row>
    <row r="33" spans="2:6" x14ac:dyDescent="0.25">
      <c r="B33" s="24">
        <v>1</v>
      </c>
      <c r="C33" s="250">
        <v>548</v>
      </c>
      <c r="D33" s="43">
        <v>19.399999999999999</v>
      </c>
      <c r="E33" s="249">
        <f>C33*D33</f>
        <v>10631.199999999999</v>
      </c>
      <c r="F33" s="249">
        <f>E33*365</f>
        <v>3880387.9999999995</v>
      </c>
    </row>
    <row r="34" spans="2:6" x14ac:dyDescent="0.25">
      <c r="B34" s="72" t="s">
        <v>4</v>
      </c>
      <c r="C34" s="72" t="s">
        <v>66</v>
      </c>
      <c r="D34" s="72">
        <f t="shared" ref="D34" si="2">SUM(D33)</f>
        <v>19.399999999999999</v>
      </c>
      <c r="E34" s="247">
        <f>SUM(E33)</f>
        <v>10631.199999999999</v>
      </c>
      <c r="F34" s="248">
        <f t="shared" ref="F34" si="3">SUM(F33)</f>
        <v>3880387.9999999995</v>
      </c>
    </row>
    <row r="36" spans="2:6" x14ac:dyDescent="0.25">
      <c r="B36" s="1" t="s">
        <v>839</v>
      </c>
    </row>
    <row r="37" spans="2:6" x14ac:dyDescent="0.25">
      <c r="B37" s="24" t="s">
        <v>583</v>
      </c>
      <c r="C37" s="24" t="s">
        <v>46</v>
      </c>
      <c r="D37" s="24" t="s">
        <v>580</v>
      </c>
      <c r="E37" s="24" t="s">
        <v>581</v>
      </c>
      <c r="F37" s="24" t="s">
        <v>582</v>
      </c>
    </row>
    <row r="38" spans="2:6" x14ac:dyDescent="0.25">
      <c r="B38" s="24">
        <v>1</v>
      </c>
      <c r="C38" s="250">
        <v>49</v>
      </c>
      <c r="D38" s="43">
        <v>10</v>
      </c>
      <c r="E38" s="249">
        <f>C38*D38</f>
        <v>490</v>
      </c>
      <c r="F38" s="249">
        <f>E38*365</f>
        <v>178850</v>
      </c>
    </row>
    <row r="39" spans="2:6" x14ac:dyDescent="0.25">
      <c r="B39" s="24">
        <v>2</v>
      </c>
      <c r="C39" s="250">
        <v>67</v>
      </c>
      <c r="D39" s="43">
        <v>7.7</v>
      </c>
      <c r="E39" s="249">
        <f>C39*D39</f>
        <v>515.9</v>
      </c>
      <c r="F39" s="249">
        <f>E39*365</f>
        <v>188303.5</v>
      </c>
    </row>
    <row r="40" spans="2:6" x14ac:dyDescent="0.25">
      <c r="B40" s="24">
        <v>3</v>
      </c>
      <c r="C40" s="250">
        <v>95</v>
      </c>
      <c r="D40" s="43">
        <v>5.0999999999999996</v>
      </c>
      <c r="E40" s="249">
        <f>C40*D40</f>
        <v>484.49999999999994</v>
      </c>
      <c r="F40" s="249">
        <f>E40*365</f>
        <v>176842.49999999997</v>
      </c>
    </row>
    <row r="41" spans="2:6" x14ac:dyDescent="0.25">
      <c r="B41" s="24">
        <v>4</v>
      </c>
      <c r="C41" s="250">
        <v>192</v>
      </c>
      <c r="D41" s="43">
        <v>3.2</v>
      </c>
      <c r="E41" s="249">
        <f>C41*D41</f>
        <v>614.40000000000009</v>
      </c>
      <c r="F41" s="249">
        <f>E41*365</f>
        <v>224256.00000000003</v>
      </c>
    </row>
    <row r="42" spans="2:6" x14ac:dyDescent="0.25">
      <c r="B42" s="72" t="s">
        <v>4</v>
      </c>
      <c r="C42" s="72" t="s">
        <v>66</v>
      </c>
      <c r="D42" s="72">
        <f>SUM(D38:D41)</f>
        <v>25.999999999999996</v>
      </c>
      <c r="E42" s="247">
        <f>SUM(E38:E41)</f>
        <v>2104.8000000000002</v>
      </c>
      <c r="F42" s="248">
        <f>SUM(F38:F41)</f>
        <v>768252</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85A1A-F051-4707-90E0-DE841A163744}">
  <sheetPr codeName="Sheet18">
    <tabColor theme="0" tint="-0.14999847407452621"/>
    <pageSetUpPr fitToPage="1"/>
  </sheetPr>
  <dimension ref="C3:R13"/>
  <sheetViews>
    <sheetView view="pageBreakPreview" zoomScale="85" zoomScaleNormal="40" zoomScaleSheetLayoutView="85" workbookViewId="0"/>
  </sheetViews>
  <sheetFormatPr defaultRowHeight="15" x14ac:dyDescent="0.25"/>
  <sheetData>
    <row r="3" spans="3:18" x14ac:dyDescent="0.25">
      <c r="C3" s="88" t="s">
        <v>239</v>
      </c>
    </row>
    <row r="4" spans="3:18" x14ac:dyDescent="0.25">
      <c r="C4" s="1"/>
    </row>
    <row r="5" spans="3:18" ht="15" customHeight="1" x14ac:dyDescent="0.25">
      <c r="C5" s="702" t="s">
        <v>446</v>
      </c>
      <c r="D5" s="702"/>
      <c r="E5" s="702"/>
      <c r="F5" s="702"/>
      <c r="G5" s="702"/>
      <c r="H5" s="702"/>
      <c r="I5" s="702"/>
      <c r="J5" s="702"/>
      <c r="K5" s="702"/>
      <c r="L5" s="8"/>
      <c r="M5" s="8"/>
      <c r="N5" s="8"/>
      <c r="O5" s="8"/>
      <c r="P5" s="8"/>
      <c r="Q5" s="8"/>
      <c r="R5" s="8"/>
    </row>
    <row r="6" spans="3:18" x14ac:dyDescent="0.25">
      <c r="C6" s="702"/>
      <c r="D6" s="702"/>
      <c r="E6" s="702"/>
      <c r="F6" s="702"/>
      <c r="G6" s="702"/>
      <c r="H6" s="702"/>
      <c r="I6" s="702"/>
      <c r="J6" s="702"/>
      <c r="K6" s="702"/>
      <c r="L6" s="8"/>
      <c r="M6" s="8"/>
      <c r="N6" s="8"/>
      <c r="O6" s="8"/>
      <c r="P6" s="8"/>
      <c r="Q6" s="8"/>
      <c r="R6" s="8"/>
    </row>
    <row r="7" spans="3:18" x14ac:dyDescent="0.25">
      <c r="C7" s="702"/>
      <c r="D7" s="702"/>
      <c r="E7" s="702"/>
      <c r="F7" s="702"/>
      <c r="G7" s="702"/>
      <c r="H7" s="702"/>
      <c r="I7" s="702"/>
      <c r="J7" s="702"/>
      <c r="K7" s="702"/>
      <c r="L7" s="8"/>
      <c r="M7" s="8"/>
      <c r="N7" s="8"/>
      <c r="O7" s="8"/>
      <c r="P7" s="8"/>
      <c r="Q7" s="8"/>
      <c r="R7" s="8"/>
    </row>
    <row r="9" spans="3:18" x14ac:dyDescent="0.25">
      <c r="C9" s="1" t="s">
        <v>240</v>
      </c>
    </row>
    <row r="10" spans="3:18" x14ac:dyDescent="0.25">
      <c r="C10" s="24" t="s">
        <v>30</v>
      </c>
      <c r="D10" s="24" t="s">
        <v>46</v>
      </c>
    </row>
    <row r="11" spans="3:18" x14ac:dyDescent="0.25">
      <c r="C11" s="24">
        <v>2021</v>
      </c>
      <c r="D11" s="24">
        <v>670</v>
      </c>
    </row>
    <row r="12" spans="3:18" x14ac:dyDescent="0.25">
      <c r="C12" t="s">
        <v>144</v>
      </c>
    </row>
    <row r="13" spans="3:18" x14ac:dyDescent="0.25">
      <c r="D13" s="73"/>
    </row>
  </sheetData>
  <mergeCells count="1">
    <mergeCell ref="C5:K7"/>
  </mergeCells>
  <pageMargins left="0.7" right="0.7" top="0.75" bottom="0.75" header="0.3" footer="0.3"/>
  <pageSetup scale="5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0CFF6-BABA-4B75-A80C-C3642532BBC1}">
  <sheetPr codeName="Sheet13">
    <tabColor theme="0" tint="-0.14999847407452621"/>
    <pageSetUpPr fitToPage="1"/>
  </sheetPr>
  <dimension ref="C4:R45"/>
  <sheetViews>
    <sheetView view="pageBreakPreview" zoomScale="85" zoomScaleNormal="40" zoomScaleSheetLayoutView="85" workbookViewId="0">
      <selection activeCell="R18" sqref="R18"/>
    </sheetView>
  </sheetViews>
  <sheetFormatPr defaultRowHeight="15" x14ac:dyDescent="0.25"/>
  <cols>
    <col min="3" max="3" width="12.85546875" customWidth="1"/>
    <col min="4" max="5" width="12.42578125" customWidth="1"/>
    <col min="7" max="7" width="18" bestFit="1" customWidth="1"/>
    <col min="11" max="11" width="18" bestFit="1" customWidth="1"/>
    <col min="16" max="16" width="12.42578125" bestFit="1" customWidth="1"/>
    <col min="17" max="17" width="6.140625" bestFit="1" customWidth="1"/>
    <col min="18" max="18" width="8.28515625" bestFit="1" customWidth="1"/>
    <col min="19" max="19" width="8.42578125" bestFit="1" customWidth="1"/>
  </cols>
  <sheetData>
    <row r="4" spans="3:18" x14ac:dyDescent="0.25">
      <c r="C4" s="88" t="s">
        <v>228</v>
      </c>
    </row>
    <row r="5" spans="3:18" x14ac:dyDescent="0.25">
      <c r="C5" s="1"/>
    </row>
    <row r="6" spans="3:18" x14ac:dyDescent="0.25">
      <c r="C6" s="702" t="s">
        <v>578</v>
      </c>
      <c r="D6" s="702"/>
      <c r="E6" s="702"/>
      <c r="F6" s="702"/>
      <c r="G6" s="702"/>
      <c r="H6" s="702"/>
      <c r="I6" s="702"/>
      <c r="J6" s="702"/>
      <c r="K6" s="702"/>
      <c r="L6" s="702"/>
      <c r="M6" s="702"/>
      <c r="N6" s="702"/>
      <c r="O6" s="702"/>
      <c r="P6" s="702"/>
      <c r="Q6" s="702"/>
      <c r="R6" s="702"/>
    </row>
    <row r="7" spans="3:18" x14ac:dyDescent="0.25">
      <c r="C7" s="702"/>
      <c r="D7" s="702"/>
      <c r="E7" s="702"/>
      <c r="F7" s="702"/>
      <c r="G7" s="702"/>
      <c r="H7" s="702"/>
      <c r="I7" s="702"/>
      <c r="J7" s="702"/>
      <c r="K7" s="702"/>
      <c r="L7" s="702"/>
      <c r="M7" s="702"/>
      <c r="N7" s="702"/>
      <c r="O7" s="702"/>
      <c r="P7" s="702"/>
      <c r="Q7" s="702"/>
      <c r="R7" s="702"/>
    </row>
    <row r="8" spans="3:18" x14ac:dyDescent="0.25">
      <c r="C8" s="702"/>
      <c r="D8" s="702"/>
      <c r="E8" s="702"/>
      <c r="F8" s="702"/>
      <c r="G8" s="702"/>
      <c r="H8" s="702"/>
      <c r="I8" s="702"/>
      <c r="J8" s="702"/>
      <c r="K8" s="702"/>
      <c r="L8" s="702"/>
      <c r="M8" s="702"/>
      <c r="N8" s="702"/>
      <c r="O8" s="702"/>
      <c r="P8" s="702"/>
      <c r="Q8" s="702"/>
      <c r="R8" s="702"/>
    </row>
    <row r="9" spans="3:18" x14ac:dyDescent="0.25">
      <c r="C9" s="1"/>
    </row>
    <row r="10" spans="3:18" x14ac:dyDescent="0.25">
      <c r="C10" s="1" t="s">
        <v>229</v>
      </c>
    </row>
    <row r="45" spans="3:3" x14ac:dyDescent="0.25">
      <c r="C45" s="1" t="s">
        <v>230</v>
      </c>
    </row>
  </sheetData>
  <mergeCells count="1">
    <mergeCell ref="C6:R8"/>
  </mergeCells>
  <pageMargins left="0.7" right="0.7" top="0.75" bottom="0.75" header="0.3" footer="0.3"/>
  <pageSetup scale="4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F4447-E02D-401F-A2D1-C5634E119581}">
  <sheetPr codeName="Sheet15">
    <tabColor theme="0" tint="-0.14999847407452621"/>
  </sheetPr>
  <dimension ref="A1:DC14"/>
  <sheetViews>
    <sheetView workbookViewId="0">
      <selection activeCell="A4" sqref="A4:XFD4"/>
    </sheetView>
  </sheetViews>
  <sheetFormatPr defaultRowHeight="15" x14ac:dyDescent="0.25"/>
  <cols>
    <col min="14" max="14" width="11.42578125" bestFit="1" customWidth="1"/>
    <col min="19" max="19" width="21.140625" bestFit="1" customWidth="1"/>
    <col min="21" max="21" width="19.5703125" bestFit="1" customWidth="1"/>
  </cols>
  <sheetData>
    <row r="1" spans="1:107" ht="15" customHeight="1" x14ac:dyDescent="0.25">
      <c r="A1" t="s">
        <v>403</v>
      </c>
      <c r="B1" t="s">
        <v>402</v>
      </c>
      <c r="C1" t="s">
        <v>401</v>
      </c>
      <c r="D1" t="s">
        <v>400</v>
      </c>
      <c r="E1" t="s">
        <v>399</v>
      </c>
      <c r="F1" t="s">
        <v>398</v>
      </c>
      <c r="G1" t="s">
        <v>397</v>
      </c>
      <c r="H1" t="s">
        <v>396</v>
      </c>
      <c r="I1" t="s">
        <v>395</v>
      </c>
      <c r="J1" t="s">
        <v>394</v>
      </c>
      <c r="K1" t="s">
        <v>393</v>
      </c>
      <c r="L1" t="s">
        <v>392</v>
      </c>
      <c r="M1" t="s">
        <v>391</v>
      </c>
      <c r="N1" t="s">
        <v>390</v>
      </c>
      <c r="O1" t="s">
        <v>389</v>
      </c>
      <c r="P1" t="s">
        <v>388</v>
      </c>
      <c r="Q1" t="s">
        <v>387</v>
      </c>
      <c r="R1" t="s">
        <v>386</v>
      </c>
      <c r="S1" t="s">
        <v>385</v>
      </c>
      <c r="T1" t="s">
        <v>384</v>
      </c>
      <c r="U1" t="s">
        <v>383</v>
      </c>
      <c r="V1" t="s">
        <v>382</v>
      </c>
      <c r="W1" t="s">
        <v>381</v>
      </c>
      <c r="X1" t="s">
        <v>380</v>
      </c>
      <c r="Y1" t="s">
        <v>379</v>
      </c>
      <c r="Z1" t="s">
        <v>378</v>
      </c>
      <c r="AA1" t="s">
        <v>377</v>
      </c>
      <c r="AB1" t="s">
        <v>376</v>
      </c>
      <c r="AC1" t="s">
        <v>375</v>
      </c>
      <c r="AD1" t="s">
        <v>374</v>
      </c>
      <c r="AE1" t="s">
        <v>373</v>
      </c>
      <c r="AF1" t="s">
        <v>372</v>
      </c>
      <c r="AG1" t="s">
        <v>371</v>
      </c>
      <c r="AH1" t="s">
        <v>370</v>
      </c>
      <c r="AI1" t="s">
        <v>369</v>
      </c>
      <c r="AJ1" t="s">
        <v>368</v>
      </c>
      <c r="AK1" t="s">
        <v>367</v>
      </c>
      <c r="AL1" t="s">
        <v>366</v>
      </c>
      <c r="AM1" t="s">
        <v>365</v>
      </c>
      <c r="AN1" t="s">
        <v>364</v>
      </c>
      <c r="AO1" t="s">
        <v>363</v>
      </c>
      <c r="AP1" t="s">
        <v>362</v>
      </c>
      <c r="AQ1" t="s">
        <v>361</v>
      </c>
      <c r="AR1" t="s">
        <v>360</v>
      </c>
      <c r="AS1" t="s">
        <v>359</v>
      </c>
      <c r="AT1" t="s">
        <v>358</v>
      </c>
      <c r="AU1" t="s">
        <v>357</v>
      </c>
      <c r="AV1" t="s">
        <v>356</v>
      </c>
      <c r="AW1" t="s">
        <v>355</v>
      </c>
      <c r="AX1" t="s">
        <v>354</v>
      </c>
      <c r="AY1" t="s">
        <v>353</v>
      </c>
      <c r="AZ1" t="s">
        <v>352</v>
      </c>
      <c r="BA1" t="s">
        <v>351</v>
      </c>
      <c r="BB1" t="s">
        <v>350</v>
      </c>
      <c r="BC1" t="s">
        <v>349</v>
      </c>
      <c r="BD1" t="s">
        <v>348</v>
      </c>
      <c r="BE1" t="s">
        <v>347</v>
      </c>
      <c r="BF1" t="s">
        <v>346</v>
      </c>
      <c r="BG1" t="s">
        <v>345</v>
      </c>
      <c r="BH1" t="s">
        <v>344</v>
      </c>
      <c r="BI1" t="s">
        <v>343</v>
      </c>
      <c r="BJ1" t="s">
        <v>342</v>
      </c>
      <c r="BK1" t="s">
        <v>341</v>
      </c>
      <c r="BL1" t="s">
        <v>340</v>
      </c>
      <c r="BM1" t="s">
        <v>339</v>
      </c>
      <c r="BN1" t="s">
        <v>338</v>
      </c>
      <c r="BO1" t="s">
        <v>337</v>
      </c>
      <c r="BP1" t="s">
        <v>336</v>
      </c>
      <c r="BQ1" t="s">
        <v>335</v>
      </c>
      <c r="BR1" t="s">
        <v>334</v>
      </c>
      <c r="BS1" t="s">
        <v>333</v>
      </c>
      <c r="BT1" t="s">
        <v>332</v>
      </c>
      <c r="BU1" t="s">
        <v>331</v>
      </c>
      <c r="BV1" t="s">
        <v>330</v>
      </c>
      <c r="BW1" t="s">
        <v>329</v>
      </c>
      <c r="BX1" t="s">
        <v>328</v>
      </c>
      <c r="BY1" t="s">
        <v>327</v>
      </c>
      <c r="BZ1" t="s">
        <v>326</v>
      </c>
      <c r="CA1" t="s">
        <v>325</v>
      </c>
      <c r="CB1" t="s">
        <v>324</v>
      </c>
      <c r="CC1" t="s">
        <v>323</v>
      </c>
      <c r="CD1" t="s">
        <v>322</v>
      </c>
      <c r="CE1" t="s">
        <v>321</v>
      </c>
      <c r="CF1" t="s">
        <v>320</v>
      </c>
      <c r="CG1" t="s">
        <v>319</v>
      </c>
      <c r="CH1" t="s">
        <v>318</v>
      </c>
      <c r="CI1" t="s">
        <v>317</v>
      </c>
      <c r="CJ1" t="s">
        <v>316</v>
      </c>
      <c r="CK1" t="s">
        <v>315</v>
      </c>
      <c r="CL1" t="s">
        <v>314</v>
      </c>
      <c r="CM1" t="s">
        <v>313</v>
      </c>
      <c r="CN1" t="s">
        <v>312</v>
      </c>
      <c r="CO1" t="s">
        <v>311</v>
      </c>
      <c r="CP1" t="s">
        <v>310</v>
      </c>
      <c r="CQ1" t="s">
        <v>309</v>
      </c>
      <c r="CR1" t="s">
        <v>308</v>
      </c>
      <c r="CS1" t="s">
        <v>307</v>
      </c>
      <c r="CT1" t="s">
        <v>306</v>
      </c>
      <c r="CU1" t="s">
        <v>305</v>
      </c>
      <c r="CV1" t="s">
        <v>304</v>
      </c>
      <c r="CW1" t="s">
        <v>303</v>
      </c>
      <c r="CX1" t="s">
        <v>302</v>
      </c>
      <c r="CY1" t="s">
        <v>301</v>
      </c>
      <c r="CZ1" t="s">
        <v>300</v>
      </c>
      <c r="DA1" t="s">
        <v>299</v>
      </c>
      <c r="DB1" t="s">
        <v>298</v>
      </c>
      <c r="DC1" t="s">
        <v>297</v>
      </c>
    </row>
    <row r="2" spans="1:107" ht="15" customHeight="1" x14ac:dyDescent="0.25">
      <c r="A2">
        <v>761169</v>
      </c>
      <c r="B2" t="s">
        <v>273</v>
      </c>
      <c r="C2">
        <v>11</v>
      </c>
      <c r="D2">
        <v>168.96899999999999</v>
      </c>
      <c r="E2" t="s">
        <v>272</v>
      </c>
      <c r="H2" t="s">
        <v>271</v>
      </c>
      <c r="I2" t="s">
        <v>270</v>
      </c>
      <c r="K2">
        <v>19311345</v>
      </c>
      <c r="L2">
        <v>193120220</v>
      </c>
      <c r="M2" s="237">
        <v>45241</v>
      </c>
      <c r="N2">
        <v>8</v>
      </c>
      <c r="O2">
        <v>2019</v>
      </c>
      <c r="P2" t="s">
        <v>293</v>
      </c>
      <c r="Q2">
        <v>18</v>
      </c>
      <c r="R2" t="s">
        <v>123</v>
      </c>
      <c r="S2" t="s">
        <v>268</v>
      </c>
      <c r="T2">
        <v>0</v>
      </c>
      <c r="U2">
        <v>1</v>
      </c>
      <c r="W2" t="s">
        <v>175</v>
      </c>
      <c r="X2" t="s">
        <v>278</v>
      </c>
      <c r="Y2" t="s">
        <v>277</v>
      </c>
      <c r="Z2" t="s">
        <v>183</v>
      </c>
      <c r="AA2" t="s">
        <v>179</v>
      </c>
      <c r="AB2" t="s">
        <v>183</v>
      </c>
      <c r="AC2" t="s">
        <v>263</v>
      </c>
      <c r="AD2" t="s">
        <v>262</v>
      </c>
      <c r="AF2" t="s">
        <v>261</v>
      </c>
      <c r="AG2" t="s">
        <v>292</v>
      </c>
      <c r="AH2" t="s">
        <v>259</v>
      </c>
      <c r="AI2" t="s">
        <v>167</v>
      </c>
      <c r="AJ2" t="s">
        <v>258</v>
      </c>
      <c r="AK2" t="s">
        <v>257</v>
      </c>
      <c r="AL2">
        <v>68</v>
      </c>
      <c r="AM2" t="s">
        <v>286</v>
      </c>
      <c r="AN2" t="s">
        <v>255</v>
      </c>
      <c r="AO2" t="s">
        <v>291</v>
      </c>
      <c r="AS2" t="s">
        <v>253</v>
      </c>
      <c r="AT2" t="s">
        <v>252</v>
      </c>
      <c r="AU2">
        <v>60</v>
      </c>
      <c r="AV2" t="s">
        <v>283</v>
      </c>
      <c r="AW2" t="s">
        <v>250</v>
      </c>
      <c r="CT2">
        <v>438978.91879999998</v>
      </c>
      <c r="CU2">
        <v>5384478.5664999997</v>
      </c>
      <c r="CV2">
        <v>48.610413479999998</v>
      </c>
      <c r="CW2">
        <v>-93.827851030000005</v>
      </c>
      <c r="CX2" s="89">
        <v>43777.756944444445</v>
      </c>
      <c r="CY2" t="s">
        <v>249</v>
      </c>
      <c r="CZ2" t="s">
        <v>248</v>
      </c>
      <c r="DA2" t="s">
        <v>247</v>
      </c>
      <c r="DB2" t="s">
        <v>246</v>
      </c>
      <c r="DC2" s="18" t="s">
        <v>290</v>
      </c>
    </row>
    <row r="3" spans="1:107" ht="15" customHeight="1" x14ac:dyDescent="0.25">
      <c r="A3">
        <v>668557</v>
      </c>
      <c r="B3" t="s">
        <v>273</v>
      </c>
      <c r="C3">
        <v>11</v>
      </c>
      <c r="D3">
        <v>169.14</v>
      </c>
      <c r="E3" t="s">
        <v>272</v>
      </c>
      <c r="H3" t="s">
        <v>271</v>
      </c>
      <c r="I3" t="s">
        <v>270</v>
      </c>
      <c r="K3">
        <v>18311442</v>
      </c>
      <c r="L3">
        <v>183430146</v>
      </c>
      <c r="M3" s="237">
        <v>45272</v>
      </c>
      <c r="N3">
        <v>9</v>
      </c>
      <c r="O3">
        <v>2018</v>
      </c>
      <c r="P3" t="s">
        <v>289</v>
      </c>
      <c r="Q3">
        <v>12</v>
      </c>
      <c r="R3" t="s">
        <v>123</v>
      </c>
      <c r="S3" t="s">
        <v>288</v>
      </c>
      <c r="T3">
        <v>0</v>
      </c>
      <c r="U3">
        <v>1</v>
      </c>
      <c r="W3" t="s">
        <v>279</v>
      </c>
      <c r="X3" t="s">
        <v>278</v>
      </c>
      <c r="Y3" t="s">
        <v>165</v>
      </c>
      <c r="Z3" t="s">
        <v>179</v>
      </c>
      <c r="AB3" t="s">
        <v>166</v>
      </c>
      <c r="AC3" t="s">
        <v>263</v>
      </c>
      <c r="AD3" t="s">
        <v>262</v>
      </c>
      <c r="AF3" t="s">
        <v>261</v>
      </c>
      <c r="AG3" t="s">
        <v>260</v>
      </c>
      <c r="AH3" t="s">
        <v>259</v>
      </c>
      <c r="AI3" t="s">
        <v>287</v>
      </c>
      <c r="AJ3" t="s">
        <v>258</v>
      </c>
      <c r="AK3" t="s">
        <v>257</v>
      </c>
      <c r="AL3">
        <v>29</v>
      </c>
      <c r="AM3" t="s">
        <v>286</v>
      </c>
      <c r="AN3" t="s">
        <v>255</v>
      </c>
      <c r="AO3" t="s">
        <v>285</v>
      </c>
      <c r="AP3" t="s">
        <v>284</v>
      </c>
      <c r="AS3" t="s">
        <v>253</v>
      </c>
      <c r="AT3" t="s">
        <v>252</v>
      </c>
      <c r="AU3">
        <v>60</v>
      </c>
      <c r="AV3" t="s">
        <v>283</v>
      </c>
      <c r="AW3" t="s">
        <v>250</v>
      </c>
      <c r="CT3">
        <v>439115.88</v>
      </c>
      <c r="CU3">
        <v>5384241.0626999997</v>
      </c>
      <c r="CV3">
        <v>48.608290410000002</v>
      </c>
      <c r="CW3">
        <v>-93.825958299999996</v>
      </c>
      <c r="CX3" s="89">
        <v>43443.508333333331</v>
      </c>
      <c r="CY3" t="s">
        <v>249</v>
      </c>
      <c r="CZ3" t="s">
        <v>248</v>
      </c>
      <c r="DA3" t="s">
        <v>247</v>
      </c>
      <c r="DB3" t="s">
        <v>246</v>
      </c>
      <c r="DC3" s="18" t="s">
        <v>282</v>
      </c>
    </row>
    <row r="4" spans="1:107" ht="15" customHeight="1" x14ac:dyDescent="0.25">
      <c r="A4">
        <v>774320</v>
      </c>
      <c r="B4" t="s">
        <v>273</v>
      </c>
      <c r="C4">
        <v>11</v>
      </c>
      <c r="D4">
        <v>170.697</v>
      </c>
      <c r="E4" t="s">
        <v>272</v>
      </c>
      <c r="H4" t="s">
        <v>271</v>
      </c>
      <c r="I4" t="s">
        <v>270</v>
      </c>
      <c r="K4">
        <v>19311578</v>
      </c>
      <c r="L4">
        <v>193590072</v>
      </c>
      <c r="M4" s="237">
        <v>45272</v>
      </c>
      <c r="N4">
        <v>25</v>
      </c>
      <c r="O4">
        <v>2019</v>
      </c>
      <c r="P4" t="s">
        <v>269</v>
      </c>
      <c r="Q4">
        <v>11</v>
      </c>
      <c r="R4" t="s">
        <v>123</v>
      </c>
      <c r="S4" t="s">
        <v>268</v>
      </c>
      <c r="T4">
        <v>0</v>
      </c>
      <c r="U4">
        <v>1</v>
      </c>
      <c r="W4" t="s">
        <v>267</v>
      </c>
      <c r="X4" t="s">
        <v>266</v>
      </c>
      <c r="Y4" t="s">
        <v>165</v>
      </c>
      <c r="Z4" t="s">
        <v>179</v>
      </c>
      <c r="AA4" t="s">
        <v>265</v>
      </c>
      <c r="AB4" t="s">
        <v>264</v>
      </c>
      <c r="AC4" t="s">
        <v>263</v>
      </c>
      <c r="AD4" t="s">
        <v>262</v>
      </c>
      <c r="AF4" t="s">
        <v>261</v>
      </c>
      <c r="AG4" t="s">
        <v>260</v>
      </c>
      <c r="AH4" t="s">
        <v>259</v>
      </c>
      <c r="AI4" t="s">
        <v>167</v>
      </c>
      <c r="AJ4" t="s">
        <v>258</v>
      </c>
      <c r="AK4" t="s">
        <v>257</v>
      </c>
      <c r="AL4">
        <v>29</v>
      </c>
      <c r="AM4" t="s">
        <v>256</v>
      </c>
      <c r="AN4" t="s">
        <v>255</v>
      </c>
      <c r="AO4" t="s">
        <v>254</v>
      </c>
      <c r="AS4" t="s">
        <v>253</v>
      </c>
      <c r="AT4" t="s">
        <v>252</v>
      </c>
      <c r="AU4">
        <v>60</v>
      </c>
      <c r="AV4" t="s">
        <v>251</v>
      </c>
      <c r="AW4" t="s">
        <v>250</v>
      </c>
      <c r="CT4">
        <v>439722.57260000001</v>
      </c>
      <c r="CU4">
        <v>5381852.1410999997</v>
      </c>
      <c r="CV4">
        <v>48.586859990000001</v>
      </c>
      <c r="CW4">
        <v>-93.817382050000006</v>
      </c>
      <c r="CX4" s="89">
        <v>43824.474999999999</v>
      </c>
      <c r="CY4" t="s">
        <v>249</v>
      </c>
      <c r="CZ4" t="s">
        <v>248</v>
      </c>
      <c r="DA4" t="s">
        <v>247</v>
      </c>
      <c r="DB4" t="s">
        <v>246</v>
      </c>
      <c r="DC4" s="18" t="s">
        <v>245</v>
      </c>
    </row>
    <row r="6" spans="1:107" x14ac:dyDescent="0.25">
      <c r="A6" s="1" t="s">
        <v>404</v>
      </c>
    </row>
    <row r="7" spans="1:107" x14ac:dyDescent="0.25">
      <c r="A7" s="24" t="s">
        <v>17</v>
      </c>
      <c r="B7" s="24">
        <v>0</v>
      </c>
    </row>
    <row r="8" spans="1:107" x14ac:dyDescent="0.25">
      <c r="A8" s="24" t="s">
        <v>18</v>
      </c>
      <c r="B8" s="24">
        <v>1</v>
      </c>
    </row>
    <row r="9" spans="1:107" x14ac:dyDescent="0.25">
      <c r="A9" s="24" t="s">
        <v>19</v>
      </c>
      <c r="B9" s="24">
        <v>0</v>
      </c>
    </row>
    <row r="10" spans="1:107" x14ac:dyDescent="0.25">
      <c r="A10" s="24" t="s">
        <v>20</v>
      </c>
      <c r="B10" s="24">
        <v>0</v>
      </c>
    </row>
    <row r="11" spans="1:107" x14ac:dyDescent="0.25">
      <c r="A11" s="24" t="s">
        <v>73</v>
      </c>
      <c r="B11" s="24">
        <v>2</v>
      </c>
    </row>
    <row r="14" spans="1:107" x14ac:dyDescent="0.25">
      <c r="A14" s="33" t="s">
        <v>444</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EE274-167B-4A8B-AE63-3EBF6202AEA6}">
  <sheetPr codeName="Sheet14">
    <tabColor theme="0" tint="-0.14999847407452621"/>
  </sheetPr>
  <dimension ref="A1:DC32"/>
  <sheetViews>
    <sheetView zoomScale="70" zoomScaleNormal="70" workbookViewId="0">
      <selection activeCell="H18" sqref="H18"/>
    </sheetView>
  </sheetViews>
  <sheetFormatPr defaultRowHeight="15" x14ac:dyDescent="0.25"/>
  <cols>
    <col min="1" max="1" width="21.42578125" bestFit="1" customWidth="1"/>
    <col min="2" max="2" width="23.42578125" bestFit="1" customWidth="1"/>
    <col min="19" max="19" width="21.140625" bestFit="1" customWidth="1"/>
  </cols>
  <sheetData>
    <row r="1" spans="1:107" ht="15" customHeight="1" x14ac:dyDescent="0.25">
      <c r="A1" t="s">
        <v>403</v>
      </c>
      <c r="B1" t="s">
        <v>402</v>
      </c>
      <c r="C1" t="s">
        <v>401</v>
      </c>
      <c r="D1" t="s">
        <v>400</v>
      </c>
      <c r="E1" t="s">
        <v>399</v>
      </c>
      <c r="F1" t="s">
        <v>398</v>
      </c>
      <c r="G1" t="s">
        <v>397</v>
      </c>
      <c r="H1" t="s">
        <v>396</v>
      </c>
      <c r="I1" t="s">
        <v>395</v>
      </c>
      <c r="J1" t="s">
        <v>394</v>
      </c>
      <c r="K1" t="s">
        <v>393</v>
      </c>
      <c r="L1" t="s">
        <v>392</v>
      </c>
      <c r="M1" t="s">
        <v>391</v>
      </c>
      <c r="N1" t="s">
        <v>390</v>
      </c>
      <c r="O1" t="s">
        <v>389</v>
      </c>
      <c r="P1" t="s">
        <v>388</v>
      </c>
      <c r="Q1" t="s">
        <v>387</v>
      </c>
      <c r="R1" t="s">
        <v>386</v>
      </c>
      <c r="S1" t="s">
        <v>385</v>
      </c>
      <c r="T1" t="s">
        <v>384</v>
      </c>
      <c r="U1" t="s">
        <v>383</v>
      </c>
      <c r="V1" t="s">
        <v>382</v>
      </c>
      <c r="W1" t="s">
        <v>381</v>
      </c>
      <c r="X1" t="s">
        <v>380</v>
      </c>
      <c r="Y1" t="s">
        <v>379</v>
      </c>
      <c r="Z1" t="s">
        <v>378</v>
      </c>
      <c r="AA1" t="s">
        <v>377</v>
      </c>
      <c r="AB1" t="s">
        <v>376</v>
      </c>
      <c r="AC1" t="s">
        <v>375</v>
      </c>
      <c r="AD1" t="s">
        <v>374</v>
      </c>
      <c r="AE1" t="s">
        <v>373</v>
      </c>
      <c r="AF1" t="s">
        <v>372</v>
      </c>
      <c r="AG1" t="s">
        <v>371</v>
      </c>
      <c r="AH1" t="s">
        <v>370</v>
      </c>
      <c r="AI1" t="s">
        <v>369</v>
      </c>
      <c r="AJ1" t="s">
        <v>368</v>
      </c>
      <c r="AK1" t="s">
        <v>367</v>
      </c>
      <c r="AL1" t="s">
        <v>366</v>
      </c>
      <c r="AM1" t="s">
        <v>365</v>
      </c>
      <c r="AN1" t="s">
        <v>364</v>
      </c>
      <c r="AO1" t="s">
        <v>363</v>
      </c>
      <c r="AP1" t="s">
        <v>362</v>
      </c>
      <c r="AQ1" t="s">
        <v>361</v>
      </c>
      <c r="AR1" t="s">
        <v>360</v>
      </c>
      <c r="AS1" t="s">
        <v>359</v>
      </c>
      <c r="AT1" t="s">
        <v>358</v>
      </c>
      <c r="AU1" t="s">
        <v>357</v>
      </c>
      <c r="AV1" t="s">
        <v>356</v>
      </c>
      <c r="AW1" t="s">
        <v>355</v>
      </c>
      <c r="AX1" t="s">
        <v>354</v>
      </c>
      <c r="AY1" t="s">
        <v>353</v>
      </c>
      <c r="AZ1" t="s">
        <v>352</v>
      </c>
      <c r="BA1" t="s">
        <v>351</v>
      </c>
      <c r="BB1" t="s">
        <v>350</v>
      </c>
      <c r="BC1" t="s">
        <v>349</v>
      </c>
      <c r="BD1" t="s">
        <v>348</v>
      </c>
      <c r="BE1" t="s">
        <v>347</v>
      </c>
      <c r="BF1" t="s">
        <v>346</v>
      </c>
      <c r="BG1" t="s">
        <v>345</v>
      </c>
      <c r="BH1" t="s">
        <v>344</v>
      </c>
      <c r="BI1" t="s">
        <v>343</v>
      </c>
      <c r="BJ1" t="s">
        <v>342</v>
      </c>
      <c r="BK1" t="s">
        <v>341</v>
      </c>
      <c r="BL1" t="s">
        <v>340</v>
      </c>
      <c r="BM1" t="s">
        <v>339</v>
      </c>
      <c r="BN1" t="s">
        <v>338</v>
      </c>
      <c r="BO1" t="s">
        <v>337</v>
      </c>
      <c r="BP1" t="s">
        <v>336</v>
      </c>
      <c r="BQ1" t="s">
        <v>335</v>
      </c>
      <c r="BR1" t="s">
        <v>334</v>
      </c>
      <c r="BS1" t="s">
        <v>333</v>
      </c>
      <c r="BT1" t="s">
        <v>332</v>
      </c>
      <c r="BU1" t="s">
        <v>331</v>
      </c>
      <c r="BV1" t="s">
        <v>330</v>
      </c>
      <c r="BW1" t="s">
        <v>329</v>
      </c>
      <c r="BX1" t="s">
        <v>328</v>
      </c>
      <c r="BY1" t="s">
        <v>327</v>
      </c>
      <c r="BZ1" t="s">
        <v>326</v>
      </c>
      <c r="CA1" t="s">
        <v>325</v>
      </c>
      <c r="CB1" t="s">
        <v>324</v>
      </c>
      <c r="CC1" t="s">
        <v>323</v>
      </c>
      <c r="CD1" t="s">
        <v>322</v>
      </c>
      <c r="CE1" t="s">
        <v>321</v>
      </c>
      <c r="CF1" t="s">
        <v>320</v>
      </c>
      <c r="CG1" t="s">
        <v>319</v>
      </c>
      <c r="CH1" t="s">
        <v>318</v>
      </c>
      <c r="CI1" t="s">
        <v>317</v>
      </c>
      <c r="CJ1" t="s">
        <v>316</v>
      </c>
      <c r="CK1" t="s">
        <v>315</v>
      </c>
      <c r="CL1" t="s">
        <v>314</v>
      </c>
      <c r="CM1" t="s">
        <v>313</v>
      </c>
      <c r="CN1" t="s">
        <v>312</v>
      </c>
      <c r="CO1" t="s">
        <v>311</v>
      </c>
      <c r="CP1" t="s">
        <v>310</v>
      </c>
      <c r="CQ1" t="s">
        <v>309</v>
      </c>
      <c r="CR1" t="s">
        <v>308</v>
      </c>
      <c r="CS1" t="s">
        <v>307</v>
      </c>
      <c r="CT1" t="s">
        <v>306</v>
      </c>
      <c r="CU1" t="s">
        <v>305</v>
      </c>
      <c r="CV1" t="s">
        <v>304</v>
      </c>
      <c r="CW1" t="s">
        <v>303</v>
      </c>
      <c r="CX1" t="s">
        <v>302</v>
      </c>
      <c r="CY1" t="s">
        <v>301</v>
      </c>
      <c r="CZ1" t="s">
        <v>300</v>
      </c>
      <c r="DA1" t="s">
        <v>299</v>
      </c>
      <c r="DB1" t="s">
        <v>298</v>
      </c>
      <c r="DC1" t="s">
        <v>297</v>
      </c>
    </row>
    <row r="2" spans="1:107" ht="15" customHeight="1" x14ac:dyDescent="0.25">
      <c r="A2">
        <v>762832</v>
      </c>
      <c r="B2" t="s">
        <v>273</v>
      </c>
      <c r="C2">
        <v>11</v>
      </c>
      <c r="D2">
        <v>164.90899999999999</v>
      </c>
      <c r="E2" t="s">
        <v>272</v>
      </c>
      <c r="H2" t="s">
        <v>271</v>
      </c>
      <c r="I2" t="s">
        <v>270</v>
      </c>
      <c r="K2">
        <v>19311344</v>
      </c>
      <c r="L2">
        <v>192990259</v>
      </c>
      <c r="M2" s="237">
        <v>45209</v>
      </c>
      <c r="N2">
        <v>26</v>
      </c>
      <c r="O2">
        <v>2019</v>
      </c>
      <c r="P2" t="s">
        <v>426</v>
      </c>
      <c r="Q2">
        <v>15</v>
      </c>
      <c r="R2" t="s">
        <v>172</v>
      </c>
      <c r="S2" t="s">
        <v>268</v>
      </c>
      <c r="T2">
        <v>0</v>
      </c>
      <c r="U2">
        <v>1</v>
      </c>
      <c r="W2" t="s">
        <v>175</v>
      </c>
      <c r="X2" t="s">
        <v>278</v>
      </c>
      <c r="Y2" t="s">
        <v>165</v>
      </c>
      <c r="Z2" t="s">
        <v>171</v>
      </c>
      <c r="AB2" t="s">
        <v>166</v>
      </c>
      <c r="AC2" t="s">
        <v>263</v>
      </c>
      <c r="AD2" t="s">
        <v>420</v>
      </c>
      <c r="AF2" t="s">
        <v>261</v>
      </c>
      <c r="AG2" t="s">
        <v>292</v>
      </c>
      <c r="AH2" t="s">
        <v>259</v>
      </c>
      <c r="AI2" t="s">
        <v>167</v>
      </c>
      <c r="AJ2" t="s">
        <v>275</v>
      </c>
      <c r="AK2" t="s">
        <v>257</v>
      </c>
      <c r="AL2">
        <v>59</v>
      </c>
      <c r="AM2" t="s">
        <v>256</v>
      </c>
      <c r="AN2" t="s">
        <v>255</v>
      </c>
      <c r="AO2" t="s">
        <v>291</v>
      </c>
      <c r="AS2" t="s">
        <v>253</v>
      </c>
      <c r="AT2" t="s">
        <v>252</v>
      </c>
      <c r="AU2">
        <v>60</v>
      </c>
      <c r="AV2" t="s">
        <v>417</v>
      </c>
      <c r="AW2" t="s">
        <v>436</v>
      </c>
      <c r="CT2">
        <v>433689.25280000002</v>
      </c>
      <c r="CU2">
        <v>5386804.2216999996</v>
      </c>
      <c r="CV2">
        <v>48.630794819999998</v>
      </c>
      <c r="CW2">
        <v>-93.899976300000006</v>
      </c>
      <c r="CX2" s="89">
        <v>43764.643750000003</v>
      </c>
      <c r="CY2" t="s">
        <v>249</v>
      </c>
      <c r="CZ2" t="s">
        <v>248</v>
      </c>
      <c r="DA2" t="s">
        <v>247</v>
      </c>
      <c r="DB2" t="s">
        <v>246</v>
      </c>
      <c r="DC2" s="18" t="s">
        <v>435</v>
      </c>
    </row>
    <row r="3" spans="1:107" s="239" customFormat="1" ht="15" customHeight="1" x14ac:dyDescent="0.25">
      <c r="A3" s="239">
        <v>761169</v>
      </c>
      <c r="B3" s="239" t="s">
        <v>273</v>
      </c>
      <c r="C3" s="239">
        <v>11</v>
      </c>
      <c r="D3" s="239">
        <v>168.96899999999999</v>
      </c>
      <c r="E3" s="239" t="s">
        <v>272</v>
      </c>
      <c r="H3" s="239" t="s">
        <v>271</v>
      </c>
      <c r="I3" s="239" t="s">
        <v>270</v>
      </c>
      <c r="K3" s="239">
        <v>19311345</v>
      </c>
      <c r="L3" s="239">
        <v>193120220</v>
      </c>
      <c r="M3" s="240">
        <v>45241</v>
      </c>
      <c r="N3" s="239">
        <v>8</v>
      </c>
      <c r="O3" s="239">
        <v>2019</v>
      </c>
      <c r="P3" s="239" t="s">
        <v>293</v>
      </c>
      <c r="Q3" s="239">
        <v>18</v>
      </c>
      <c r="R3" s="239" t="s">
        <v>123</v>
      </c>
      <c r="S3" s="239" t="s">
        <v>268</v>
      </c>
      <c r="T3" s="239">
        <v>0</v>
      </c>
      <c r="U3" s="239">
        <v>1</v>
      </c>
      <c r="W3" s="239" t="s">
        <v>175</v>
      </c>
      <c r="X3" s="239" t="s">
        <v>278</v>
      </c>
      <c r="Y3" s="239" t="s">
        <v>277</v>
      </c>
      <c r="Z3" s="239" t="s">
        <v>183</v>
      </c>
      <c r="AA3" s="239" t="s">
        <v>179</v>
      </c>
      <c r="AB3" s="239" t="s">
        <v>183</v>
      </c>
      <c r="AC3" s="239" t="s">
        <v>263</v>
      </c>
      <c r="AD3" s="239" t="s">
        <v>262</v>
      </c>
      <c r="AF3" s="239" t="s">
        <v>261</v>
      </c>
      <c r="AG3" s="239" t="s">
        <v>292</v>
      </c>
      <c r="AH3" s="239" t="s">
        <v>259</v>
      </c>
      <c r="AI3" s="239" t="s">
        <v>167</v>
      </c>
      <c r="AJ3" s="239" t="s">
        <v>258</v>
      </c>
      <c r="AK3" s="239" t="s">
        <v>257</v>
      </c>
      <c r="AL3" s="239">
        <v>68</v>
      </c>
      <c r="AM3" s="239" t="s">
        <v>286</v>
      </c>
      <c r="AN3" s="239" t="s">
        <v>255</v>
      </c>
      <c r="AO3" s="239" t="s">
        <v>291</v>
      </c>
      <c r="AS3" s="239" t="s">
        <v>253</v>
      </c>
      <c r="AT3" s="239" t="s">
        <v>252</v>
      </c>
      <c r="AU3" s="239">
        <v>60</v>
      </c>
      <c r="AV3" s="239" t="s">
        <v>283</v>
      </c>
      <c r="AW3" s="239" t="s">
        <v>250</v>
      </c>
      <c r="CT3" s="239">
        <v>438978.91879999998</v>
      </c>
      <c r="CU3" s="239">
        <v>5384478.5664999997</v>
      </c>
      <c r="CV3" s="239">
        <v>48.610413479999998</v>
      </c>
      <c r="CW3" s="239">
        <v>-93.827851030000005</v>
      </c>
      <c r="CX3" s="241">
        <v>43777.756944444445</v>
      </c>
      <c r="CY3" s="239" t="s">
        <v>249</v>
      </c>
      <c r="CZ3" s="239" t="s">
        <v>248</v>
      </c>
      <c r="DA3" s="239" t="s">
        <v>247</v>
      </c>
      <c r="DB3" s="239" t="s">
        <v>246</v>
      </c>
      <c r="DC3" s="242" t="s">
        <v>290</v>
      </c>
    </row>
    <row r="4" spans="1:107" s="239" customFormat="1" ht="15" customHeight="1" x14ac:dyDescent="0.25">
      <c r="A4" s="239">
        <v>668557</v>
      </c>
      <c r="B4" s="239" t="s">
        <v>273</v>
      </c>
      <c r="C4" s="239">
        <v>11</v>
      </c>
      <c r="D4" s="239">
        <v>169.14</v>
      </c>
      <c r="E4" s="239" t="s">
        <v>272</v>
      </c>
      <c r="H4" s="239" t="s">
        <v>271</v>
      </c>
      <c r="I4" s="239" t="s">
        <v>270</v>
      </c>
      <c r="K4" s="239">
        <v>18311442</v>
      </c>
      <c r="L4" s="239">
        <v>183430146</v>
      </c>
      <c r="M4" s="240">
        <v>45272</v>
      </c>
      <c r="N4" s="239">
        <v>9</v>
      </c>
      <c r="O4" s="239">
        <v>2018</v>
      </c>
      <c r="P4" s="239" t="s">
        <v>289</v>
      </c>
      <c r="Q4" s="239">
        <v>12</v>
      </c>
      <c r="R4" s="239" t="s">
        <v>123</v>
      </c>
      <c r="S4" s="239" t="s">
        <v>288</v>
      </c>
      <c r="T4" s="239">
        <v>0</v>
      </c>
      <c r="U4" s="239">
        <v>1</v>
      </c>
      <c r="W4" s="239" t="s">
        <v>279</v>
      </c>
      <c r="X4" s="239" t="s">
        <v>278</v>
      </c>
      <c r="Y4" s="239" t="s">
        <v>165</v>
      </c>
      <c r="Z4" s="239" t="s">
        <v>179</v>
      </c>
      <c r="AB4" s="239" t="s">
        <v>166</v>
      </c>
      <c r="AC4" s="239" t="s">
        <v>263</v>
      </c>
      <c r="AD4" s="239" t="s">
        <v>262</v>
      </c>
      <c r="AF4" s="239" t="s">
        <v>261</v>
      </c>
      <c r="AG4" s="239" t="s">
        <v>260</v>
      </c>
      <c r="AH4" s="239" t="s">
        <v>259</v>
      </c>
      <c r="AI4" s="239" t="s">
        <v>287</v>
      </c>
      <c r="AJ4" s="239" t="s">
        <v>258</v>
      </c>
      <c r="AK4" s="239" t="s">
        <v>257</v>
      </c>
      <c r="AL4" s="239">
        <v>29</v>
      </c>
      <c r="AM4" s="239" t="s">
        <v>286</v>
      </c>
      <c r="AN4" s="239" t="s">
        <v>255</v>
      </c>
      <c r="AO4" s="239" t="s">
        <v>285</v>
      </c>
      <c r="AP4" s="239" t="s">
        <v>284</v>
      </c>
      <c r="AS4" s="239" t="s">
        <v>253</v>
      </c>
      <c r="AT4" s="239" t="s">
        <v>252</v>
      </c>
      <c r="AU4" s="239">
        <v>60</v>
      </c>
      <c r="AV4" s="239" t="s">
        <v>283</v>
      </c>
      <c r="AW4" s="239" t="s">
        <v>250</v>
      </c>
      <c r="CT4" s="239">
        <v>439115.88</v>
      </c>
      <c r="CU4" s="239">
        <v>5384241.0626999997</v>
      </c>
      <c r="CV4" s="239">
        <v>48.608290410000002</v>
      </c>
      <c r="CW4" s="239">
        <v>-93.825958299999996</v>
      </c>
      <c r="CX4" s="241">
        <v>43443.508333333331</v>
      </c>
      <c r="CY4" s="239" t="s">
        <v>249</v>
      </c>
      <c r="CZ4" s="239" t="s">
        <v>248</v>
      </c>
      <c r="DA4" s="239" t="s">
        <v>247</v>
      </c>
      <c r="DB4" s="239" t="s">
        <v>246</v>
      </c>
      <c r="DC4" s="242" t="s">
        <v>282</v>
      </c>
    </row>
    <row r="5" spans="1:107" ht="15" customHeight="1" x14ac:dyDescent="0.25">
      <c r="A5">
        <v>774320</v>
      </c>
      <c r="B5" t="s">
        <v>273</v>
      </c>
      <c r="C5">
        <v>11</v>
      </c>
      <c r="D5">
        <v>170.697</v>
      </c>
      <c r="E5" t="s">
        <v>272</v>
      </c>
      <c r="H5" t="s">
        <v>271</v>
      </c>
      <c r="I5" t="s">
        <v>270</v>
      </c>
      <c r="K5">
        <v>19311578</v>
      </c>
      <c r="L5">
        <v>193590072</v>
      </c>
      <c r="M5" s="237">
        <v>45272</v>
      </c>
      <c r="N5">
        <v>25</v>
      </c>
      <c r="O5">
        <v>2019</v>
      </c>
      <c r="P5" t="s">
        <v>269</v>
      </c>
      <c r="Q5">
        <v>11</v>
      </c>
      <c r="R5" t="s">
        <v>123</v>
      </c>
      <c r="S5" t="s">
        <v>268</v>
      </c>
      <c r="T5">
        <v>0</v>
      </c>
      <c r="U5">
        <v>1</v>
      </c>
      <c r="W5" t="s">
        <v>267</v>
      </c>
      <c r="X5" t="s">
        <v>266</v>
      </c>
      <c r="Y5" t="s">
        <v>165</v>
      </c>
      <c r="Z5" t="s">
        <v>179</v>
      </c>
      <c r="AA5" t="s">
        <v>265</v>
      </c>
      <c r="AB5" t="s">
        <v>264</v>
      </c>
      <c r="AC5" t="s">
        <v>263</v>
      </c>
      <c r="AD5" t="s">
        <v>262</v>
      </c>
      <c r="AF5" t="s">
        <v>261</v>
      </c>
      <c r="AG5" t="s">
        <v>260</v>
      </c>
      <c r="AH5" t="s">
        <v>259</v>
      </c>
      <c r="AI5" t="s">
        <v>167</v>
      </c>
      <c r="AJ5" t="s">
        <v>258</v>
      </c>
      <c r="AK5" t="s">
        <v>257</v>
      </c>
      <c r="AL5">
        <v>29</v>
      </c>
      <c r="AM5" t="s">
        <v>256</v>
      </c>
      <c r="AN5" t="s">
        <v>255</v>
      </c>
      <c r="AO5" t="s">
        <v>254</v>
      </c>
      <c r="AS5" t="s">
        <v>253</v>
      </c>
      <c r="AT5" t="s">
        <v>252</v>
      </c>
      <c r="AU5">
        <v>60</v>
      </c>
      <c r="AV5" t="s">
        <v>251</v>
      </c>
      <c r="AW5" t="s">
        <v>250</v>
      </c>
      <c r="CT5">
        <v>439722.57260000001</v>
      </c>
      <c r="CU5">
        <v>5381852.1410999997</v>
      </c>
      <c r="CV5">
        <v>48.586859990000001</v>
      </c>
      <c r="CW5">
        <v>-93.817382050000006</v>
      </c>
      <c r="CX5" s="89">
        <v>43824.474999999999</v>
      </c>
      <c r="CY5" t="s">
        <v>249</v>
      </c>
      <c r="CZ5" t="s">
        <v>248</v>
      </c>
      <c r="DA5" t="s">
        <v>247</v>
      </c>
      <c r="DB5" t="s">
        <v>246</v>
      </c>
      <c r="DC5" s="18" t="s">
        <v>245</v>
      </c>
    </row>
    <row r="6" spans="1:107" ht="15" customHeight="1" x14ac:dyDescent="0.25">
      <c r="A6">
        <v>1069676</v>
      </c>
      <c r="B6" t="s">
        <v>273</v>
      </c>
      <c r="C6">
        <v>11</v>
      </c>
      <c r="D6">
        <v>171.023</v>
      </c>
      <c r="E6" t="s">
        <v>272</v>
      </c>
      <c r="H6" t="s">
        <v>271</v>
      </c>
      <c r="I6" t="s">
        <v>270</v>
      </c>
      <c r="K6">
        <v>22311507</v>
      </c>
      <c r="L6">
        <v>223550462</v>
      </c>
      <c r="M6" s="237">
        <v>45272</v>
      </c>
      <c r="N6">
        <v>21</v>
      </c>
      <c r="O6">
        <v>2022</v>
      </c>
      <c r="P6" t="s">
        <v>269</v>
      </c>
      <c r="Q6">
        <v>15</v>
      </c>
      <c r="S6" t="s">
        <v>268</v>
      </c>
      <c r="T6">
        <v>0</v>
      </c>
      <c r="U6">
        <v>2</v>
      </c>
      <c r="V6" t="s">
        <v>432</v>
      </c>
      <c r="W6" t="s">
        <v>296</v>
      </c>
      <c r="X6" t="s">
        <v>278</v>
      </c>
      <c r="Y6" t="s">
        <v>165</v>
      </c>
      <c r="Z6" t="s">
        <v>295</v>
      </c>
      <c r="AA6" t="s">
        <v>183</v>
      </c>
      <c r="AB6" t="s">
        <v>183</v>
      </c>
      <c r="AC6" t="s">
        <v>263</v>
      </c>
      <c r="AD6" t="s">
        <v>262</v>
      </c>
      <c r="AF6" t="s">
        <v>261</v>
      </c>
      <c r="AG6" t="s">
        <v>178</v>
      </c>
      <c r="AH6" t="s">
        <v>259</v>
      </c>
      <c r="AI6" t="s">
        <v>431</v>
      </c>
      <c r="AJ6" t="s">
        <v>275</v>
      </c>
      <c r="AK6" t="s">
        <v>257</v>
      </c>
      <c r="AL6">
        <v>20</v>
      </c>
      <c r="AM6" t="s">
        <v>286</v>
      </c>
      <c r="AN6" t="s">
        <v>255</v>
      </c>
      <c r="AO6" t="s">
        <v>430</v>
      </c>
      <c r="AP6" t="s">
        <v>429</v>
      </c>
      <c r="AS6" t="s">
        <v>253</v>
      </c>
      <c r="AT6" t="s">
        <v>252</v>
      </c>
      <c r="AU6">
        <v>60</v>
      </c>
      <c r="AV6" t="s">
        <v>283</v>
      </c>
      <c r="AW6" t="s">
        <v>250</v>
      </c>
      <c r="AX6" t="s">
        <v>259</v>
      </c>
      <c r="AY6" t="s">
        <v>287</v>
      </c>
      <c r="AZ6" t="s">
        <v>275</v>
      </c>
      <c r="BA6" t="s">
        <v>294</v>
      </c>
      <c r="BB6">
        <v>48</v>
      </c>
      <c r="BC6" t="s">
        <v>286</v>
      </c>
      <c r="BD6" t="s">
        <v>255</v>
      </c>
      <c r="BE6" t="s">
        <v>291</v>
      </c>
      <c r="BI6" t="s">
        <v>253</v>
      </c>
      <c r="BJ6" t="s">
        <v>252</v>
      </c>
      <c r="BK6">
        <v>60</v>
      </c>
      <c r="BL6" t="s">
        <v>283</v>
      </c>
      <c r="BM6" t="s">
        <v>250</v>
      </c>
      <c r="CT6">
        <v>439706.52679999999</v>
      </c>
      <c r="CU6">
        <v>5381327.4385000002</v>
      </c>
      <c r="CV6">
        <v>48.582138559999997</v>
      </c>
      <c r="CW6">
        <v>-93.817523489999999</v>
      </c>
      <c r="CX6" s="89">
        <v>44916.649305555555</v>
      </c>
      <c r="CY6" t="s">
        <v>249</v>
      </c>
      <c r="CZ6" t="s">
        <v>248</v>
      </c>
      <c r="DA6" t="s">
        <v>247</v>
      </c>
      <c r="DB6" t="s">
        <v>246</v>
      </c>
      <c r="DC6" s="18" t="s">
        <v>428</v>
      </c>
    </row>
    <row r="7" spans="1:107" ht="15" customHeight="1" x14ac:dyDescent="0.25">
      <c r="A7">
        <v>860770</v>
      </c>
      <c r="B7" t="s">
        <v>273</v>
      </c>
      <c r="C7">
        <v>11</v>
      </c>
      <c r="D7">
        <v>173.756</v>
      </c>
      <c r="E7" t="s">
        <v>272</v>
      </c>
      <c r="H7" t="s">
        <v>271</v>
      </c>
      <c r="I7" t="s">
        <v>270</v>
      </c>
      <c r="K7">
        <v>20000355</v>
      </c>
      <c r="L7">
        <v>203070035</v>
      </c>
      <c r="M7" s="237">
        <v>45241</v>
      </c>
      <c r="N7">
        <v>2</v>
      </c>
      <c r="O7">
        <v>2020</v>
      </c>
      <c r="P7" t="s">
        <v>424</v>
      </c>
      <c r="Q7">
        <v>6</v>
      </c>
      <c r="R7" t="s">
        <v>168</v>
      </c>
      <c r="S7" t="s">
        <v>268</v>
      </c>
      <c r="T7">
        <v>0</v>
      </c>
      <c r="U7">
        <v>1</v>
      </c>
      <c r="W7" t="s">
        <v>423</v>
      </c>
      <c r="X7" t="s">
        <v>278</v>
      </c>
      <c r="Y7" t="s">
        <v>277</v>
      </c>
      <c r="Z7" t="s">
        <v>171</v>
      </c>
      <c r="AB7" t="s">
        <v>264</v>
      </c>
      <c r="AC7" t="s">
        <v>263</v>
      </c>
      <c r="AD7" t="s">
        <v>262</v>
      </c>
      <c r="AF7" t="s">
        <v>261</v>
      </c>
      <c r="AG7" t="s">
        <v>292</v>
      </c>
      <c r="AH7" t="s">
        <v>259</v>
      </c>
      <c r="AI7" t="s">
        <v>287</v>
      </c>
      <c r="AJ7" t="s">
        <v>258</v>
      </c>
      <c r="AK7" t="s">
        <v>257</v>
      </c>
      <c r="AL7">
        <v>55</v>
      </c>
      <c r="AM7" t="s">
        <v>286</v>
      </c>
      <c r="AN7" t="s">
        <v>255</v>
      </c>
      <c r="AO7" t="s">
        <v>291</v>
      </c>
      <c r="AS7" t="s">
        <v>253</v>
      </c>
      <c r="AT7" t="s">
        <v>168</v>
      </c>
      <c r="AU7">
        <v>60</v>
      </c>
      <c r="AV7" t="s">
        <v>283</v>
      </c>
      <c r="AW7" t="s">
        <v>250</v>
      </c>
      <c r="CT7">
        <v>439595.04879999999</v>
      </c>
      <c r="CU7">
        <v>5376930.9846999999</v>
      </c>
      <c r="CV7">
        <v>48.542580030000003</v>
      </c>
      <c r="CW7">
        <v>-93.818396539999995</v>
      </c>
      <c r="CX7" s="89">
        <v>44137.262499999997</v>
      </c>
      <c r="CY7" t="s">
        <v>249</v>
      </c>
      <c r="CZ7" t="s">
        <v>248</v>
      </c>
      <c r="DA7" t="s">
        <v>416</v>
      </c>
      <c r="DB7" t="s">
        <v>415</v>
      </c>
      <c r="DC7" t="s">
        <v>422</v>
      </c>
    </row>
    <row r="8" spans="1:107" ht="15" customHeight="1" x14ac:dyDescent="0.25">
      <c r="A8">
        <v>814604</v>
      </c>
      <c r="B8" t="s">
        <v>273</v>
      </c>
      <c r="C8">
        <v>11</v>
      </c>
      <c r="D8">
        <v>173.95099999999999</v>
      </c>
      <c r="E8" t="s">
        <v>272</v>
      </c>
      <c r="H8" t="s">
        <v>271</v>
      </c>
      <c r="I8" t="s">
        <v>270</v>
      </c>
      <c r="K8" t="s">
        <v>421</v>
      </c>
      <c r="L8">
        <v>201660104</v>
      </c>
      <c r="M8" s="237">
        <v>45083</v>
      </c>
      <c r="N8">
        <v>14</v>
      </c>
      <c r="O8">
        <v>2020</v>
      </c>
      <c r="P8" t="s">
        <v>289</v>
      </c>
      <c r="Q8">
        <v>17</v>
      </c>
      <c r="R8" t="s">
        <v>172</v>
      </c>
      <c r="S8" t="s">
        <v>288</v>
      </c>
      <c r="T8">
        <v>0</v>
      </c>
      <c r="U8">
        <v>1</v>
      </c>
      <c r="W8" t="s">
        <v>182</v>
      </c>
      <c r="X8" t="s">
        <v>278</v>
      </c>
      <c r="Y8" t="s">
        <v>165</v>
      </c>
      <c r="Z8" t="s">
        <v>171</v>
      </c>
      <c r="AB8" t="s">
        <v>166</v>
      </c>
      <c r="AC8" t="s">
        <v>263</v>
      </c>
      <c r="AD8" t="s">
        <v>420</v>
      </c>
      <c r="AF8" t="s">
        <v>261</v>
      </c>
      <c r="AG8" t="s">
        <v>260</v>
      </c>
      <c r="AH8" t="s">
        <v>259</v>
      </c>
      <c r="AI8" t="s">
        <v>167</v>
      </c>
      <c r="AJ8" t="s">
        <v>275</v>
      </c>
      <c r="AK8" t="s">
        <v>257</v>
      </c>
      <c r="AL8">
        <v>32</v>
      </c>
      <c r="AM8" t="s">
        <v>286</v>
      </c>
      <c r="AN8" t="s">
        <v>419</v>
      </c>
      <c r="AO8" t="s">
        <v>418</v>
      </c>
      <c r="AP8" t="s">
        <v>274</v>
      </c>
      <c r="AS8" t="s">
        <v>253</v>
      </c>
      <c r="AT8" t="s">
        <v>252</v>
      </c>
      <c r="AU8">
        <v>60</v>
      </c>
      <c r="AV8" t="s">
        <v>417</v>
      </c>
      <c r="AW8" t="s">
        <v>250</v>
      </c>
      <c r="CT8">
        <v>439597.90360000002</v>
      </c>
      <c r="CU8">
        <v>5376616.8792000003</v>
      </c>
      <c r="CV8">
        <v>48.539754799999997</v>
      </c>
      <c r="CW8">
        <v>-93.818312320000004</v>
      </c>
      <c r="CX8" s="89">
        <v>43996.719444444447</v>
      </c>
      <c r="CY8" t="s">
        <v>249</v>
      </c>
      <c r="CZ8" t="s">
        <v>248</v>
      </c>
      <c r="DA8" t="s">
        <v>416</v>
      </c>
      <c r="DB8" t="s">
        <v>415</v>
      </c>
      <c r="DC8" t="s">
        <v>414</v>
      </c>
    </row>
    <row r="9" spans="1:107" ht="15" customHeight="1" x14ac:dyDescent="0.25">
      <c r="A9">
        <v>783816</v>
      </c>
      <c r="B9" t="s">
        <v>410</v>
      </c>
      <c r="C9">
        <v>82</v>
      </c>
      <c r="D9">
        <v>2.9430000000000001</v>
      </c>
      <c r="E9" t="s">
        <v>272</v>
      </c>
      <c r="H9" t="s">
        <v>271</v>
      </c>
      <c r="I9" t="s">
        <v>270</v>
      </c>
      <c r="K9">
        <v>20310095</v>
      </c>
      <c r="L9">
        <v>200160364</v>
      </c>
      <c r="M9" s="237">
        <v>44927</v>
      </c>
      <c r="N9">
        <v>16</v>
      </c>
      <c r="O9">
        <v>2020</v>
      </c>
      <c r="P9" t="s">
        <v>281</v>
      </c>
      <c r="Q9">
        <v>10</v>
      </c>
      <c r="R9" t="s">
        <v>168</v>
      </c>
      <c r="S9" t="s">
        <v>268</v>
      </c>
      <c r="T9">
        <v>0</v>
      </c>
      <c r="U9">
        <v>2</v>
      </c>
      <c r="V9" t="s">
        <v>406</v>
      </c>
      <c r="W9" t="s">
        <v>296</v>
      </c>
      <c r="X9" t="s">
        <v>409</v>
      </c>
      <c r="Y9" t="s">
        <v>165</v>
      </c>
      <c r="Z9" t="s">
        <v>171</v>
      </c>
      <c r="AB9" t="s">
        <v>183</v>
      </c>
      <c r="AC9" t="s">
        <v>263</v>
      </c>
      <c r="AD9" t="s">
        <v>408</v>
      </c>
      <c r="AF9" t="s">
        <v>407</v>
      </c>
      <c r="AG9" t="s">
        <v>406</v>
      </c>
      <c r="AH9" t="s">
        <v>259</v>
      </c>
      <c r="AI9" t="s">
        <v>287</v>
      </c>
      <c r="AJ9" t="s">
        <v>275</v>
      </c>
      <c r="AK9" t="s">
        <v>174</v>
      </c>
      <c r="AL9">
        <v>65</v>
      </c>
      <c r="AM9" t="s">
        <v>286</v>
      </c>
      <c r="AN9" t="s">
        <v>255</v>
      </c>
      <c r="AO9" t="s">
        <v>254</v>
      </c>
      <c r="AS9" t="s">
        <v>253</v>
      </c>
      <c r="AT9" t="s">
        <v>170</v>
      </c>
      <c r="AU9">
        <v>55</v>
      </c>
      <c r="AV9" t="s">
        <v>283</v>
      </c>
      <c r="AW9" t="s">
        <v>250</v>
      </c>
      <c r="AX9" t="s">
        <v>259</v>
      </c>
      <c r="AY9" t="s">
        <v>287</v>
      </c>
      <c r="AZ9" t="s">
        <v>275</v>
      </c>
      <c r="BA9" t="s">
        <v>257</v>
      </c>
      <c r="BB9">
        <v>50</v>
      </c>
      <c r="BC9" t="s">
        <v>286</v>
      </c>
      <c r="BD9" t="s">
        <v>255</v>
      </c>
      <c r="BE9" t="s">
        <v>291</v>
      </c>
      <c r="BI9" t="s">
        <v>253</v>
      </c>
      <c r="BJ9" t="s">
        <v>252</v>
      </c>
      <c r="BK9">
        <v>60</v>
      </c>
      <c r="BL9" t="s">
        <v>283</v>
      </c>
      <c r="BM9" t="s">
        <v>250</v>
      </c>
      <c r="CT9">
        <v>439435.74440000003</v>
      </c>
      <c r="CU9">
        <v>5375218.7369999997</v>
      </c>
      <c r="CV9">
        <v>48.527162279999999</v>
      </c>
      <c r="CW9">
        <v>-93.820305750000003</v>
      </c>
      <c r="CX9" s="89">
        <v>43846.429861111108</v>
      </c>
      <c r="CY9" t="s">
        <v>249</v>
      </c>
      <c r="CZ9" t="s">
        <v>248</v>
      </c>
      <c r="DA9" t="s">
        <v>247</v>
      </c>
      <c r="DB9" t="s">
        <v>246</v>
      </c>
      <c r="DC9" s="18" t="s">
        <v>405</v>
      </c>
    </row>
    <row r="13" spans="1:107" x14ac:dyDescent="0.25">
      <c r="A13" s="238" t="s">
        <v>389</v>
      </c>
      <c r="B13" t="s">
        <v>442</v>
      </c>
    </row>
    <row r="15" spans="1:107" x14ac:dyDescent="0.25">
      <c r="A15" s="238" t="s">
        <v>440</v>
      </c>
      <c r="B15" t="s">
        <v>443</v>
      </c>
    </row>
    <row r="16" spans="1:107" x14ac:dyDescent="0.25">
      <c r="A16" s="15" t="s">
        <v>288</v>
      </c>
      <c r="B16">
        <v>2</v>
      </c>
    </row>
    <row r="17" spans="1:2" x14ac:dyDescent="0.25">
      <c r="A17" s="15" t="s">
        <v>268</v>
      </c>
      <c r="B17">
        <v>6</v>
      </c>
    </row>
    <row r="18" spans="1:2" x14ac:dyDescent="0.25">
      <c r="A18" s="15" t="s">
        <v>441</v>
      </c>
      <c r="B18">
        <v>8</v>
      </c>
    </row>
    <row r="20" spans="1:2" x14ac:dyDescent="0.25">
      <c r="A20" s="239"/>
      <c r="B20" t="s">
        <v>841</v>
      </c>
    </row>
    <row r="21" spans="1:2" x14ac:dyDescent="0.25">
      <c r="A21" s="15"/>
    </row>
    <row r="22" spans="1:2" x14ac:dyDescent="0.25">
      <c r="A22" s="15"/>
    </row>
    <row r="23" spans="1:2" x14ac:dyDescent="0.25">
      <c r="A23" s="15"/>
    </row>
    <row r="25" spans="1:2" x14ac:dyDescent="0.25">
      <c r="A25" s="1" t="s">
        <v>842</v>
      </c>
    </row>
    <row r="26" spans="1:2" x14ac:dyDescent="0.25">
      <c r="A26" s="24" t="s">
        <v>17</v>
      </c>
      <c r="B26" s="24">
        <v>0</v>
      </c>
    </row>
    <row r="27" spans="1:2" x14ac:dyDescent="0.25">
      <c r="A27" s="24" t="s">
        <v>18</v>
      </c>
      <c r="B27" s="24">
        <v>1</v>
      </c>
    </row>
    <row r="28" spans="1:2" x14ac:dyDescent="0.25">
      <c r="A28" s="24" t="s">
        <v>19</v>
      </c>
      <c r="B28" s="24">
        <v>0</v>
      </c>
    </row>
    <row r="29" spans="1:2" x14ac:dyDescent="0.25">
      <c r="A29" s="24" t="s">
        <v>20</v>
      </c>
      <c r="B29" s="24">
        <v>0</v>
      </c>
    </row>
    <row r="30" spans="1:2" x14ac:dyDescent="0.25">
      <c r="A30" s="24" t="s">
        <v>73</v>
      </c>
      <c r="B30" s="24">
        <v>5</v>
      </c>
    </row>
    <row r="32" spans="1:2" x14ac:dyDescent="0.25">
      <c r="A32" s="33" t="s">
        <v>444</v>
      </c>
    </row>
  </sheetData>
  <autoFilter ref="O1:O32" xr:uid="{553EE274-167B-4A8B-AE63-3EBF6202AEA6}"/>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9A683-312F-4C89-970C-F3B136B9C075}">
  <sheetPr>
    <tabColor theme="0" tint="-0.14999847407452621"/>
  </sheetPr>
  <dimension ref="A1:DD12"/>
  <sheetViews>
    <sheetView workbookViewId="0">
      <selection activeCell="D4" sqref="D4"/>
    </sheetView>
  </sheetViews>
  <sheetFormatPr defaultRowHeight="15" x14ac:dyDescent="0.25"/>
  <sheetData>
    <row r="1" spans="1:108" x14ac:dyDescent="0.25">
      <c r="A1" t="s">
        <v>403</v>
      </c>
      <c r="B1" t="s">
        <v>402</v>
      </c>
      <c r="C1" t="s">
        <v>401</v>
      </c>
      <c r="D1" t="s">
        <v>400</v>
      </c>
      <c r="E1" t="s">
        <v>399</v>
      </c>
      <c r="F1" t="s">
        <v>398</v>
      </c>
      <c r="G1" t="s">
        <v>397</v>
      </c>
      <c r="H1" t="s">
        <v>396</v>
      </c>
      <c r="I1" t="s">
        <v>395</v>
      </c>
      <c r="J1" t="s">
        <v>394</v>
      </c>
      <c r="K1" t="s">
        <v>393</v>
      </c>
      <c r="L1" t="s">
        <v>392</v>
      </c>
      <c r="M1" t="s">
        <v>391</v>
      </c>
      <c r="N1" t="s">
        <v>390</v>
      </c>
      <c r="O1" t="s">
        <v>389</v>
      </c>
      <c r="P1" t="s">
        <v>388</v>
      </c>
      <c r="Q1" t="s">
        <v>387</v>
      </c>
      <c r="R1" t="s">
        <v>386</v>
      </c>
      <c r="S1" t="s">
        <v>385</v>
      </c>
      <c r="T1" t="s">
        <v>384</v>
      </c>
      <c r="U1" t="s">
        <v>383</v>
      </c>
      <c r="V1" t="s">
        <v>382</v>
      </c>
      <c r="W1" t="s">
        <v>381</v>
      </c>
      <c r="X1" t="s">
        <v>633</v>
      </c>
      <c r="Y1" t="s">
        <v>380</v>
      </c>
      <c r="Z1" t="s">
        <v>379</v>
      </c>
      <c r="AA1" t="s">
        <v>378</v>
      </c>
      <c r="AB1" t="s">
        <v>377</v>
      </c>
      <c r="AC1" t="s">
        <v>376</v>
      </c>
      <c r="AD1" t="s">
        <v>375</v>
      </c>
      <c r="AE1" t="s">
        <v>374</v>
      </c>
      <c r="AF1" t="s">
        <v>373</v>
      </c>
      <c r="AG1" t="s">
        <v>372</v>
      </c>
      <c r="AH1" t="s">
        <v>371</v>
      </c>
      <c r="AI1" t="s">
        <v>370</v>
      </c>
      <c r="AJ1" t="s">
        <v>369</v>
      </c>
      <c r="AK1" t="s">
        <v>368</v>
      </c>
      <c r="AL1" t="s">
        <v>367</v>
      </c>
      <c r="AM1" t="s">
        <v>366</v>
      </c>
      <c r="AN1" t="s">
        <v>365</v>
      </c>
      <c r="AO1" t="s">
        <v>364</v>
      </c>
      <c r="AP1" t="s">
        <v>363</v>
      </c>
      <c r="AQ1" t="s">
        <v>362</v>
      </c>
      <c r="AR1" t="s">
        <v>361</v>
      </c>
      <c r="AS1" t="s">
        <v>360</v>
      </c>
      <c r="AT1" t="s">
        <v>359</v>
      </c>
      <c r="AU1" t="s">
        <v>358</v>
      </c>
      <c r="AV1" t="s">
        <v>357</v>
      </c>
      <c r="AW1" t="s">
        <v>356</v>
      </c>
      <c r="AX1" t="s">
        <v>355</v>
      </c>
      <c r="AY1" t="s">
        <v>354</v>
      </c>
      <c r="AZ1" t="s">
        <v>353</v>
      </c>
      <c r="BA1" t="s">
        <v>352</v>
      </c>
      <c r="BB1" t="s">
        <v>351</v>
      </c>
      <c r="BC1" t="s">
        <v>350</v>
      </c>
      <c r="BD1" t="s">
        <v>349</v>
      </c>
      <c r="BE1" t="s">
        <v>348</v>
      </c>
      <c r="BF1" t="s">
        <v>347</v>
      </c>
      <c r="BG1" t="s">
        <v>346</v>
      </c>
      <c r="BH1" t="s">
        <v>345</v>
      </c>
      <c r="BI1" t="s">
        <v>344</v>
      </c>
      <c r="BJ1" t="s">
        <v>343</v>
      </c>
      <c r="BK1" t="s">
        <v>342</v>
      </c>
      <c r="BL1" t="s">
        <v>341</v>
      </c>
      <c r="BM1" t="s">
        <v>340</v>
      </c>
      <c r="BN1" t="s">
        <v>339</v>
      </c>
      <c r="BO1" t="s">
        <v>338</v>
      </c>
      <c r="BP1" t="s">
        <v>337</v>
      </c>
      <c r="BQ1" t="s">
        <v>336</v>
      </c>
      <c r="BR1" t="s">
        <v>335</v>
      </c>
      <c r="BS1" t="s">
        <v>334</v>
      </c>
      <c r="BT1" t="s">
        <v>333</v>
      </c>
      <c r="BU1" t="s">
        <v>332</v>
      </c>
      <c r="BV1" t="s">
        <v>331</v>
      </c>
      <c r="BW1" t="s">
        <v>330</v>
      </c>
      <c r="BX1" t="s">
        <v>329</v>
      </c>
      <c r="BY1" t="s">
        <v>328</v>
      </c>
      <c r="BZ1" t="s">
        <v>327</v>
      </c>
      <c r="CA1" t="s">
        <v>326</v>
      </c>
      <c r="CB1" t="s">
        <v>325</v>
      </c>
      <c r="CC1" t="s">
        <v>324</v>
      </c>
      <c r="CD1" t="s">
        <v>323</v>
      </c>
      <c r="CE1" t="s">
        <v>322</v>
      </c>
      <c r="CF1" t="s">
        <v>321</v>
      </c>
      <c r="CG1" t="s">
        <v>320</v>
      </c>
      <c r="CH1" t="s">
        <v>319</v>
      </c>
      <c r="CI1" t="s">
        <v>318</v>
      </c>
      <c r="CJ1" t="s">
        <v>317</v>
      </c>
      <c r="CK1" t="s">
        <v>316</v>
      </c>
      <c r="CL1" t="s">
        <v>315</v>
      </c>
      <c r="CM1" t="s">
        <v>314</v>
      </c>
      <c r="CN1" t="s">
        <v>313</v>
      </c>
      <c r="CO1" t="s">
        <v>312</v>
      </c>
      <c r="CP1" t="s">
        <v>311</v>
      </c>
      <c r="CQ1" t="s">
        <v>310</v>
      </c>
      <c r="CR1" t="s">
        <v>309</v>
      </c>
      <c r="CS1" t="s">
        <v>308</v>
      </c>
      <c r="CT1" t="s">
        <v>307</v>
      </c>
      <c r="CU1" t="s">
        <v>306</v>
      </c>
      <c r="CV1" t="s">
        <v>305</v>
      </c>
      <c r="CW1" t="s">
        <v>304</v>
      </c>
      <c r="CX1" t="s">
        <v>303</v>
      </c>
      <c r="CY1" t="s">
        <v>302</v>
      </c>
      <c r="CZ1" t="s">
        <v>301</v>
      </c>
      <c r="DA1" t="s">
        <v>300</v>
      </c>
      <c r="DB1" t="s">
        <v>299</v>
      </c>
      <c r="DC1" t="s">
        <v>298</v>
      </c>
      <c r="DD1" t="s">
        <v>297</v>
      </c>
    </row>
    <row r="2" spans="1:108" x14ac:dyDescent="0.25">
      <c r="A2">
        <v>1023748</v>
      </c>
      <c r="B2" t="s">
        <v>471</v>
      </c>
      <c r="C2">
        <v>32</v>
      </c>
      <c r="D2">
        <v>13.55</v>
      </c>
      <c r="E2" t="s">
        <v>272</v>
      </c>
      <c r="H2" t="s">
        <v>271</v>
      </c>
      <c r="I2" t="s">
        <v>270</v>
      </c>
      <c r="K2" t="s">
        <v>663</v>
      </c>
      <c r="L2">
        <v>221390163</v>
      </c>
      <c r="M2" s="237">
        <v>45051</v>
      </c>
      <c r="N2">
        <v>19</v>
      </c>
      <c r="O2">
        <v>2022</v>
      </c>
      <c r="P2" t="s">
        <v>281</v>
      </c>
      <c r="Q2">
        <v>11</v>
      </c>
      <c r="R2" t="s">
        <v>122</v>
      </c>
      <c r="S2" t="s">
        <v>288</v>
      </c>
      <c r="T2">
        <v>0</v>
      </c>
      <c r="U2">
        <v>1</v>
      </c>
      <c r="V2" t="s">
        <v>432</v>
      </c>
      <c r="W2" t="s">
        <v>296</v>
      </c>
      <c r="X2" t="s">
        <v>640</v>
      </c>
      <c r="Y2" t="s">
        <v>278</v>
      </c>
      <c r="Z2" t="s">
        <v>165</v>
      </c>
      <c r="AA2" t="s">
        <v>179</v>
      </c>
      <c r="AB2" t="s">
        <v>164</v>
      </c>
      <c r="AC2" t="s">
        <v>166</v>
      </c>
      <c r="AD2" t="s">
        <v>263</v>
      </c>
      <c r="AE2" t="s">
        <v>662</v>
      </c>
      <c r="AF2" t="s">
        <v>661</v>
      </c>
      <c r="AG2" t="s">
        <v>660</v>
      </c>
      <c r="AH2" t="s">
        <v>292</v>
      </c>
      <c r="AI2" t="s">
        <v>259</v>
      </c>
      <c r="AJ2" t="s">
        <v>181</v>
      </c>
      <c r="AK2" t="s">
        <v>427</v>
      </c>
      <c r="AL2" t="s">
        <v>257</v>
      </c>
      <c r="AM2">
        <v>48</v>
      </c>
      <c r="AN2" t="s">
        <v>286</v>
      </c>
      <c r="AO2" t="s">
        <v>255</v>
      </c>
      <c r="AP2" t="s">
        <v>490</v>
      </c>
      <c r="AT2" t="s">
        <v>489</v>
      </c>
      <c r="AU2" t="s">
        <v>252</v>
      </c>
      <c r="AW2" t="s">
        <v>283</v>
      </c>
      <c r="AX2" t="s">
        <v>250</v>
      </c>
      <c r="CU2">
        <v>440350.14130000002</v>
      </c>
      <c r="CV2">
        <v>5369588.4479999999</v>
      </c>
      <c r="CW2">
        <v>48.476602560000003</v>
      </c>
      <c r="CX2">
        <v>-93.807117669999997</v>
      </c>
      <c r="CY2" s="89">
        <v>44700.495833333334</v>
      </c>
      <c r="CZ2" t="s">
        <v>249</v>
      </c>
      <c r="DA2" t="s">
        <v>248</v>
      </c>
      <c r="DB2" t="s">
        <v>416</v>
      </c>
      <c r="DC2" t="s">
        <v>415</v>
      </c>
      <c r="DD2" t="s">
        <v>659</v>
      </c>
    </row>
    <row r="5" spans="1:108" x14ac:dyDescent="0.25">
      <c r="A5" s="1" t="s">
        <v>445</v>
      </c>
    </row>
    <row r="6" spans="1:108" x14ac:dyDescent="0.25">
      <c r="A6" s="24" t="s">
        <v>17</v>
      </c>
      <c r="B6" s="24">
        <v>0</v>
      </c>
    </row>
    <row r="7" spans="1:108" x14ac:dyDescent="0.25">
      <c r="A7" s="24" t="s">
        <v>18</v>
      </c>
      <c r="B7" s="24">
        <v>0</v>
      </c>
    </row>
    <row r="8" spans="1:108" x14ac:dyDescent="0.25">
      <c r="A8" s="24" t="s">
        <v>19</v>
      </c>
      <c r="B8" s="24">
        <v>0</v>
      </c>
    </row>
    <row r="9" spans="1:108" x14ac:dyDescent="0.25">
      <c r="A9" s="24" t="s">
        <v>20</v>
      </c>
      <c r="B9" s="24">
        <v>0</v>
      </c>
    </row>
    <row r="10" spans="1:108" x14ac:dyDescent="0.25">
      <c r="A10" s="24" t="s">
        <v>73</v>
      </c>
      <c r="B10" s="24">
        <v>0</v>
      </c>
    </row>
    <row r="12" spans="1:108" x14ac:dyDescent="0.25">
      <c r="A12" s="33" t="s">
        <v>843</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39439-936D-438A-85C4-D2A21E3668E9}">
  <sheetPr>
    <tabColor theme="0" tint="-0.14999847407452621"/>
  </sheetPr>
  <dimension ref="A1:DD39"/>
  <sheetViews>
    <sheetView zoomScale="70" zoomScaleNormal="70" workbookViewId="0">
      <selection activeCell="L13" sqref="L13"/>
    </sheetView>
  </sheetViews>
  <sheetFormatPr defaultRowHeight="12.95" customHeight="1" x14ac:dyDescent="0.25"/>
  <cols>
    <col min="1" max="1" width="22.85546875" bestFit="1" customWidth="1"/>
    <col min="2" max="2" width="32.42578125" bestFit="1" customWidth="1"/>
  </cols>
  <sheetData>
    <row r="1" spans="1:108" ht="12.95" customHeight="1" x14ac:dyDescent="0.25">
      <c r="A1" t="s">
        <v>403</v>
      </c>
      <c r="B1" t="s">
        <v>402</v>
      </c>
      <c r="C1" t="s">
        <v>401</v>
      </c>
      <c r="D1" t="s">
        <v>400</v>
      </c>
      <c r="E1" t="s">
        <v>399</v>
      </c>
      <c r="F1" t="s">
        <v>398</v>
      </c>
      <c r="G1" t="s">
        <v>397</v>
      </c>
      <c r="H1" t="s">
        <v>396</v>
      </c>
      <c r="I1" t="s">
        <v>395</v>
      </c>
      <c r="J1" t="s">
        <v>394</v>
      </c>
      <c r="K1" t="s">
        <v>393</v>
      </c>
      <c r="L1" t="s">
        <v>392</v>
      </c>
      <c r="M1" t="s">
        <v>391</v>
      </c>
      <c r="N1" t="s">
        <v>390</v>
      </c>
      <c r="O1" t="s">
        <v>389</v>
      </c>
      <c r="P1" t="s">
        <v>388</v>
      </c>
      <c r="Q1" t="s">
        <v>387</v>
      </c>
      <c r="R1" t="s">
        <v>386</v>
      </c>
      <c r="S1" t="s">
        <v>385</v>
      </c>
      <c r="T1" t="s">
        <v>384</v>
      </c>
      <c r="U1" t="s">
        <v>383</v>
      </c>
      <c r="V1" t="s">
        <v>382</v>
      </c>
      <c r="W1" t="s">
        <v>381</v>
      </c>
      <c r="X1" t="s">
        <v>633</v>
      </c>
      <c r="Y1" t="s">
        <v>380</v>
      </c>
      <c r="Z1" t="s">
        <v>379</v>
      </c>
      <c r="AA1" t="s">
        <v>378</v>
      </c>
      <c r="AB1" t="s">
        <v>377</v>
      </c>
      <c r="AC1" t="s">
        <v>376</v>
      </c>
      <c r="AD1" t="s">
        <v>375</v>
      </c>
      <c r="AE1" t="s">
        <v>374</v>
      </c>
      <c r="AF1" t="s">
        <v>373</v>
      </c>
      <c r="AG1" t="s">
        <v>372</v>
      </c>
      <c r="AH1" t="s">
        <v>371</v>
      </c>
      <c r="AI1" t="s">
        <v>370</v>
      </c>
      <c r="AJ1" t="s">
        <v>369</v>
      </c>
      <c r="AK1" t="s">
        <v>368</v>
      </c>
      <c r="AL1" t="s">
        <v>367</v>
      </c>
      <c r="AM1" t="s">
        <v>366</v>
      </c>
      <c r="AN1" t="s">
        <v>365</v>
      </c>
      <c r="AO1" t="s">
        <v>364</v>
      </c>
      <c r="AP1" t="s">
        <v>363</v>
      </c>
      <c r="AQ1" t="s">
        <v>362</v>
      </c>
      <c r="AR1" t="s">
        <v>361</v>
      </c>
      <c r="AS1" t="s">
        <v>360</v>
      </c>
      <c r="AT1" t="s">
        <v>359</v>
      </c>
      <c r="AU1" t="s">
        <v>358</v>
      </c>
      <c r="AV1" t="s">
        <v>357</v>
      </c>
      <c r="AW1" t="s">
        <v>356</v>
      </c>
      <c r="AX1" t="s">
        <v>355</v>
      </c>
      <c r="AY1" t="s">
        <v>354</v>
      </c>
      <c r="AZ1" t="s">
        <v>353</v>
      </c>
      <c r="BA1" t="s">
        <v>352</v>
      </c>
      <c r="BB1" t="s">
        <v>351</v>
      </c>
      <c r="BC1" t="s">
        <v>350</v>
      </c>
      <c r="BD1" t="s">
        <v>349</v>
      </c>
      <c r="BE1" t="s">
        <v>348</v>
      </c>
      <c r="BF1" t="s">
        <v>347</v>
      </c>
      <c r="BG1" t="s">
        <v>346</v>
      </c>
      <c r="BH1" t="s">
        <v>345</v>
      </c>
      <c r="BI1" t="s">
        <v>344</v>
      </c>
      <c r="BJ1" t="s">
        <v>343</v>
      </c>
      <c r="BK1" t="s">
        <v>342</v>
      </c>
      <c r="BL1" t="s">
        <v>341</v>
      </c>
      <c r="BM1" t="s">
        <v>340</v>
      </c>
      <c r="BN1" t="s">
        <v>339</v>
      </c>
      <c r="BO1" t="s">
        <v>338</v>
      </c>
      <c r="BP1" t="s">
        <v>337</v>
      </c>
      <c r="BQ1" t="s">
        <v>336</v>
      </c>
      <c r="BR1" t="s">
        <v>335</v>
      </c>
      <c r="BS1" t="s">
        <v>334</v>
      </c>
      <c r="BT1" t="s">
        <v>333</v>
      </c>
      <c r="BU1" t="s">
        <v>332</v>
      </c>
      <c r="BV1" t="s">
        <v>331</v>
      </c>
      <c r="BW1" t="s">
        <v>330</v>
      </c>
      <c r="BX1" t="s">
        <v>329</v>
      </c>
      <c r="BY1" t="s">
        <v>328</v>
      </c>
      <c r="BZ1" t="s">
        <v>327</v>
      </c>
      <c r="CA1" t="s">
        <v>326</v>
      </c>
      <c r="CB1" t="s">
        <v>325</v>
      </c>
      <c r="CC1" t="s">
        <v>324</v>
      </c>
      <c r="CD1" t="s">
        <v>323</v>
      </c>
      <c r="CE1" t="s">
        <v>322</v>
      </c>
      <c r="CF1" t="s">
        <v>321</v>
      </c>
      <c r="CG1" t="s">
        <v>320</v>
      </c>
      <c r="CH1" t="s">
        <v>319</v>
      </c>
      <c r="CI1" t="s">
        <v>318</v>
      </c>
      <c r="CJ1" t="s">
        <v>317</v>
      </c>
      <c r="CK1" t="s">
        <v>316</v>
      </c>
      <c r="CL1" t="s">
        <v>315</v>
      </c>
      <c r="CM1" t="s">
        <v>314</v>
      </c>
      <c r="CN1" t="s">
        <v>313</v>
      </c>
      <c r="CO1" t="s">
        <v>312</v>
      </c>
      <c r="CP1" t="s">
        <v>311</v>
      </c>
      <c r="CQ1" t="s">
        <v>310</v>
      </c>
      <c r="CR1" t="s">
        <v>309</v>
      </c>
      <c r="CS1" t="s">
        <v>308</v>
      </c>
      <c r="CT1" t="s">
        <v>307</v>
      </c>
      <c r="CU1" t="s">
        <v>306</v>
      </c>
      <c r="CV1" t="s">
        <v>305</v>
      </c>
      <c r="CW1" t="s">
        <v>304</v>
      </c>
      <c r="CX1" t="s">
        <v>303</v>
      </c>
      <c r="CY1" t="s">
        <v>302</v>
      </c>
      <c r="CZ1" t="s">
        <v>301</v>
      </c>
      <c r="DA1" t="s">
        <v>300</v>
      </c>
      <c r="DB1" t="s">
        <v>299</v>
      </c>
      <c r="DC1" t="s">
        <v>298</v>
      </c>
      <c r="DD1" t="s">
        <v>297</v>
      </c>
    </row>
    <row r="2" spans="1:108" ht="12.95" customHeight="1" x14ac:dyDescent="0.25">
      <c r="A2">
        <v>768613</v>
      </c>
      <c r="B2" t="s">
        <v>273</v>
      </c>
      <c r="C2">
        <v>11</v>
      </c>
      <c r="D2">
        <v>140.96299999999999</v>
      </c>
      <c r="E2" t="s">
        <v>272</v>
      </c>
      <c r="H2" t="s">
        <v>271</v>
      </c>
      <c r="I2" t="s">
        <v>270</v>
      </c>
      <c r="K2">
        <v>19311269</v>
      </c>
      <c r="L2">
        <v>193000187</v>
      </c>
      <c r="M2" s="237">
        <v>45209</v>
      </c>
      <c r="N2">
        <v>27</v>
      </c>
      <c r="O2">
        <v>2019</v>
      </c>
      <c r="P2" t="s">
        <v>289</v>
      </c>
      <c r="Q2">
        <v>1</v>
      </c>
      <c r="R2" t="s">
        <v>172</v>
      </c>
      <c r="S2" t="s">
        <v>268</v>
      </c>
      <c r="T2">
        <v>0</v>
      </c>
      <c r="U2">
        <v>1</v>
      </c>
      <c r="W2" t="s">
        <v>423</v>
      </c>
      <c r="X2" t="s">
        <v>634</v>
      </c>
      <c r="Y2" t="s">
        <v>278</v>
      </c>
      <c r="Z2" t="s">
        <v>277</v>
      </c>
      <c r="AA2" t="s">
        <v>179</v>
      </c>
      <c r="AC2" t="s">
        <v>166</v>
      </c>
      <c r="AD2" t="s">
        <v>263</v>
      </c>
      <c r="AE2" t="s">
        <v>420</v>
      </c>
      <c r="AG2" t="s">
        <v>261</v>
      </c>
      <c r="AH2" t="s">
        <v>292</v>
      </c>
      <c r="AI2" t="s">
        <v>259</v>
      </c>
      <c r="AJ2" t="s">
        <v>287</v>
      </c>
      <c r="AK2" t="s">
        <v>275</v>
      </c>
      <c r="AL2" t="s">
        <v>257</v>
      </c>
      <c r="AM2">
        <v>25</v>
      </c>
      <c r="AN2" t="s">
        <v>286</v>
      </c>
      <c r="AO2" t="s">
        <v>419</v>
      </c>
      <c r="AP2" t="s">
        <v>254</v>
      </c>
      <c r="AQ2" t="s">
        <v>438</v>
      </c>
      <c r="AT2" t="s">
        <v>253</v>
      </c>
      <c r="AU2" t="s">
        <v>252</v>
      </c>
      <c r="AV2">
        <v>60</v>
      </c>
      <c r="AW2" t="s">
        <v>283</v>
      </c>
      <c r="AX2" t="s">
        <v>250</v>
      </c>
      <c r="CU2">
        <v>400128.7856</v>
      </c>
      <c r="CV2">
        <v>5394944.3086000001</v>
      </c>
      <c r="CW2">
        <v>48.699544719999999</v>
      </c>
      <c r="CX2">
        <v>-94.357312359999995</v>
      </c>
      <c r="CY2" s="89">
        <v>43765.041666666664</v>
      </c>
      <c r="CZ2" t="s">
        <v>249</v>
      </c>
      <c r="DA2" t="s">
        <v>248</v>
      </c>
      <c r="DB2" t="s">
        <v>247</v>
      </c>
      <c r="DC2" t="s">
        <v>246</v>
      </c>
      <c r="DD2" s="18" t="s">
        <v>635</v>
      </c>
    </row>
    <row r="3" spans="1:108" ht="12.95" customHeight="1" x14ac:dyDescent="0.25">
      <c r="A3">
        <v>875006</v>
      </c>
      <c r="B3" t="s">
        <v>273</v>
      </c>
      <c r="C3">
        <v>11</v>
      </c>
      <c r="D3">
        <v>141.322</v>
      </c>
      <c r="E3" t="s">
        <v>272</v>
      </c>
      <c r="H3" t="s">
        <v>271</v>
      </c>
      <c r="I3" t="s">
        <v>270</v>
      </c>
      <c r="K3">
        <v>21310054</v>
      </c>
      <c r="L3">
        <v>210170064</v>
      </c>
      <c r="M3" s="237">
        <v>44927</v>
      </c>
      <c r="N3">
        <v>17</v>
      </c>
      <c r="O3">
        <v>2021</v>
      </c>
      <c r="P3" t="s">
        <v>289</v>
      </c>
      <c r="Q3">
        <v>16</v>
      </c>
      <c r="R3" t="s">
        <v>168</v>
      </c>
      <c r="S3" t="s">
        <v>184</v>
      </c>
      <c r="T3">
        <v>0</v>
      </c>
      <c r="U3">
        <v>1</v>
      </c>
      <c r="W3" t="s">
        <v>182</v>
      </c>
      <c r="X3" t="s">
        <v>636</v>
      </c>
      <c r="Y3" t="s">
        <v>278</v>
      </c>
      <c r="Z3" t="s">
        <v>277</v>
      </c>
      <c r="AA3" t="s">
        <v>179</v>
      </c>
      <c r="AC3" t="s">
        <v>264</v>
      </c>
      <c r="AD3" t="s">
        <v>263</v>
      </c>
      <c r="AE3" t="s">
        <v>420</v>
      </c>
      <c r="AG3" t="s">
        <v>261</v>
      </c>
      <c r="AH3" t="s">
        <v>260</v>
      </c>
      <c r="AI3" t="s">
        <v>259</v>
      </c>
      <c r="AJ3" t="s">
        <v>167</v>
      </c>
      <c r="AK3" t="s">
        <v>258</v>
      </c>
      <c r="AL3" t="s">
        <v>257</v>
      </c>
      <c r="AM3">
        <v>24</v>
      </c>
      <c r="AN3" t="s">
        <v>256</v>
      </c>
      <c r="AO3" t="s">
        <v>425</v>
      </c>
      <c r="AP3" t="s">
        <v>438</v>
      </c>
      <c r="AT3" t="s">
        <v>253</v>
      </c>
      <c r="AU3" t="s">
        <v>164</v>
      </c>
      <c r="AV3">
        <v>60</v>
      </c>
      <c r="AW3" t="s">
        <v>283</v>
      </c>
      <c r="AX3" t="s">
        <v>250</v>
      </c>
      <c r="CU3">
        <v>400707.1274</v>
      </c>
      <c r="CV3">
        <v>5394932.0506999996</v>
      </c>
      <c r="CW3">
        <v>48.69952679</v>
      </c>
      <c r="CX3">
        <v>-94.349451709999997</v>
      </c>
      <c r="CY3" s="89">
        <v>44213.677083333336</v>
      </c>
      <c r="CZ3" t="s">
        <v>249</v>
      </c>
      <c r="DA3" t="s">
        <v>248</v>
      </c>
      <c r="DB3" t="s">
        <v>483</v>
      </c>
      <c r="DC3" t="s">
        <v>246</v>
      </c>
      <c r="DD3" t="s">
        <v>637</v>
      </c>
    </row>
    <row r="4" spans="1:108" ht="12.95" customHeight="1" x14ac:dyDescent="0.25">
      <c r="A4">
        <v>811328</v>
      </c>
      <c r="B4" t="s">
        <v>273</v>
      </c>
      <c r="C4">
        <v>11</v>
      </c>
      <c r="D4">
        <v>145.989</v>
      </c>
      <c r="E4" t="s">
        <v>272</v>
      </c>
      <c r="H4" t="s">
        <v>271</v>
      </c>
      <c r="I4" t="s">
        <v>270</v>
      </c>
      <c r="K4">
        <v>20310552</v>
      </c>
      <c r="L4">
        <v>201420114</v>
      </c>
      <c r="M4" s="237">
        <v>45051</v>
      </c>
      <c r="N4">
        <v>21</v>
      </c>
      <c r="O4">
        <v>2020</v>
      </c>
      <c r="P4" t="s">
        <v>281</v>
      </c>
      <c r="Q4">
        <v>16</v>
      </c>
      <c r="R4" t="s">
        <v>123</v>
      </c>
      <c r="S4" t="s">
        <v>185</v>
      </c>
      <c r="T4">
        <v>1</v>
      </c>
      <c r="U4">
        <v>1</v>
      </c>
      <c r="W4" t="s">
        <v>176</v>
      </c>
      <c r="X4" t="s">
        <v>634</v>
      </c>
      <c r="Y4" t="s">
        <v>278</v>
      </c>
      <c r="Z4" t="s">
        <v>165</v>
      </c>
      <c r="AA4" t="s">
        <v>171</v>
      </c>
      <c r="AC4" t="s">
        <v>166</v>
      </c>
      <c r="AD4" t="s">
        <v>263</v>
      </c>
      <c r="AE4" t="s">
        <v>420</v>
      </c>
      <c r="AG4" t="s">
        <v>261</v>
      </c>
      <c r="AH4" t="s">
        <v>260</v>
      </c>
      <c r="AI4" t="s">
        <v>259</v>
      </c>
      <c r="AJ4" t="s">
        <v>35</v>
      </c>
      <c r="AK4" t="s">
        <v>258</v>
      </c>
      <c r="AL4" t="s">
        <v>257</v>
      </c>
      <c r="AM4">
        <v>53</v>
      </c>
      <c r="AN4" t="s">
        <v>286</v>
      </c>
      <c r="AO4" t="s">
        <v>513</v>
      </c>
      <c r="AP4" t="s">
        <v>438</v>
      </c>
      <c r="AQ4" t="s">
        <v>284</v>
      </c>
      <c r="AT4" t="s">
        <v>253</v>
      </c>
      <c r="AU4" t="s">
        <v>638</v>
      </c>
      <c r="AV4">
        <v>60</v>
      </c>
      <c r="AW4" t="s">
        <v>251</v>
      </c>
      <c r="AX4" t="s">
        <v>250</v>
      </c>
      <c r="CU4">
        <v>407509.32510000002</v>
      </c>
      <c r="CV4">
        <v>5393035.8405999998</v>
      </c>
      <c r="CW4">
        <v>48.683517999999999</v>
      </c>
      <c r="CX4">
        <v>-94.256605739999998</v>
      </c>
      <c r="CY4" s="89">
        <v>43972.681250000001</v>
      </c>
      <c r="CZ4" t="s">
        <v>249</v>
      </c>
      <c r="DA4" t="s">
        <v>248</v>
      </c>
      <c r="DB4" t="s">
        <v>247</v>
      </c>
      <c r="DC4" t="s">
        <v>246</v>
      </c>
      <c r="DD4" s="18" t="s">
        <v>639</v>
      </c>
    </row>
    <row r="5" spans="1:108" ht="12.95" customHeight="1" x14ac:dyDescent="0.25">
      <c r="A5">
        <v>720076</v>
      </c>
      <c r="B5" t="s">
        <v>273</v>
      </c>
      <c r="C5">
        <v>11</v>
      </c>
      <c r="D5">
        <v>150.947</v>
      </c>
      <c r="E5" t="s">
        <v>272</v>
      </c>
      <c r="H5" t="s">
        <v>271</v>
      </c>
      <c r="I5" t="s">
        <v>270</v>
      </c>
      <c r="K5">
        <v>19310594</v>
      </c>
      <c r="L5">
        <v>191340192</v>
      </c>
      <c r="M5" s="237">
        <v>45051</v>
      </c>
      <c r="N5">
        <v>14</v>
      </c>
      <c r="O5">
        <v>2019</v>
      </c>
      <c r="P5" t="s">
        <v>463</v>
      </c>
      <c r="Q5">
        <v>16</v>
      </c>
      <c r="R5" t="s">
        <v>123</v>
      </c>
      <c r="S5" t="s">
        <v>268</v>
      </c>
      <c r="T5">
        <v>0</v>
      </c>
      <c r="U5">
        <v>1</v>
      </c>
      <c r="W5" t="s">
        <v>413</v>
      </c>
      <c r="X5" t="s">
        <v>634</v>
      </c>
      <c r="Y5" t="s">
        <v>278</v>
      </c>
      <c r="Z5" t="s">
        <v>165</v>
      </c>
      <c r="AA5" t="s">
        <v>171</v>
      </c>
      <c r="AC5" t="s">
        <v>166</v>
      </c>
      <c r="AD5" t="s">
        <v>263</v>
      </c>
      <c r="AE5" t="s">
        <v>420</v>
      </c>
      <c r="AG5" t="s">
        <v>261</v>
      </c>
      <c r="AH5" t="s">
        <v>260</v>
      </c>
      <c r="AI5" t="s">
        <v>259</v>
      </c>
      <c r="AJ5" t="s">
        <v>167</v>
      </c>
      <c r="AK5" t="s">
        <v>258</v>
      </c>
      <c r="AL5" t="s">
        <v>257</v>
      </c>
      <c r="AM5">
        <v>74</v>
      </c>
      <c r="AN5" t="s">
        <v>256</v>
      </c>
      <c r="AO5" t="s">
        <v>255</v>
      </c>
      <c r="AP5" t="s">
        <v>254</v>
      </c>
      <c r="AQ5" t="s">
        <v>274</v>
      </c>
      <c r="AT5" t="s">
        <v>253</v>
      </c>
      <c r="AU5" t="s">
        <v>252</v>
      </c>
      <c r="AV5">
        <v>60</v>
      </c>
      <c r="AW5" t="s">
        <v>283</v>
      </c>
      <c r="AX5" t="s">
        <v>250</v>
      </c>
      <c r="CU5">
        <v>412121.2316</v>
      </c>
      <c r="CV5">
        <v>5389125.1930999998</v>
      </c>
      <c r="CW5">
        <v>48.649011250000001</v>
      </c>
      <c r="CX5">
        <v>-94.193131269999995</v>
      </c>
      <c r="CY5" s="89">
        <v>43599.677777777775</v>
      </c>
      <c r="CZ5" t="s">
        <v>249</v>
      </c>
      <c r="DA5" t="s">
        <v>248</v>
      </c>
      <c r="DB5" t="s">
        <v>247</v>
      </c>
      <c r="DC5" t="s">
        <v>246</v>
      </c>
      <c r="DD5" s="18" t="s">
        <v>641</v>
      </c>
    </row>
    <row r="6" spans="1:108" ht="12.95" customHeight="1" x14ac:dyDescent="0.25">
      <c r="A6">
        <v>664273</v>
      </c>
      <c r="B6" t="s">
        <v>273</v>
      </c>
      <c r="C6">
        <v>11</v>
      </c>
      <c r="D6">
        <v>152.45099999999999</v>
      </c>
      <c r="E6" t="s">
        <v>272</v>
      </c>
      <c r="H6" t="s">
        <v>271</v>
      </c>
      <c r="I6" t="s">
        <v>270</v>
      </c>
      <c r="K6">
        <v>18030384</v>
      </c>
      <c r="L6">
        <v>183340034</v>
      </c>
      <c r="M6" s="237">
        <v>45241</v>
      </c>
      <c r="N6">
        <v>30</v>
      </c>
      <c r="O6">
        <v>2018</v>
      </c>
      <c r="P6" t="s">
        <v>293</v>
      </c>
      <c r="Q6">
        <v>7</v>
      </c>
      <c r="R6" t="s">
        <v>168</v>
      </c>
      <c r="S6" t="s">
        <v>268</v>
      </c>
      <c r="T6">
        <v>0</v>
      </c>
      <c r="U6">
        <v>1</v>
      </c>
      <c r="W6" t="s">
        <v>423</v>
      </c>
      <c r="X6" t="s">
        <v>634</v>
      </c>
      <c r="Y6" t="s">
        <v>278</v>
      </c>
      <c r="Z6" t="s">
        <v>277</v>
      </c>
      <c r="AA6" t="s">
        <v>179</v>
      </c>
      <c r="AC6" t="s">
        <v>264</v>
      </c>
      <c r="AD6" t="s">
        <v>263</v>
      </c>
      <c r="AE6" t="s">
        <v>420</v>
      </c>
      <c r="AG6" t="s">
        <v>261</v>
      </c>
      <c r="AH6" t="s">
        <v>292</v>
      </c>
      <c r="AI6" t="s">
        <v>259</v>
      </c>
      <c r="AJ6" t="s">
        <v>287</v>
      </c>
      <c r="AK6" t="s">
        <v>275</v>
      </c>
      <c r="AL6" t="s">
        <v>257</v>
      </c>
      <c r="AM6">
        <v>31</v>
      </c>
      <c r="AN6" t="s">
        <v>286</v>
      </c>
      <c r="AO6" t="s">
        <v>255</v>
      </c>
      <c r="AP6" t="s">
        <v>291</v>
      </c>
      <c r="AT6" t="s">
        <v>253</v>
      </c>
      <c r="AU6" t="s">
        <v>168</v>
      </c>
      <c r="AV6">
        <v>60</v>
      </c>
      <c r="AW6" t="s">
        <v>283</v>
      </c>
      <c r="AX6" t="s">
        <v>250</v>
      </c>
      <c r="CU6">
        <v>414481.43849999999</v>
      </c>
      <c r="CV6">
        <v>5388634.5547000002</v>
      </c>
      <c r="CW6">
        <v>48.644925729999997</v>
      </c>
      <c r="CX6">
        <v>-94.160992579999998</v>
      </c>
      <c r="CY6" s="89">
        <v>43434.291666666664</v>
      </c>
      <c r="CZ6" t="s">
        <v>249</v>
      </c>
      <c r="DA6" t="s">
        <v>248</v>
      </c>
      <c r="DB6" t="s">
        <v>416</v>
      </c>
      <c r="DC6" t="s">
        <v>415</v>
      </c>
      <c r="DD6" t="s">
        <v>642</v>
      </c>
    </row>
    <row r="7" spans="1:108" ht="12.95" customHeight="1" x14ac:dyDescent="0.25">
      <c r="A7">
        <v>762832</v>
      </c>
      <c r="B7" t="s">
        <v>273</v>
      </c>
      <c r="C7">
        <v>11</v>
      </c>
      <c r="D7">
        <v>164.90899999999999</v>
      </c>
      <c r="E7" t="s">
        <v>272</v>
      </c>
      <c r="H7" t="s">
        <v>271</v>
      </c>
      <c r="I7" t="s">
        <v>270</v>
      </c>
      <c r="K7">
        <v>19311344</v>
      </c>
      <c r="L7">
        <v>192990259</v>
      </c>
      <c r="M7" s="237">
        <v>45209</v>
      </c>
      <c r="N7">
        <v>26</v>
      </c>
      <c r="O7">
        <v>2019</v>
      </c>
      <c r="P7" t="s">
        <v>426</v>
      </c>
      <c r="Q7">
        <v>15</v>
      </c>
      <c r="R7" t="s">
        <v>172</v>
      </c>
      <c r="S7" t="s">
        <v>268</v>
      </c>
      <c r="T7">
        <v>0</v>
      </c>
      <c r="U7">
        <v>1</v>
      </c>
      <c r="W7" t="s">
        <v>175</v>
      </c>
      <c r="X7" t="s">
        <v>634</v>
      </c>
      <c r="Y7" t="s">
        <v>278</v>
      </c>
      <c r="Z7" t="s">
        <v>165</v>
      </c>
      <c r="AA7" t="s">
        <v>171</v>
      </c>
      <c r="AC7" t="s">
        <v>166</v>
      </c>
      <c r="AD7" t="s">
        <v>263</v>
      </c>
      <c r="AE7" t="s">
        <v>420</v>
      </c>
      <c r="AG7" t="s">
        <v>261</v>
      </c>
      <c r="AH7" t="s">
        <v>292</v>
      </c>
      <c r="AI7" t="s">
        <v>259</v>
      </c>
      <c r="AJ7" t="s">
        <v>167</v>
      </c>
      <c r="AK7" t="s">
        <v>275</v>
      </c>
      <c r="AL7" t="s">
        <v>257</v>
      </c>
      <c r="AM7">
        <v>59</v>
      </c>
      <c r="AN7" t="s">
        <v>256</v>
      </c>
      <c r="AO7" t="s">
        <v>255</v>
      </c>
      <c r="AP7" t="s">
        <v>291</v>
      </c>
      <c r="AT7" t="s">
        <v>253</v>
      </c>
      <c r="AU7" t="s">
        <v>252</v>
      </c>
      <c r="AV7">
        <v>60</v>
      </c>
      <c r="AW7" t="s">
        <v>417</v>
      </c>
      <c r="AX7" t="s">
        <v>436</v>
      </c>
      <c r="CU7">
        <v>433689.25280000002</v>
      </c>
      <c r="CV7">
        <v>5386804.2216999996</v>
      </c>
      <c r="CW7">
        <v>48.630794819999998</v>
      </c>
      <c r="CX7">
        <v>-93.899976300000006</v>
      </c>
      <c r="CY7" s="89">
        <v>43764.643750000003</v>
      </c>
      <c r="CZ7" t="s">
        <v>249</v>
      </c>
      <c r="DA7" t="s">
        <v>248</v>
      </c>
      <c r="DB7" t="s">
        <v>247</v>
      </c>
      <c r="DC7" t="s">
        <v>246</v>
      </c>
      <c r="DD7" s="18" t="s">
        <v>435</v>
      </c>
    </row>
    <row r="8" spans="1:108" ht="12.95" customHeight="1" x14ac:dyDescent="0.25">
      <c r="A8">
        <v>761169</v>
      </c>
      <c r="B8" t="s">
        <v>273</v>
      </c>
      <c r="C8">
        <v>11</v>
      </c>
      <c r="D8">
        <v>168.96899999999999</v>
      </c>
      <c r="E8" t="s">
        <v>272</v>
      </c>
      <c r="H8" t="s">
        <v>271</v>
      </c>
      <c r="I8" t="s">
        <v>270</v>
      </c>
      <c r="K8">
        <v>19311345</v>
      </c>
      <c r="L8">
        <v>193120220</v>
      </c>
      <c r="M8" s="237">
        <v>45241</v>
      </c>
      <c r="N8">
        <v>8</v>
      </c>
      <c r="O8">
        <v>2019</v>
      </c>
      <c r="P8" t="s">
        <v>293</v>
      </c>
      <c r="Q8">
        <v>18</v>
      </c>
      <c r="R8" t="s">
        <v>123</v>
      </c>
      <c r="S8" t="s">
        <v>268</v>
      </c>
      <c r="T8">
        <v>0</v>
      </c>
      <c r="U8">
        <v>1</v>
      </c>
      <c r="W8" t="s">
        <v>175</v>
      </c>
      <c r="X8" t="s">
        <v>634</v>
      </c>
      <c r="Y8" t="s">
        <v>278</v>
      </c>
      <c r="Z8" t="s">
        <v>277</v>
      </c>
      <c r="AA8" t="s">
        <v>183</v>
      </c>
      <c r="AB8" t="s">
        <v>179</v>
      </c>
      <c r="AC8" t="s">
        <v>183</v>
      </c>
      <c r="AD8" t="s">
        <v>263</v>
      </c>
      <c r="AE8" t="s">
        <v>262</v>
      </c>
      <c r="AG8" t="s">
        <v>261</v>
      </c>
      <c r="AH8" t="s">
        <v>292</v>
      </c>
      <c r="AI8" t="s">
        <v>259</v>
      </c>
      <c r="AJ8" t="s">
        <v>167</v>
      </c>
      <c r="AK8" t="s">
        <v>258</v>
      </c>
      <c r="AL8" t="s">
        <v>257</v>
      </c>
      <c r="AM8">
        <v>68</v>
      </c>
      <c r="AN8" t="s">
        <v>286</v>
      </c>
      <c r="AO8" t="s">
        <v>255</v>
      </c>
      <c r="AP8" t="s">
        <v>291</v>
      </c>
      <c r="AT8" t="s">
        <v>253</v>
      </c>
      <c r="AU8" t="s">
        <v>252</v>
      </c>
      <c r="AV8">
        <v>60</v>
      </c>
      <c r="AW8" t="s">
        <v>283</v>
      </c>
      <c r="AX8" t="s">
        <v>250</v>
      </c>
      <c r="CU8">
        <v>438978.91879999998</v>
      </c>
      <c r="CV8">
        <v>5384478.5664999997</v>
      </c>
      <c r="CW8">
        <v>48.610413479999998</v>
      </c>
      <c r="CX8">
        <v>-93.827851030000005</v>
      </c>
      <c r="CY8" s="89">
        <v>43777.756944444445</v>
      </c>
      <c r="CZ8" t="s">
        <v>249</v>
      </c>
      <c r="DA8" t="s">
        <v>248</v>
      </c>
      <c r="DB8" t="s">
        <v>247</v>
      </c>
      <c r="DC8" t="s">
        <v>246</v>
      </c>
      <c r="DD8" s="18" t="s">
        <v>290</v>
      </c>
    </row>
    <row r="9" spans="1:108" ht="12.95" customHeight="1" x14ac:dyDescent="0.25">
      <c r="A9">
        <v>668557</v>
      </c>
      <c r="B9" t="s">
        <v>273</v>
      </c>
      <c r="C9">
        <v>11</v>
      </c>
      <c r="D9">
        <v>169.14</v>
      </c>
      <c r="E9" t="s">
        <v>272</v>
      </c>
      <c r="H9" t="s">
        <v>271</v>
      </c>
      <c r="I9" t="s">
        <v>270</v>
      </c>
      <c r="K9">
        <v>18311442</v>
      </c>
      <c r="L9">
        <v>183430146</v>
      </c>
      <c r="M9" s="237">
        <v>45272</v>
      </c>
      <c r="N9">
        <v>9</v>
      </c>
      <c r="O9">
        <v>2018</v>
      </c>
      <c r="P9" t="s">
        <v>289</v>
      </c>
      <c r="Q9">
        <v>12</v>
      </c>
      <c r="R9" t="s">
        <v>123</v>
      </c>
      <c r="S9" t="s">
        <v>288</v>
      </c>
      <c r="T9">
        <v>0</v>
      </c>
      <c r="U9">
        <v>1</v>
      </c>
      <c r="W9" t="s">
        <v>279</v>
      </c>
      <c r="X9" t="s">
        <v>634</v>
      </c>
      <c r="Y9" t="s">
        <v>278</v>
      </c>
      <c r="Z9" t="s">
        <v>165</v>
      </c>
      <c r="AA9" t="s">
        <v>179</v>
      </c>
      <c r="AC9" t="s">
        <v>166</v>
      </c>
      <c r="AD9" t="s">
        <v>263</v>
      </c>
      <c r="AE9" t="s">
        <v>262</v>
      </c>
      <c r="AG9" t="s">
        <v>261</v>
      </c>
      <c r="AH9" t="s">
        <v>260</v>
      </c>
      <c r="AI9" t="s">
        <v>259</v>
      </c>
      <c r="AJ9" t="s">
        <v>287</v>
      </c>
      <c r="AK9" t="s">
        <v>258</v>
      </c>
      <c r="AL9" t="s">
        <v>257</v>
      </c>
      <c r="AM9">
        <v>29</v>
      </c>
      <c r="AN9" t="s">
        <v>286</v>
      </c>
      <c r="AO9" t="s">
        <v>255</v>
      </c>
      <c r="AP9" t="s">
        <v>285</v>
      </c>
      <c r="AQ9" t="s">
        <v>284</v>
      </c>
      <c r="AT9" t="s">
        <v>253</v>
      </c>
      <c r="AU9" t="s">
        <v>252</v>
      </c>
      <c r="AV9">
        <v>60</v>
      </c>
      <c r="AW9" t="s">
        <v>283</v>
      </c>
      <c r="AX9" t="s">
        <v>250</v>
      </c>
      <c r="CU9">
        <v>439115.88</v>
      </c>
      <c r="CV9">
        <v>5384241.0626999997</v>
      </c>
      <c r="CW9">
        <v>48.608290410000002</v>
      </c>
      <c r="CX9">
        <v>-93.825958299999996</v>
      </c>
      <c r="CY9" s="89">
        <v>43443.508333333331</v>
      </c>
      <c r="CZ9" t="s">
        <v>249</v>
      </c>
      <c r="DA9" t="s">
        <v>248</v>
      </c>
      <c r="DB9" t="s">
        <v>247</v>
      </c>
      <c r="DC9" t="s">
        <v>246</v>
      </c>
      <c r="DD9" s="18" t="s">
        <v>282</v>
      </c>
    </row>
    <row r="10" spans="1:108" ht="12.95" customHeight="1" x14ac:dyDescent="0.25">
      <c r="A10">
        <v>774320</v>
      </c>
      <c r="B10" t="s">
        <v>273</v>
      </c>
      <c r="C10">
        <v>11</v>
      </c>
      <c r="D10">
        <v>170.697</v>
      </c>
      <c r="E10" t="s">
        <v>272</v>
      </c>
      <c r="H10" t="s">
        <v>271</v>
      </c>
      <c r="I10" t="s">
        <v>270</v>
      </c>
      <c r="K10">
        <v>19311578</v>
      </c>
      <c r="L10">
        <v>193590072</v>
      </c>
      <c r="M10" s="237">
        <v>45272</v>
      </c>
      <c r="N10">
        <v>25</v>
      </c>
      <c r="O10">
        <v>2019</v>
      </c>
      <c r="P10" t="s">
        <v>269</v>
      </c>
      <c r="Q10">
        <v>11</v>
      </c>
      <c r="R10" t="s">
        <v>123</v>
      </c>
      <c r="S10" t="s">
        <v>268</v>
      </c>
      <c r="T10">
        <v>0</v>
      </c>
      <c r="U10">
        <v>1</v>
      </c>
      <c r="W10" t="s">
        <v>267</v>
      </c>
      <c r="X10" t="s">
        <v>634</v>
      </c>
      <c r="Y10" t="s">
        <v>266</v>
      </c>
      <c r="Z10" t="s">
        <v>165</v>
      </c>
      <c r="AA10" t="s">
        <v>179</v>
      </c>
      <c r="AB10" t="s">
        <v>265</v>
      </c>
      <c r="AC10" t="s">
        <v>264</v>
      </c>
      <c r="AD10" t="s">
        <v>263</v>
      </c>
      <c r="AE10" t="s">
        <v>262</v>
      </c>
      <c r="AG10" t="s">
        <v>261</v>
      </c>
      <c r="AH10" t="s">
        <v>260</v>
      </c>
      <c r="AI10" t="s">
        <v>259</v>
      </c>
      <c r="AJ10" t="s">
        <v>167</v>
      </c>
      <c r="AK10" t="s">
        <v>258</v>
      </c>
      <c r="AL10" t="s">
        <v>257</v>
      </c>
      <c r="AM10">
        <v>29</v>
      </c>
      <c r="AN10" t="s">
        <v>256</v>
      </c>
      <c r="AO10" t="s">
        <v>255</v>
      </c>
      <c r="AP10" t="s">
        <v>254</v>
      </c>
      <c r="AT10" t="s">
        <v>253</v>
      </c>
      <c r="AU10" t="s">
        <v>252</v>
      </c>
      <c r="AV10">
        <v>60</v>
      </c>
      <c r="AW10" t="s">
        <v>251</v>
      </c>
      <c r="AX10" t="s">
        <v>250</v>
      </c>
      <c r="CU10">
        <v>439722.57260000001</v>
      </c>
      <c r="CV10">
        <v>5381852.1410999997</v>
      </c>
      <c r="CW10">
        <v>48.586859990000001</v>
      </c>
      <c r="CX10">
        <v>-93.817382050000006</v>
      </c>
      <c r="CY10" s="89">
        <v>43824.474999999999</v>
      </c>
      <c r="CZ10" t="s">
        <v>249</v>
      </c>
      <c r="DA10" t="s">
        <v>248</v>
      </c>
      <c r="DB10" t="s">
        <v>247</v>
      </c>
      <c r="DC10" t="s">
        <v>246</v>
      </c>
      <c r="DD10" s="18" t="s">
        <v>245</v>
      </c>
    </row>
    <row r="11" spans="1:108" ht="12.95" customHeight="1" x14ac:dyDescent="0.25">
      <c r="A11">
        <v>1069676</v>
      </c>
      <c r="B11" t="s">
        <v>273</v>
      </c>
      <c r="C11">
        <v>11</v>
      </c>
      <c r="D11">
        <v>171.023</v>
      </c>
      <c r="E11" t="s">
        <v>272</v>
      </c>
      <c r="H11" t="s">
        <v>271</v>
      </c>
      <c r="I11" t="s">
        <v>270</v>
      </c>
      <c r="K11">
        <v>22311507</v>
      </c>
      <c r="L11">
        <v>223550462</v>
      </c>
      <c r="M11" s="237">
        <v>45272</v>
      </c>
      <c r="N11">
        <v>21</v>
      </c>
      <c r="O11">
        <v>2022</v>
      </c>
      <c r="P11" t="s">
        <v>269</v>
      </c>
      <c r="Q11">
        <v>15</v>
      </c>
      <c r="S11" t="s">
        <v>268</v>
      </c>
      <c r="T11">
        <v>0</v>
      </c>
      <c r="U11">
        <v>2</v>
      </c>
      <c r="V11" t="s">
        <v>432</v>
      </c>
      <c r="W11" t="s">
        <v>296</v>
      </c>
      <c r="X11" t="s">
        <v>634</v>
      </c>
      <c r="Y11" t="s">
        <v>278</v>
      </c>
      <c r="Z11" t="s">
        <v>165</v>
      </c>
      <c r="AA11" t="s">
        <v>295</v>
      </c>
      <c r="AB11" t="s">
        <v>183</v>
      </c>
      <c r="AC11" t="s">
        <v>183</v>
      </c>
      <c r="AD11" t="s">
        <v>263</v>
      </c>
      <c r="AE11" t="s">
        <v>262</v>
      </c>
      <c r="AG11" t="s">
        <v>261</v>
      </c>
      <c r="AH11" t="s">
        <v>178</v>
      </c>
      <c r="AI11" t="s">
        <v>259</v>
      </c>
      <c r="AJ11" t="s">
        <v>431</v>
      </c>
      <c r="AK11" t="s">
        <v>275</v>
      </c>
      <c r="AL11" t="s">
        <v>257</v>
      </c>
      <c r="AM11">
        <v>20</v>
      </c>
      <c r="AN11" t="s">
        <v>286</v>
      </c>
      <c r="AO11" t="s">
        <v>255</v>
      </c>
      <c r="AP11" t="s">
        <v>430</v>
      </c>
      <c r="AQ11" t="s">
        <v>429</v>
      </c>
      <c r="AT11" t="s">
        <v>253</v>
      </c>
      <c r="AU11" t="s">
        <v>252</v>
      </c>
      <c r="AV11">
        <v>60</v>
      </c>
      <c r="AW11" t="s">
        <v>283</v>
      </c>
      <c r="AX11" t="s">
        <v>250</v>
      </c>
      <c r="AY11" t="s">
        <v>259</v>
      </c>
      <c r="AZ11" t="s">
        <v>287</v>
      </c>
      <c r="BA11" t="s">
        <v>275</v>
      </c>
      <c r="BB11" t="s">
        <v>294</v>
      </c>
      <c r="BC11">
        <v>48</v>
      </c>
      <c r="BD11" t="s">
        <v>286</v>
      </c>
      <c r="BE11" t="s">
        <v>255</v>
      </c>
      <c r="BF11" t="s">
        <v>291</v>
      </c>
      <c r="BJ11" t="s">
        <v>253</v>
      </c>
      <c r="BK11" t="s">
        <v>252</v>
      </c>
      <c r="BL11">
        <v>60</v>
      </c>
      <c r="BM11" t="s">
        <v>283</v>
      </c>
      <c r="BN11" t="s">
        <v>250</v>
      </c>
      <c r="CU11">
        <v>439706.52679999999</v>
      </c>
      <c r="CV11">
        <v>5381327.4385000002</v>
      </c>
      <c r="CW11">
        <v>48.582138559999997</v>
      </c>
      <c r="CX11">
        <v>-93.817523489999999</v>
      </c>
      <c r="CY11" s="89">
        <v>44916.649305555555</v>
      </c>
      <c r="CZ11" t="s">
        <v>249</v>
      </c>
      <c r="DA11" t="s">
        <v>248</v>
      </c>
      <c r="DB11" t="s">
        <v>247</v>
      </c>
      <c r="DC11" t="s">
        <v>246</v>
      </c>
      <c r="DD11" s="18" t="s">
        <v>428</v>
      </c>
    </row>
    <row r="12" spans="1:108" ht="12.95" customHeight="1" x14ac:dyDescent="0.25">
      <c r="A12">
        <v>860770</v>
      </c>
      <c r="B12" t="s">
        <v>273</v>
      </c>
      <c r="C12">
        <v>11</v>
      </c>
      <c r="D12">
        <v>173.756</v>
      </c>
      <c r="E12" t="s">
        <v>272</v>
      </c>
      <c r="H12" t="s">
        <v>271</v>
      </c>
      <c r="I12" t="s">
        <v>270</v>
      </c>
      <c r="K12">
        <v>20000355</v>
      </c>
      <c r="L12">
        <v>203070035</v>
      </c>
      <c r="M12" s="237">
        <v>45241</v>
      </c>
      <c r="N12">
        <v>2</v>
      </c>
      <c r="O12">
        <v>2020</v>
      </c>
      <c r="P12" t="s">
        <v>424</v>
      </c>
      <c r="Q12">
        <v>6</v>
      </c>
      <c r="R12" t="s">
        <v>168</v>
      </c>
      <c r="S12" t="s">
        <v>268</v>
      </c>
      <c r="T12">
        <v>0</v>
      </c>
      <c r="U12">
        <v>1</v>
      </c>
      <c r="W12" t="s">
        <v>423</v>
      </c>
      <c r="X12" t="s">
        <v>634</v>
      </c>
      <c r="Y12" t="s">
        <v>278</v>
      </c>
      <c r="Z12" t="s">
        <v>277</v>
      </c>
      <c r="AA12" t="s">
        <v>171</v>
      </c>
      <c r="AC12" t="s">
        <v>264</v>
      </c>
      <c r="AD12" t="s">
        <v>263</v>
      </c>
      <c r="AE12" t="s">
        <v>262</v>
      </c>
      <c r="AG12" t="s">
        <v>261</v>
      </c>
      <c r="AH12" t="s">
        <v>292</v>
      </c>
      <c r="AI12" t="s">
        <v>259</v>
      </c>
      <c r="AJ12" t="s">
        <v>287</v>
      </c>
      <c r="AK12" t="s">
        <v>258</v>
      </c>
      <c r="AL12" t="s">
        <v>257</v>
      </c>
      <c r="AM12">
        <v>55</v>
      </c>
      <c r="AN12" t="s">
        <v>286</v>
      </c>
      <c r="AO12" t="s">
        <v>255</v>
      </c>
      <c r="AP12" t="s">
        <v>291</v>
      </c>
      <c r="AT12" t="s">
        <v>253</v>
      </c>
      <c r="AU12" t="s">
        <v>168</v>
      </c>
      <c r="AV12">
        <v>60</v>
      </c>
      <c r="AW12" t="s">
        <v>283</v>
      </c>
      <c r="AX12" t="s">
        <v>250</v>
      </c>
      <c r="CU12">
        <v>439595.04879999999</v>
      </c>
      <c r="CV12">
        <v>5376930.9846999999</v>
      </c>
      <c r="CW12">
        <v>48.542580030000003</v>
      </c>
      <c r="CX12">
        <v>-93.818396539999995</v>
      </c>
      <c r="CY12" s="89">
        <v>44137.262499999997</v>
      </c>
      <c r="CZ12" t="s">
        <v>249</v>
      </c>
      <c r="DA12" t="s">
        <v>248</v>
      </c>
      <c r="DB12" t="s">
        <v>416</v>
      </c>
      <c r="DC12" t="s">
        <v>415</v>
      </c>
      <c r="DD12" t="s">
        <v>422</v>
      </c>
    </row>
    <row r="13" spans="1:108" ht="12.95" customHeight="1" x14ac:dyDescent="0.25">
      <c r="A13">
        <v>814604</v>
      </c>
      <c r="B13" t="s">
        <v>273</v>
      </c>
      <c r="C13">
        <v>11</v>
      </c>
      <c r="D13">
        <v>173.95099999999999</v>
      </c>
      <c r="E13" t="s">
        <v>272</v>
      </c>
      <c r="H13" t="s">
        <v>271</v>
      </c>
      <c r="I13" t="s">
        <v>270</v>
      </c>
      <c r="K13" t="s">
        <v>421</v>
      </c>
      <c r="L13">
        <v>201660104</v>
      </c>
      <c r="M13" s="237">
        <v>45083</v>
      </c>
      <c r="N13">
        <v>14</v>
      </c>
      <c r="O13">
        <v>2020</v>
      </c>
      <c r="P13" t="s">
        <v>289</v>
      </c>
      <c r="Q13">
        <v>17</v>
      </c>
      <c r="R13" t="s">
        <v>172</v>
      </c>
      <c r="S13" t="s">
        <v>288</v>
      </c>
      <c r="T13">
        <v>0</v>
      </c>
      <c r="U13">
        <v>1</v>
      </c>
      <c r="W13" t="s">
        <v>182</v>
      </c>
      <c r="X13" t="s">
        <v>634</v>
      </c>
      <c r="Y13" t="s">
        <v>278</v>
      </c>
      <c r="Z13" t="s">
        <v>165</v>
      </c>
      <c r="AA13" t="s">
        <v>171</v>
      </c>
      <c r="AC13" t="s">
        <v>166</v>
      </c>
      <c r="AD13" t="s">
        <v>263</v>
      </c>
      <c r="AE13" t="s">
        <v>420</v>
      </c>
      <c r="AG13" t="s">
        <v>261</v>
      </c>
      <c r="AH13" t="s">
        <v>260</v>
      </c>
      <c r="AI13" t="s">
        <v>259</v>
      </c>
      <c r="AJ13" t="s">
        <v>167</v>
      </c>
      <c r="AK13" t="s">
        <v>275</v>
      </c>
      <c r="AL13" t="s">
        <v>257</v>
      </c>
      <c r="AM13">
        <v>32</v>
      </c>
      <c r="AN13" t="s">
        <v>286</v>
      </c>
      <c r="AO13" t="s">
        <v>419</v>
      </c>
      <c r="AP13" t="s">
        <v>418</v>
      </c>
      <c r="AQ13" t="s">
        <v>274</v>
      </c>
      <c r="AT13" t="s">
        <v>253</v>
      </c>
      <c r="AU13" t="s">
        <v>252</v>
      </c>
      <c r="AV13">
        <v>60</v>
      </c>
      <c r="AW13" t="s">
        <v>417</v>
      </c>
      <c r="AX13" t="s">
        <v>250</v>
      </c>
      <c r="CU13">
        <v>439597.90360000002</v>
      </c>
      <c r="CV13">
        <v>5376616.8792000003</v>
      </c>
      <c r="CW13">
        <v>48.539754799999997</v>
      </c>
      <c r="CX13">
        <v>-93.818312320000004</v>
      </c>
      <c r="CY13" s="89">
        <v>43996.719444444447</v>
      </c>
      <c r="CZ13" t="s">
        <v>249</v>
      </c>
      <c r="DA13" t="s">
        <v>248</v>
      </c>
      <c r="DB13" t="s">
        <v>416</v>
      </c>
      <c r="DC13" t="s">
        <v>415</v>
      </c>
      <c r="DD13" t="s">
        <v>414</v>
      </c>
    </row>
    <row r="14" spans="1:108" ht="12.95" customHeight="1" x14ac:dyDescent="0.25">
      <c r="A14">
        <v>1026581</v>
      </c>
      <c r="B14" t="s">
        <v>273</v>
      </c>
      <c r="C14">
        <v>11</v>
      </c>
      <c r="D14">
        <v>176.93299999999999</v>
      </c>
      <c r="E14" t="s">
        <v>272</v>
      </c>
      <c r="H14" t="s">
        <v>271</v>
      </c>
      <c r="I14" t="s">
        <v>270</v>
      </c>
      <c r="K14">
        <v>22310704</v>
      </c>
      <c r="L14">
        <v>221460194</v>
      </c>
      <c r="M14" s="237">
        <v>45051</v>
      </c>
      <c r="N14">
        <v>26</v>
      </c>
      <c r="O14">
        <v>2022</v>
      </c>
      <c r="P14" t="s">
        <v>281</v>
      </c>
      <c r="Q14">
        <v>22</v>
      </c>
      <c r="S14" t="s">
        <v>268</v>
      </c>
      <c r="T14">
        <v>0</v>
      </c>
      <c r="U14">
        <v>2</v>
      </c>
      <c r="V14" t="s">
        <v>432</v>
      </c>
      <c r="W14" t="s">
        <v>296</v>
      </c>
      <c r="X14" t="s">
        <v>634</v>
      </c>
      <c r="Y14" t="s">
        <v>278</v>
      </c>
      <c r="Z14" t="s">
        <v>277</v>
      </c>
      <c r="AA14" t="s">
        <v>179</v>
      </c>
      <c r="AC14" t="s">
        <v>166</v>
      </c>
      <c r="AD14" t="s">
        <v>263</v>
      </c>
      <c r="AE14" t="s">
        <v>420</v>
      </c>
      <c r="AG14" t="s">
        <v>261</v>
      </c>
      <c r="AH14" t="s">
        <v>178</v>
      </c>
      <c r="AI14" t="s">
        <v>259</v>
      </c>
      <c r="AJ14" t="s">
        <v>167</v>
      </c>
      <c r="AK14" t="s">
        <v>258</v>
      </c>
      <c r="AL14" t="s">
        <v>257</v>
      </c>
      <c r="AM14">
        <v>19</v>
      </c>
      <c r="AN14" t="s">
        <v>286</v>
      </c>
      <c r="AO14" t="s">
        <v>255</v>
      </c>
      <c r="AP14" t="s">
        <v>284</v>
      </c>
      <c r="AQ14" t="s">
        <v>490</v>
      </c>
      <c r="AT14" t="s">
        <v>253</v>
      </c>
      <c r="AU14" t="s">
        <v>252</v>
      </c>
      <c r="AV14">
        <v>60</v>
      </c>
      <c r="AW14" t="s">
        <v>283</v>
      </c>
      <c r="AX14" t="s">
        <v>250</v>
      </c>
      <c r="AY14" t="s">
        <v>259</v>
      </c>
      <c r="AZ14" t="s">
        <v>287</v>
      </c>
      <c r="BA14" t="s">
        <v>258</v>
      </c>
      <c r="BB14" t="s">
        <v>257</v>
      </c>
      <c r="BC14">
        <v>21</v>
      </c>
      <c r="BD14" t="s">
        <v>286</v>
      </c>
      <c r="BE14" t="s">
        <v>255</v>
      </c>
      <c r="BF14" t="s">
        <v>291</v>
      </c>
      <c r="BJ14" t="s">
        <v>253</v>
      </c>
      <c r="BK14" t="s">
        <v>252</v>
      </c>
      <c r="BL14">
        <v>60</v>
      </c>
      <c r="BM14" t="s">
        <v>283</v>
      </c>
      <c r="BN14" t="s">
        <v>250</v>
      </c>
      <c r="CU14">
        <v>441837.52590000001</v>
      </c>
      <c r="CV14">
        <v>5373575.4592000004</v>
      </c>
      <c r="CW14">
        <v>48.512607320000001</v>
      </c>
      <c r="CX14">
        <v>-93.787549499999997</v>
      </c>
      <c r="CY14" s="89">
        <v>44707.944444444445</v>
      </c>
      <c r="CZ14" t="s">
        <v>249</v>
      </c>
      <c r="DA14" t="s">
        <v>248</v>
      </c>
      <c r="DB14" t="s">
        <v>247</v>
      </c>
      <c r="DC14" t="s">
        <v>246</v>
      </c>
      <c r="DD14" t="s">
        <v>643</v>
      </c>
    </row>
    <row r="15" spans="1:108" ht="12.95" customHeight="1" x14ac:dyDescent="0.25">
      <c r="A15">
        <v>697296</v>
      </c>
      <c r="B15" t="s">
        <v>273</v>
      </c>
      <c r="C15">
        <v>11</v>
      </c>
      <c r="D15">
        <v>180.447</v>
      </c>
      <c r="E15" t="s">
        <v>272</v>
      </c>
      <c r="H15" t="s">
        <v>271</v>
      </c>
      <c r="I15" t="s">
        <v>270</v>
      </c>
      <c r="K15">
        <v>19310366</v>
      </c>
      <c r="L15">
        <v>190690279</v>
      </c>
      <c r="M15" s="237">
        <v>44988</v>
      </c>
      <c r="N15">
        <v>10</v>
      </c>
      <c r="O15">
        <v>2019</v>
      </c>
      <c r="P15" t="s">
        <v>289</v>
      </c>
      <c r="Q15">
        <v>15</v>
      </c>
      <c r="S15" t="s">
        <v>268</v>
      </c>
      <c r="T15">
        <v>0</v>
      </c>
      <c r="U15">
        <v>1</v>
      </c>
      <c r="W15" t="s">
        <v>644</v>
      </c>
      <c r="X15" t="s">
        <v>634</v>
      </c>
      <c r="Y15" t="s">
        <v>278</v>
      </c>
      <c r="Z15" t="s">
        <v>165</v>
      </c>
      <c r="AA15" t="s">
        <v>171</v>
      </c>
      <c r="AC15" t="s">
        <v>264</v>
      </c>
      <c r="AD15" t="s">
        <v>263</v>
      </c>
      <c r="AE15" t="s">
        <v>420</v>
      </c>
      <c r="AG15" t="s">
        <v>261</v>
      </c>
      <c r="AH15" t="s">
        <v>260</v>
      </c>
      <c r="AI15" t="s">
        <v>259</v>
      </c>
      <c r="AJ15" t="s">
        <v>287</v>
      </c>
      <c r="AK15" t="s">
        <v>258</v>
      </c>
      <c r="AL15" t="s">
        <v>257</v>
      </c>
      <c r="AM15">
        <v>64</v>
      </c>
      <c r="AN15" t="s">
        <v>286</v>
      </c>
      <c r="AO15" t="s">
        <v>255</v>
      </c>
      <c r="AP15" t="s">
        <v>291</v>
      </c>
      <c r="AT15" t="s">
        <v>253</v>
      </c>
      <c r="AU15" t="s">
        <v>252</v>
      </c>
      <c r="AV15">
        <v>60</v>
      </c>
      <c r="AW15" t="s">
        <v>283</v>
      </c>
      <c r="AX15" t="s">
        <v>250</v>
      </c>
      <c r="CU15">
        <v>447492.76370000001</v>
      </c>
      <c r="CV15">
        <v>5373509.8794999998</v>
      </c>
      <c r="CW15">
        <v>48.51251577</v>
      </c>
      <c r="CX15">
        <v>-93.710973719999998</v>
      </c>
      <c r="CY15" s="89">
        <v>43534.634027777778</v>
      </c>
      <c r="CZ15" t="s">
        <v>249</v>
      </c>
      <c r="DA15" t="s">
        <v>248</v>
      </c>
      <c r="DB15" t="s">
        <v>247</v>
      </c>
      <c r="DC15" t="s">
        <v>246</v>
      </c>
      <c r="DD15" t="s">
        <v>645</v>
      </c>
    </row>
    <row r="16" spans="1:108" ht="12.95" customHeight="1" x14ac:dyDescent="0.25">
      <c r="A16">
        <v>1025306</v>
      </c>
      <c r="B16" t="s">
        <v>273</v>
      </c>
      <c r="C16">
        <v>11</v>
      </c>
      <c r="D16">
        <v>180.917</v>
      </c>
      <c r="E16" t="s">
        <v>272</v>
      </c>
      <c r="H16" t="s">
        <v>271</v>
      </c>
      <c r="I16" t="s">
        <v>270</v>
      </c>
      <c r="K16" t="s">
        <v>646</v>
      </c>
      <c r="L16">
        <v>221480066</v>
      </c>
      <c r="M16" s="237">
        <v>45051</v>
      </c>
      <c r="N16">
        <v>28</v>
      </c>
      <c r="O16">
        <v>2022</v>
      </c>
      <c r="P16" t="s">
        <v>426</v>
      </c>
      <c r="Q16">
        <v>16</v>
      </c>
      <c r="S16" t="s">
        <v>268</v>
      </c>
      <c r="T16">
        <v>0</v>
      </c>
      <c r="U16">
        <v>2</v>
      </c>
      <c r="V16" t="s">
        <v>406</v>
      </c>
      <c r="W16" t="s">
        <v>296</v>
      </c>
      <c r="X16" t="s">
        <v>634</v>
      </c>
      <c r="Y16" t="s">
        <v>169</v>
      </c>
      <c r="Z16" t="s">
        <v>165</v>
      </c>
      <c r="AA16" t="s">
        <v>171</v>
      </c>
      <c r="AC16" t="s">
        <v>166</v>
      </c>
      <c r="AD16" t="s">
        <v>263</v>
      </c>
      <c r="AE16" t="s">
        <v>420</v>
      </c>
      <c r="AG16" t="s">
        <v>261</v>
      </c>
      <c r="AH16" t="s">
        <v>406</v>
      </c>
      <c r="AI16" t="s">
        <v>259</v>
      </c>
      <c r="AJ16" t="s">
        <v>287</v>
      </c>
      <c r="AK16" t="s">
        <v>275</v>
      </c>
      <c r="AL16" t="s">
        <v>257</v>
      </c>
      <c r="AM16">
        <v>68</v>
      </c>
      <c r="AN16" t="s">
        <v>286</v>
      </c>
      <c r="AO16" t="s">
        <v>255</v>
      </c>
      <c r="AP16" t="s">
        <v>467</v>
      </c>
      <c r="AT16" t="s">
        <v>253</v>
      </c>
      <c r="AU16" t="s">
        <v>170</v>
      </c>
      <c r="AV16">
        <v>60</v>
      </c>
      <c r="AW16" t="s">
        <v>283</v>
      </c>
      <c r="AX16" t="s">
        <v>250</v>
      </c>
      <c r="AY16" t="s">
        <v>259</v>
      </c>
      <c r="AZ16" t="s">
        <v>287</v>
      </c>
      <c r="BA16" t="s">
        <v>427</v>
      </c>
      <c r="BB16" t="s">
        <v>257</v>
      </c>
      <c r="BC16">
        <v>41</v>
      </c>
      <c r="BD16" t="s">
        <v>256</v>
      </c>
      <c r="BE16" t="s">
        <v>255</v>
      </c>
      <c r="BF16" t="s">
        <v>467</v>
      </c>
      <c r="BJ16" t="s">
        <v>253</v>
      </c>
      <c r="BK16" t="s">
        <v>170</v>
      </c>
      <c r="BL16">
        <v>50</v>
      </c>
      <c r="BM16" t="s">
        <v>283</v>
      </c>
      <c r="BN16" t="s">
        <v>250</v>
      </c>
      <c r="CU16">
        <v>448247.44130000001</v>
      </c>
      <c r="CV16">
        <v>5373522.6595999999</v>
      </c>
      <c r="CW16">
        <v>48.512693390000003</v>
      </c>
      <c r="CX16">
        <v>-93.700757519999996</v>
      </c>
      <c r="CY16" s="89">
        <v>44709.684027777781</v>
      </c>
      <c r="CZ16" t="s">
        <v>249</v>
      </c>
      <c r="DA16" t="s">
        <v>248</v>
      </c>
      <c r="DB16" t="s">
        <v>416</v>
      </c>
      <c r="DC16" t="s">
        <v>415</v>
      </c>
      <c r="DD16" s="18" t="s">
        <v>647</v>
      </c>
    </row>
    <row r="17" spans="1:108" ht="12.95" customHeight="1" x14ac:dyDescent="0.25">
      <c r="A17">
        <v>585148</v>
      </c>
      <c r="B17" t="s">
        <v>273</v>
      </c>
      <c r="C17">
        <v>11</v>
      </c>
      <c r="D17">
        <v>181.244</v>
      </c>
      <c r="E17" t="s">
        <v>272</v>
      </c>
      <c r="H17" t="s">
        <v>271</v>
      </c>
      <c r="I17" t="s">
        <v>270</v>
      </c>
      <c r="K17">
        <v>18310382</v>
      </c>
      <c r="L17">
        <v>180810148</v>
      </c>
      <c r="M17" s="237">
        <v>44988</v>
      </c>
      <c r="N17">
        <v>22</v>
      </c>
      <c r="O17">
        <v>2018</v>
      </c>
      <c r="P17" t="s">
        <v>281</v>
      </c>
      <c r="Q17">
        <v>8</v>
      </c>
      <c r="R17" t="s">
        <v>172</v>
      </c>
      <c r="S17" t="s">
        <v>184</v>
      </c>
      <c r="T17">
        <v>0</v>
      </c>
      <c r="U17">
        <v>1</v>
      </c>
      <c r="W17" t="s">
        <v>279</v>
      </c>
      <c r="X17" t="s">
        <v>634</v>
      </c>
      <c r="Y17" t="s">
        <v>278</v>
      </c>
      <c r="Z17" t="s">
        <v>165</v>
      </c>
      <c r="AA17" t="s">
        <v>179</v>
      </c>
      <c r="AC17" t="s">
        <v>166</v>
      </c>
      <c r="AD17" t="s">
        <v>263</v>
      </c>
      <c r="AE17" t="s">
        <v>420</v>
      </c>
      <c r="AG17" t="s">
        <v>261</v>
      </c>
      <c r="AH17" t="s">
        <v>260</v>
      </c>
      <c r="AI17" t="s">
        <v>259</v>
      </c>
      <c r="AJ17" t="s">
        <v>167</v>
      </c>
      <c r="AK17" t="s">
        <v>275</v>
      </c>
      <c r="AL17" t="s">
        <v>257</v>
      </c>
      <c r="AM17">
        <v>17</v>
      </c>
      <c r="AN17" t="s">
        <v>256</v>
      </c>
      <c r="AO17" t="s">
        <v>255</v>
      </c>
      <c r="AP17" t="s">
        <v>490</v>
      </c>
      <c r="AQ17" t="s">
        <v>438</v>
      </c>
      <c r="AT17" t="s">
        <v>253</v>
      </c>
      <c r="AU17" t="s">
        <v>252</v>
      </c>
      <c r="AV17">
        <v>60</v>
      </c>
      <c r="AW17" t="s">
        <v>283</v>
      </c>
      <c r="AX17" t="s">
        <v>250</v>
      </c>
      <c r="CU17">
        <v>448771.77389999997</v>
      </c>
      <c r="CV17">
        <v>5373567.2402999997</v>
      </c>
      <c r="CW17">
        <v>48.51313743</v>
      </c>
      <c r="CX17">
        <v>-93.693663880000003</v>
      </c>
      <c r="CY17" s="89">
        <v>43181.34375</v>
      </c>
      <c r="CZ17" t="s">
        <v>249</v>
      </c>
      <c r="DA17" t="s">
        <v>248</v>
      </c>
      <c r="DB17" t="s">
        <v>247</v>
      </c>
      <c r="DC17" t="s">
        <v>246</v>
      </c>
      <c r="DD17" t="s">
        <v>648</v>
      </c>
    </row>
    <row r="18" spans="1:108" ht="12.95" customHeight="1" x14ac:dyDescent="0.25">
      <c r="A18">
        <v>1026580</v>
      </c>
      <c r="B18" t="s">
        <v>273</v>
      </c>
      <c r="C18">
        <v>11</v>
      </c>
      <c r="D18">
        <v>184.71899999999999</v>
      </c>
      <c r="E18" t="s">
        <v>272</v>
      </c>
      <c r="G18" t="s">
        <v>434</v>
      </c>
      <c r="I18" t="s">
        <v>270</v>
      </c>
      <c r="K18">
        <v>22310697</v>
      </c>
      <c r="L18">
        <v>221430205</v>
      </c>
      <c r="M18" s="237">
        <v>45051</v>
      </c>
      <c r="N18">
        <v>23</v>
      </c>
      <c r="O18">
        <v>2022</v>
      </c>
      <c r="P18" t="s">
        <v>424</v>
      </c>
      <c r="Q18">
        <v>18</v>
      </c>
      <c r="R18" t="s">
        <v>168</v>
      </c>
      <c r="S18" t="s">
        <v>280</v>
      </c>
      <c r="T18">
        <v>0</v>
      </c>
      <c r="U18">
        <v>1</v>
      </c>
      <c r="W18" t="s">
        <v>279</v>
      </c>
      <c r="X18" t="s">
        <v>634</v>
      </c>
      <c r="Y18" t="s">
        <v>278</v>
      </c>
      <c r="Z18" t="s">
        <v>165</v>
      </c>
      <c r="AA18" t="s">
        <v>171</v>
      </c>
      <c r="AC18" t="s">
        <v>166</v>
      </c>
      <c r="AD18" t="s">
        <v>263</v>
      </c>
      <c r="AE18" t="s">
        <v>420</v>
      </c>
      <c r="AG18" t="s">
        <v>261</v>
      </c>
      <c r="AH18" t="s">
        <v>260</v>
      </c>
      <c r="AI18" t="s">
        <v>259</v>
      </c>
      <c r="AJ18" t="s">
        <v>276</v>
      </c>
      <c r="AK18" t="s">
        <v>275</v>
      </c>
      <c r="AL18" t="s">
        <v>257</v>
      </c>
      <c r="AM18">
        <v>58</v>
      </c>
      <c r="AN18" t="s">
        <v>286</v>
      </c>
      <c r="AO18" t="s">
        <v>255</v>
      </c>
      <c r="AP18" t="s">
        <v>285</v>
      </c>
      <c r="AQ18" t="s">
        <v>438</v>
      </c>
      <c r="AT18" t="s">
        <v>253</v>
      </c>
      <c r="AU18" t="s">
        <v>252</v>
      </c>
      <c r="AV18">
        <v>60</v>
      </c>
      <c r="AW18" t="s">
        <v>283</v>
      </c>
      <c r="AX18" t="s">
        <v>250</v>
      </c>
      <c r="CU18">
        <v>454309.55041909998</v>
      </c>
      <c r="CV18">
        <v>5374164.6854627002</v>
      </c>
      <c r="CW18">
        <v>48.518930900000001</v>
      </c>
      <c r="CX18">
        <v>-93.618741499999999</v>
      </c>
      <c r="CY18" s="89">
        <v>44704.755555555559</v>
      </c>
      <c r="CZ18" t="s">
        <v>249</v>
      </c>
      <c r="DA18" t="s">
        <v>248</v>
      </c>
      <c r="DB18" t="s">
        <v>247</v>
      </c>
      <c r="DC18" t="s">
        <v>246</v>
      </c>
      <c r="DD18" t="s">
        <v>649</v>
      </c>
    </row>
    <row r="19" spans="1:108" ht="12.95" customHeight="1" x14ac:dyDescent="0.25">
      <c r="A19">
        <v>741144</v>
      </c>
      <c r="B19" t="s">
        <v>273</v>
      </c>
      <c r="C19">
        <v>11</v>
      </c>
      <c r="D19">
        <v>184.96600000000001</v>
      </c>
      <c r="E19" t="s">
        <v>272</v>
      </c>
      <c r="H19" t="s">
        <v>271</v>
      </c>
      <c r="I19" t="s">
        <v>270</v>
      </c>
      <c r="K19">
        <v>19310937</v>
      </c>
      <c r="L19">
        <v>192230161</v>
      </c>
      <c r="M19" s="237">
        <v>45146</v>
      </c>
      <c r="N19">
        <v>11</v>
      </c>
      <c r="O19">
        <v>2019</v>
      </c>
      <c r="P19" t="s">
        <v>289</v>
      </c>
      <c r="Q19">
        <v>17</v>
      </c>
      <c r="R19" t="s">
        <v>168</v>
      </c>
      <c r="S19" t="s">
        <v>184</v>
      </c>
      <c r="T19">
        <v>0</v>
      </c>
      <c r="U19">
        <v>2</v>
      </c>
      <c r="V19" t="s">
        <v>406</v>
      </c>
      <c r="W19" t="s">
        <v>296</v>
      </c>
      <c r="X19" t="s">
        <v>634</v>
      </c>
      <c r="Y19" t="s">
        <v>409</v>
      </c>
      <c r="Z19" t="s">
        <v>165</v>
      </c>
      <c r="AA19" t="s">
        <v>171</v>
      </c>
      <c r="AC19" t="s">
        <v>166</v>
      </c>
      <c r="AD19" t="s">
        <v>263</v>
      </c>
      <c r="AE19" t="s">
        <v>420</v>
      </c>
      <c r="AG19" t="s">
        <v>261</v>
      </c>
      <c r="AH19" t="s">
        <v>406</v>
      </c>
      <c r="AI19" t="s">
        <v>259</v>
      </c>
      <c r="AJ19" t="s">
        <v>650</v>
      </c>
      <c r="AK19" t="s">
        <v>427</v>
      </c>
      <c r="AL19" t="s">
        <v>257</v>
      </c>
      <c r="AM19">
        <v>16</v>
      </c>
      <c r="AN19" t="s">
        <v>286</v>
      </c>
      <c r="AO19" t="s">
        <v>255</v>
      </c>
      <c r="AP19" t="s">
        <v>467</v>
      </c>
      <c r="AT19" t="s">
        <v>253</v>
      </c>
      <c r="AU19" t="s">
        <v>170</v>
      </c>
      <c r="AV19">
        <v>55</v>
      </c>
      <c r="AW19" t="s">
        <v>283</v>
      </c>
      <c r="AX19" t="s">
        <v>250</v>
      </c>
      <c r="AY19" t="s">
        <v>259</v>
      </c>
      <c r="AZ19" t="s">
        <v>276</v>
      </c>
      <c r="BA19" t="s">
        <v>258</v>
      </c>
      <c r="BB19" t="s">
        <v>257</v>
      </c>
      <c r="BC19">
        <v>64</v>
      </c>
      <c r="BD19" t="s">
        <v>286</v>
      </c>
      <c r="BE19" t="s">
        <v>255</v>
      </c>
      <c r="BF19" t="s">
        <v>291</v>
      </c>
      <c r="BJ19" t="s">
        <v>253</v>
      </c>
      <c r="BK19" t="s">
        <v>252</v>
      </c>
      <c r="BL19">
        <v>60</v>
      </c>
      <c r="BM19" t="s">
        <v>283</v>
      </c>
      <c r="BN19" t="s">
        <v>250</v>
      </c>
      <c r="CU19">
        <v>454707.64939999999</v>
      </c>
      <c r="CV19">
        <v>5374145.9698999999</v>
      </c>
      <c r="CW19">
        <v>48.51879984</v>
      </c>
      <c r="CX19">
        <v>-93.613357120000003</v>
      </c>
      <c r="CY19" s="89">
        <v>43688.744444444441</v>
      </c>
      <c r="CZ19" t="s">
        <v>249</v>
      </c>
      <c r="DA19" t="s">
        <v>248</v>
      </c>
      <c r="DB19" t="s">
        <v>247</v>
      </c>
      <c r="DC19" t="s">
        <v>246</v>
      </c>
      <c r="DD19" t="s">
        <v>651</v>
      </c>
    </row>
    <row r="20" spans="1:108" ht="12.95" customHeight="1" x14ac:dyDescent="0.25">
      <c r="A20">
        <v>1059338</v>
      </c>
      <c r="B20" t="s">
        <v>273</v>
      </c>
      <c r="C20">
        <v>11</v>
      </c>
      <c r="D20">
        <v>186.22200000000001</v>
      </c>
      <c r="E20" t="s">
        <v>272</v>
      </c>
      <c r="H20" t="s">
        <v>271</v>
      </c>
      <c r="I20" t="s">
        <v>270</v>
      </c>
      <c r="K20">
        <v>22311268</v>
      </c>
      <c r="L20">
        <v>223100158</v>
      </c>
      <c r="M20" s="237">
        <v>45241</v>
      </c>
      <c r="N20">
        <v>6</v>
      </c>
      <c r="O20">
        <v>2022</v>
      </c>
      <c r="P20" t="s">
        <v>289</v>
      </c>
      <c r="Q20">
        <v>20</v>
      </c>
      <c r="S20" t="s">
        <v>268</v>
      </c>
      <c r="T20">
        <v>0</v>
      </c>
      <c r="U20">
        <v>1</v>
      </c>
      <c r="W20" t="s">
        <v>644</v>
      </c>
      <c r="X20" t="s">
        <v>634</v>
      </c>
      <c r="Y20" t="s">
        <v>278</v>
      </c>
      <c r="Z20" t="s">
        <v>277</v>
      </c>
      <c r="AA20" t="s">
        <v>179</v>
      </c>
      <c r="AC20" t="s">
        <v>264</v>
      </c>
      <c r="AD20" t="s">
        <v>263</v>
      </c>
      <c r="AE20" t="s">
        <v>420</v>
      </c>
      <c r="AG20" t="s">
        <v>261</v>
      </c>
      <c r="AH20" t="s">
        <v>260</v>
      </c>
      <c r="AI20" t="s">
        <v>259</v>
      </c>
      <c r="AJ20" t="s">
        <v>650</v>
      </c>
      <c r="AK20" t="s">
        <v>258</v>
      </c>
      <c r="AL20" t="s">
        <v>257</v>
      </c>
      <c r="AM20">
        <v>31</v>
      </c>
      <c r="AN20" t="s">
        <v>286</v>
      </c>
      <c r="AO20" t="s">
        <v>255</v>
      </c>
      <c r="AP20" t="s">
        <v>274</v>
      </c>
      <c r="AQ20" t="s">
        <v>285</v>
      </c>
      <c r="AT20" t="s">
        <v>253</v>
      </c>
      <c r="AU20" t="s">
        <v>252</v>
      </c>
      <c r="AV20">
        <v>60</v>
      </c>
      <c r="AW20" t="s">
        <v>283</v>
      </c>
      <c r="AX20" t="s">
        <v>250</v>
      </c>
      <c r="CU20">
        <v>456693.84269999998</v>
      </c>
      <c r="CV20">
        <v>5374404.9478000002</v>
      </c>
      <c r="CW20">
        <v>48.521269740000001</v>
      </c>
      <c r="CX20">
        <v>-93.586488500000002</v>
      </c>
      <c r="CY20" s="89">
        <v>44871.848611111112</v>
      </c>
      <c r="CZ20" t="s">
        <v>249</v>
      </c>
      <c r="DA20" t="s">
        <v>248</v>
      </c>
      <c r="DB20" t="s">
        <v>247</v>
      </c>
      <c r="DC20" t="s">
        <v>246</v>
      </c>
      <c r="DD20" t="s">
        <v>652</v>
      </c>
    </row>
    <row r="21" spans="1:108" ht="12.95" customHeight="1" x14ac:dyDescent="0.25">
      <c r="A21">
        <v>783816</v>
      </c>
      <c r="B21" t="s">
        <v>410</v>
      </c>
      <c r="C21">
        <v>82</v>
      </c>
      <c r="D21">
        <v>2.9430000000000001</v>
      </c>
      <c r="E21" t="s">
        <v>272</v>
      </c>
      <c r="H21" t="s">
        <v>271</v>
      </c>
      <c r="I21" t="s">
        <v>270</v>
      </c>
      <c r="K21">
        <v>20310095</v>
      </c>
      <c r="L21">
        <v>200160364</v>
      </c>
      <c r="M21" s="237">
        <v>44927</v>
      </c>
      <c r="N21">
        <v>16</v>
      </c>
      <c r="O21">
        <v>2020</v>
      </c>
      <c r="P21" t="s">
        <v>281</v>
      </c>
      <c r="Q21">
        <v>10</v>
      </c>
      <c r="R21" t="s">
        <v>168</v>
      </c>
      <c r="S21" t="s">
        <v>268</v>
      </c>
      <c r="T21">
        <v>0</v>
      </c>
      <c r="U21">
        <v>2</v>
      </c>
      <c r="V21" t="s">
        <v>406</v>
      </c>
      <c r="W21" t="s">
        <v>296</v>
      </c>
      <c r="X21" t="s">
        <v>634</v>
      </c>
      <c r="Y21" t="s">
        <v>409</v>
      </c>
      <c r="Z21" t="s">
        <v>165</v>
      </c>
      <c r="AA21" t="s">
        <v>171</v>
      </c>
      <c r="AC21" t="s">
        <v>183</v>
      </c>
      <c r="AD21" t="s">
        <v>263</v>
      </c>
      <c r="AE21" t="s">
        <v>408</v>
      </c>
      <c r="AG21" t="s">
        <v>407</v>
      </c>
      <c r="AH21" t="s">
        <v>406</v>
      </c>
      <c r="AI21" t="s">
        <v>259</v>
      </c>
      <c r="AJ21" t="s">
        <v>287</v>
      </c>
      <c r="AK21" t="s">
        <v>275</v>
      </c>
      <c r="AL21" t="s">
        <v>174</v>
      </c>
      <c r="AM21">
        <v>65</v>
      </c>
      <c r="AN21" t="s">
        <v>286</v>
      </c>
      <c r="AO21" t="s">
        <v>255</v>
      </c>
      <c r="AP21" t="s">
        <v>254</v>
      </c>
      <c r="AT21" t="s">
        <v>253</v>
      </c>
      <c r="AU21" t="s">
        <v>170</v>
      </c>
      <c r="AV21">
        <v>55</v>
      </c>
      <c r="AW21" t="s">
        <v>283</v>
      </c>
      <c r="AX21" t="s">
        <v>250</v>
      </c>
      <c r="AY21" t="s">
        <v>259</v>
      </c>
      <c r="AZ21" t="s">
        <v>287</v>
      </c>
      <c r="BA21" t="s">
        <v>275</v>
      </c>
      <c r="BB21" t="s">
        <v>257</v>
      </c>
      <c r="BC21">
        <v>50</v>
      </c>
      <c r="BD21" t="s">
        <v>286</v>
      </c>
      <c r="BE21" t="s">
        <v>255</v>
      </c>
      <c r="BF21" t="s">
        <v>291</v>
      </c>
      <c r="BJ21" t="s">
        <v>253</v>
      </c>
      <c r="BK21" t="s">
        <v>252</v>
      </c>
      <c r="BL21">
        <v>60</v>
      </c>
      <c r="BM21" t="s">
        <v>283</v>
      </c>
      <c r="BN21" t="s">
        <v>250</v>
      </c>
      <c r="CU21">
        <v>439435.74440000003</v>
      </c>
      <c r="CV21">
        <v>5375218.7369999997</v>
      </c>
      <c r="CW21">
        <v>48.527162279999999</v>
      </c>
      <c r="CX21">
        <v>-93.820305750000003</v>
      </c>
      <c r="CY21" s="89">
        <v>43846.429861111108</v>
      </c>
      <c r="CZ21" t="s">
        <v>249</v>
      </c>
      <c r="DA21" t="s">
        <v>248</v>
      </c>
      <c r="DB21" t="s">
        <v>247</v>
      </c>
      <c r="DC21" t="s">
        <v>246</v>
      </c>
      <c r="DD21" s="18" t="s">
        <v>405</v>
      </c>
    </row>
    <row r="22" spans="1:108" ht="12.95" customHeight="1" x14ac:dyDescent="0.25">
      <c r="A22">
        <v>684684</v>
      </c>
      <c r="B22" t="s">
        <v>653</v>
      </c>
      <c r="C22">
        <v>397</v>
      </c>
      <c r="D22">
        <v>7.0000000000000001E-3</v>
      </c>
      <c r="E22" t="s">
        <v>272</v>
      </c>
      <c r="H22" t="s">
        <v>271</v>
      </c>
      <c r="I22" t="s">
        <v>270</v>
      </c>
      <c r="K22" t="s">
        <v>654</v>
      </c>
      <c r="L22">
        <v>190380238</v>
      </c>
      <c r="M22" s="237">
        <v>44959</v>
      </c>
      <c r="N22">
        <v>7</v>
      </c>
      <c r="O22">
        <v>2019</v>
      </c>
      <c r="P22" t="s">
        <v>281</v>
      </c>
      <c r="Q22">
        <v>10</v>
      </c>
      <c r="S22" t="s">
        <v>268</v>
      </c>
      <c r="T22">
        <v>0</v>
      </c>
      <c r="U22">
        <v>2</v>
      </c>
      <c r="V22" t="s">
        <v>181</v>
      </c>
      <c r="W22" t="s">
        <v>296</v>
      </c>
      <c r="X22" t="s">
        <v>634</v>
      </c>
      <c r="Y22" t="s">
        <v>566</v>
      </c>
      <c r="Z22" t="s">
        <v>165</v>
      </c>
      <c r="AA22" t="s">
        <v>183</v>
      </c>
      <c r="AC22" t="s">
        <v>183</v>
      </c>
      <c r="AD22" t="s">
        <v>263</v>
      </c>
      <c r="AE22">
        <v>397</v>
      </c>
      <c r="AG22" t="s">
        <v>655</v>
      </c>
      <c r="AH22" t="s">
        <v>181</v>
      </c>
      <c r="AI22" t="s">
        <v>259</v>
      </c>
      <c r="AJ22" t="s">
        <v>287</v>
      </c>
      <c r="AK22" t="s">
        <v>275</v>
      </c>
      <c r="AL22" t="s">
        <v>257</v>
      </c>
      <c r="AM22">
        <v>17</v>
      </c>
      <c r="AN22" t="s">
        <v>286</v>
      </c>
      <c r="AO22" t="s">
        <v>255</v>
      </c>
      <c r="AP22" t="s">
        <v>291</v>
      </c>
      <c r="AT22" t="s">
        <v>253</v>
      </c>
      <c r="AU22" t="s">
        <v>252</v>
      </c>
      <c r="AV22">
        <v>30</v>
      </c>
      <c r="AW22" t="s">
        <v>251</v>
      </c>
      <c r="AX22" t="s">
        <v>250</v>
      </c>
      <c r="AY22" t="s">
        <v>259</v>
      </c>
      <c r="AZ22" t="s">
        <v>431</v>
      </c>
      <c r="BA22" t="s">
        <v>427</v>
      </c>
      <c r="BB22" t="s">
        <v>656</v>
      </c>
      <c r="BC22">
        <v>45</v>
      </c>
      <c r="BD22" t="s">
        <v>286</v>
      </c>
      <c r="BE22" t="s">
        <v>255</v>
      </c>
      <c r="BF22" t="s">
        <v>254</v>
      </c>
      <c r="BJ22" t="s">
        <v>253</v>
      </c>
      <c r="BK22" t="s">
        <v>252</v>
      </c>
      <c r="BL22">
        <v>30</v>
      </c>
      <c r="BM22" t="s">
        <v>283</v>
      </c>
      <c r="BN22" t="s">
        <v>250</v>
      </c>
      <c r="CU22">
        <v>456913.21019999997</v>
      </c>
      <c r="CV22">
        <v>5374577.3146000002</v>
      </c>
      <c r="CW22">
        <v>48.522835430000001</v>
      </c>
      <c r="CX22">
        <v>-93.583535650000002</v>
      </c>
      <c r="CY22" s="89">
        <v>43503.44027777778</v>
      </c>
      <c r="CZ22" t="s">
        <v>249</v>
      </c>
      <c r="DA22" t="s">
        <v>248</v>
      </c>
      <c r="DB22" t="s">
        <v>416</v>
      </c>
      <c r="DC22" t="s">
        <v>415</v>
      </c>
      <c r="DD22" t="s">
        <v>657</v>
      </c>
    </row>
    <row r="24" spans="1:108" ht="12.95" customHeight="1" x14ac:dyDescent="0.25">
      <c r="A24" s="238" t="s">
        <v>389</v>
      </c>
      <c r="B24" t="s">
        <v>442</v>
      </c>
    </row>
    <row r="26" spans="1:108" ht="12.95" customHeight="1" x14ac:dyDescent="0.25">
      <c r="A26" s="238" t="s">
        <v>440</v>
      </c>
      <c r="B26" t="s">
        <v>443</v>
      </c>
    </row>
    <row r="27" spans="1:108" ht="12.95" customHeight="1" x14ac:dyDescent="0.25">
      <c r="A27" s="15" t="s">
        <v>185</v>
      </c>
      <c r="B27">
        <v>1</v>
      </c>
    </row>
    <row r="28" spans="1:108" ht="12.95" customHeight="1" x14ac:dyDescent="0.25">
      <c r="A28" s="15" t="s">
        <v>288</v>
      </c>
      <c r="B28">
        <v>2</v>
      </c>
    </row>
    <row r="29" spans="1:108" ht="12.95" customHeight="1" x14ac:dyDescent="0.25">
      <c r="A29" s="15" t="s">
        <v>280</v>
      </c>
      <c r="B29">
        <v>1</v>
      </c>
    </row>
    <row r="30" spans="1:108" ht="12.95" customHeight="1" x14ac:dyDescent="0.25">
      <c r="A30" s="15" t="s">
        <v>184</v>
      </c>
      <c r="B30">
        <v>3</v>
      </c>
    </row>
    <row r="31" spans="1:108" ht="12.95" customHeight="1" x14ac:dyDescent="0.25">
      <c r="A31" s="15" t="s">
        <v>268</v>
      </c>
      <c r="B31">
        <v>14</v>
      </c>
    </row>
    <row r="32" spans="1:108" ht="12.95" customHeight="1" x14ac:dyDescent="0.25">
      <c r="A32" s="15" t="s">
        <v>441</v>
      </c>
      <c r="B32">
        <v>21</v>
      </c>
    </row>
    <row r="34" spans="1:2" ht="12.95" customHeight="1" x14ac:dyDescent="0.25">
      <c r="A34" s="1" t="s">
        <v>658</v>
      </c>
    </row>
    <row r="35" spans="1:2" ht="12.95" customHeight="1" x14ac:dyDescent="0.25">
      <c r="A35" s="24" t="s">
        <v>17</v>
      </c>
      <c r="B35" s="24">
        <v>1</v>
      </c>
    </row>
    <row r="36" spans="1:2" ht="12.95" customHeight="1" x14ac:dyDescent="0.25">
      <c r="A36" s="24" t="s">
        <v>18</v>
      </c>
      <c r="B36" s="24">
        <v>2</v>
      </c>
    </row>
    <row r="37" spans="1:2" ht="12.95" customHeight="1" x14ac:dyDescent="0.25">
      <c r="A37" s="24" t="s">
        <v>19</v>
      </c>
      <c r="B37" s="24">
        <v>1</v>
      </c>
    </row>
    <row r="38" spans="1:2" ht="12.95" customHeight="1" x14ac:dyDescent="0.25">
      <c r="A38" s="24" t="s">
        <v>20</v>
      </c>
      <c r="B38" s="24">
        <v>3</v>
      </c>
    </row>
    <row r="39" spans="1:2" ht="12.95" customHeight="1" x14ac:dyDescent="0.25">
      <c r="A39" s="24" t="s">
        <v>73</v>
      </c>
      <c r="B39" s="24">
        <v>14</v>
      </c>
    </row>
  </sheetData>
  <autoFilter ref="O1:O39" xr:uid="{BD739439-936D-438A-85C4-D2A21E3668E9}"/>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652C0-21B7-47D1-A47C-8593551B6954}">
  <sheetPr codeName="Sheet1">
    <tabColor rgb="FF0070C0"/>
    <pageSetUpPr fitToPage="1"/>
  </sheetPr>
  <dimension ref="B2:R129"/>
  <sheetViews>
    <sheetView view="pageBreakPreview" topLeftCell="A18" zoomScale="70" zoomScaleNormal="40" zoomScaleSheetLayoutView="70" workbookViewId="0">
      <selection activeCell="D78" sqref="D78"/>
    </sheetView>
  </sheetViews>
  <sheetFormatPr defaultRowHeight="15" outlineLevelRow="1" x14ac:dyDescent="0.25"/>
  <cols>
    <col min="3" max="3" width="15.7109375" customWidth="1"/>
    <col min="4" max="15" width="17.140625" customWidth="1"/>
    <col min="16" max="19" width="15.7109375" customWidth="1"/>
  </cols>
  <sheetData>
    <row r="2" spans="3:18" ht="23.25" x14ac:dyDescent="0.35">
      <c r="C2" s="9" t="s">
        <v>573</v>
      </c>
      <c r="R2" s="3"/>
    </row>
    <row r="3" spans="3:18" x14ac:dyDescent="0.25">
      <c r="M3" s="10"/>
      <c r="N3" s="10"/>
      <c r="O3" s="3"/>
    </row>
    <row r="4" spans="3:18" ht="15.75" thickBot="1" x14ac:dyDescent="0.3">
      <c r="C4" s="82" t="s">
        <v>6</v>
      </c>
      <c r="G4" s="10"/>
    </row>
    <row r="5" spans="3:18" ht="16.5" customHeight="1" thickBot="1" x14ac:dyDescent="0.3">
      <c r="C5" s="82"/>
      <c r="D5" s="696" t="s">
        <v>8</v>
      </c>
      <c r="E5" s="697"/>
      <c r="F5" s="697"/>
      <c r="G5" s="693" t="s">
        <v>29</v>
      </c>
      <c r="H5" s="694"/>
      <c r="I5" s="695"/>
      <c r="J5" s="693" t="s">
        <v>9</v>
      </c>
      <c r="K5" s="695"/>
      <c r="L5" s="691" t="s">
        <v>70</v>
      </c>
      <c r="M5" s="692"/>
      <c r="N5" s="700" t="s">
        <v>2</v>
      </c>
      <c r="O5" s="701"/>
    </row>
    <row r="6" spans="3:18" ht="35.1" customHeight="1" x14ac:dyDescent="0.25">
      <c r="C6" s="673" t="s">
        <v>0</v>
      </c>
      <c r="D6" s="681" t="s">
        <v>27</v>
      </c>
      <c r="E6" s="698" t="s">
        <v>190</v>
      </c>
      <c r="F6" s="677" t="s">
        <v>67</v>
      </c>
      <c r="G6" s="679" t="s">
        <v>209</v>
      </c>
      <c r="H6" s="685" t="s">
        <v>210</v>
      </c>
      <c r="I6" s="683" t="s">
        <v>211</v>
      </c>
      <c r="J6" s="679" t="s">
        <v>129</v>
      </c>
      <c r="K6" s="687" t="s">
        <v>191</v>
      </c>
      <c r="L6" s="681" t="s">
        <v>42</v>
      </c>
      <c r="M6" s="677" t="s">
        <v>44</v>
      </c>
      <c r="N6" s="689" t="s">
        <v>148</v>
      </c>
      <c r="O6" s="675" t="s">
        <v>43</v>
      </c>
    </row>
    <row r="7" spans="3:18" ht="35.1" customHeight="1" thickBot="1" x14ac:dyDescent="0.3">
      <c r="C7" s="674"/>
      <c r="D7" s="682"/>
      <c r="E7" s="699"/>
      <c r="F7" s="678"/>
      <c r="G7" s="680"/>
      <c r="H7" s="686"/>
      <c r="I7" s="684"/>
      <c r="J7" s="680"/>
      <c r="K7" s="688"/>
      <c r="L7" s="682"/>
      <c r="M7" s="678"/>
      <c r="N7" s="690"/>
      <c r="O7" s="676"/>
      <c r="R7" s="1"/>
    </row>
    <row r="8" spans="3:18" ht="15" customHeight="1" x14ac:dyDescent="0.25">
      <c r="C8" s="166">
        <f>Assumptions!D10</f>
        <v>2023</v>
      </c>
      <c r="D8" s="213">
        <f>IFERROR(_xlfn.XLOOKUP($C8,'Travel Time Savings'!$B$6:$B$41,'Travel Time Savings'!$G$6:$G$41,0,0,1),0)</f>
        <v>0</v>
      </c>
      <c r="E8" s="234">
        <f>IFERROR(_xlfn.XLOOKUP($C8,'Construction Travel Time Impact'!$B$6:$B$41,'Construction Travel Time Impact'!$G$6:$G$41,0,0,1),0)</f>
        <v>0</v>
      </c>
      <c r="F8" s="234">
        <f>IFERROR(_xlfn.XLOOKUP($C8,'VOC Savings'!$B$6:$B$41,'VOC Savings'!$G$6:$G$41,0,0,1),0)</f>
        <v>0</v>
      </c>
      <c r="G8" s="138">
        <f>IFERROR(_xlfn.XLOOKUP($C8,'Air Quality'!$B$6:$B$40,'Air Quality'!$D$6:$D$40,0,0,1),0)</f>
        <v>0</v>
      </c>
      <c r="H8" s="167">
        <f>IFERROR(_xlfn.XLOOKUP($C8,'Air Quality'!$B$6:$B$40,'Air Quality'!$L$6:$L$40,0,0,1),0)</f>
        <v>0</v>
      </c>
      <c r="I8" s="168">
        <f>IFERROR(_xlfn.XLOOKUP($C8,'Air Quality'!$B$6:$B$40,'Air Quality'!$E$6:$E$40,0,0,1),0)</f>
        <v>0</v>
      </c>
      <c r="J8" s="138">
        <f>IFERROR(_xlfn.XLOOKUP($C8,'Safety Improvements'!B$6:B$35,'Safety Improvements'!E$6:E$35,0,0,1),0)</f>
        <v>0</v>
      </c>
      <c r="K8" s="137">
        <f>IFERROR(_xlfn.XLOOKUP($C8,'Network Crash Savings'!$B$6:$B$35,'Network Crash Savings'!$E$6:$E$35,0,0,1),0)</f>
        <v>0</v>
      </c>
      <c r="L8" s="213">
        <f>IFERROR(_xlfn.XLOOKUP($C8,'O&amp;M + Rehab'!$B$5:$B$40,'O&amp;M + Rehab'!$E$5:$E$40,0,0,1),0)</f>
        <v>0</v>
      </c>
      <c r="M8" s="214">
        <f>IFERROR(_xlfn.XLOOKUP($C8,'Capital Cost + RCV'!$B$6:$B$41,'Capital Cost + RCV'!$E$6:$E$41,0,0,1),0)</f>
        <v>0</v>
      </c>
      <c r="N8" s="169">
        <f t="shared" ref="N8:N39" si="0">IFERROR(SUM(D8:H8,J8:M8),0)</f>
        <v>0</v>
      </c>
      <c r="O8" s="170">
        <f>IFERROR(SUM(D8,E8,H8,J8:M8,F8)*(1+0.07)^-($C8-Assumptions!$D$11)+I8,0)</f>
        <v>0</v>
      </c>
    </row>
    <row r="9" spans="3:18" ht="15" customHeight="1" x14ac:dyDescent="0.25">
      <c r="C9" s="171">
        <f>C8+1</f>
        <v>2024</v>
      </c>
      <c r="D9" s="125">
        <f>IFERROR(_xlfn.XLOOKUP($C9,'Travel Time Savings'!$B$6:$B$41,'Travel Time Savings'!$G$6:$G$41,0,0,1),0)</f>
        <v>0</v>
      </c>
      <c r="E9" s="172">
        <f>IFERROR(_xlfn.XLOOKUP($C9,'Construction Travel Time Impact'!$B$6:$B$41,'Construction Travel Time Impact'!$G$6:$G$41,0,0,1),0)</f>
        <v>0</v>
      </c>
      <c r="F9" s="172">
        <f>IFERROR(_xlfn.XLOOKUP($C9,'VOC Savings'!$B$6:$B$41,'VOC Savings'!$G$6:$G$41,0,0,1),0)</f>
        <v>0</v>
      </c>
      <c r="G9" s="125">
        <f>IFERROR(_xlfn.XLOOKUP($C9,'Air Quality'!$B$6:$B$40,'Air Quality'!$D$6:$D$40,0,0,1),0)</f>
        <v>0</v>
      </c>
      <c r="H9" s="172">
        <f>IFERROR(_xlfn.XLOOKUP($C9,'Air Quality'!$B$6:$B$40,'Air Quality'!$L$6:$L$40,0,0,1),0)</f>
        <v>0</v>
      </c>
      <c r="I9" s="173">
        <f>IFERROR(_xlfn.XLOOKUP($C9,'Air Quality'!$B$6:$B$40,'Air Quality'!$E$6:$E$40,0,0,1),0)</f>
        <v>0</v>
      </c>
      <c r="J9" s="125">
        <f>IFERROR(_xlfn.XLOOKUP($C9,'Safety Improvements'!B$6:B$35,'Safety Improvements'!E$6:E$35,0,0,1),0)</f>
        <v>0</v>
      </c>
      <c r="K9" s="124">
        <f>IFERROR(_xlfn.XLOOKUP($C9,'Network Crash Savings'!$B$6:$B$35,'Network Crash Savings'!$E$6:$E$35,0,0,1),0)</f>
        <v>0</v>
      </c>
      <c r="L9" s="125">
        <f>IFERROR(_xlfn.XLOOKUP($C9,'O&amp;M + Rehab'!$B$5:$B$40,'O&amp;M + Rehab'!$E$5:$E$40,0,0,1),0)</f>
        <v>0</v>
      </c>
      <c r="M9" s="124">
        <f>IFERROR(_xlfn.XLOOKUP($C9,'Capital Cost + RCV'!$B$6:$B$41,'Capital Cost + RCV'!$E$6:$E$41,0,0,1),0)</f>
        <v>0</v>
      </c>
      <c r="N9" s="174">
        <f t="shared" si="0"/>
        <v>0</v>
      </c>
      <c r="O9" s="175">
        <f>IFERROR(SUM(D9,E9,H9,J9:M9,F9)*(1+0.07)^-($C9-Assumptions!$D$11)+I9,0)</f>
        <v>0</v>
      </c>
    </row>
    <row r="10" spans="3:18" ht="15" customHeight="1" x14ac:dyDescent="0.25">
      <c r="C10" s="171">
        <f>C9+1</f>
        <v>2025</v>
      </c>
      <c r="D10" s="125">
        <f>IFERROR(_xlfn.XLOOKUP($C10,'Travel Time Savings'!$B$6:$B$41,'Travel Time Savings'!$G$6:$G$41,0,0,1),0)</f>
        <v>0</v>
      </c>
      <c r="E10" s="172">
        <f>IFERROR(_xlfn.XLOOKUP($C10,'Construction Travel Time Impact'!$B$6:$B$41,'Construction Travel Time Impact'!$G$6:$G$41,0,0,1),0)</f>
        <v>-99509.964303437577</v>
      </c>
      <c r="F10" s="172">
        <f>IFERROR(_xlfn.XLOOKUP($C10,'VOC Savings'!$B$6:$B$41,'VOC Savings'!$G$6:$G$41,0,0,1),0)</f>
        <v>0</v>
      </c>
      <c r="G10" s="125">
        <f>IFERROR(_xlfn.XLOOKUP($C10,'Air Quality'!$B$6:$B$40,'Air Quality'!$D$6:$D$40,0,0,1),0)</f>
        <v>0</v>
      </c>
      <c r="H10" s="172">
        <f>IFERROR(_xlfn.XLOOKUP($C10,'Air Quality'!$B$6:$B$40,'Air Quality'!$L$6:$L$40,0,0,1),0)</f>
        <v>0</v>
      </c>
      <c r="I10" s="173">
        <f>IFERROR(_xlfn.XLOOKUP($C10,'Air Quality'!$B$6:$B$40,'Air Quality'!$E$6:$E$40,0,0,1),0)</f>
        <v>0</v>
      </c>
      <c r="J10" s="125">
        <f>IFERROR(_xlfn.XLOOKUP($C10,'Safety Improvements'!B$6:B$35,'Safety Improvements'!E$6:E$35,0,0,1),0)</f>
        <v>0</v>
      </c>
      <c r="K10" s="124">
        <f>IFERROR(_xlfn.XLOOKUP($C10,'Network Crash Savings'!$B$6:$B$35,'Network Crash Savings'!$E$6:$E$35,0,0,1),0)</f>
        <v>0</v>
      </c>
      <c r="L10" s="125">
        <f>IFERROR(_xlfn.XLOOKUP($C10,'O&amp;M + Rehab'!$B$5:$B$40,'O&amp;M + Rehab'!$E$5:$E$40,0,0,1),0)</f>
        <v>0</v>
      </c>
      <c r="M10" s="124">
        <f>IFERROR(_xlfn.XLOOKUP($C10,'Capital Cost + RCV'!$B$6:$B$41,'Capital Cost + RCV'!$E$6:$E$41,0,0,1),0)</f>
        <v>0</v>
      </c>
      <c r="N10" s="174">
        <f t="shared" si="0"/>
        <v>-99509.964303437577</v>
      </c>
      <c r="O10" s="175">
        <f>IFERROR(SUM(D10,E10,H10,J10:M10,F10)*(1+0.07)^-($C10-Assumptions!$D$11)+I10,0)</f>
        <v>-75915.67531811267</v>
      </c>
    </row>
    <row r="11" spans="3:18" ht="15" customHeight="1" x14ac:dyDescent="0.25">
      <c r="C11" s="171">
        <f>C10+1</f>
        <v>2026</v>
      </c>
      <c r="D11" s="125">
        <f>IFERROR(_xlfn.XLOOKUP($C11,'Travel Time Savings'!$B$6:$B$41,'Travel Time Savings'!$G$6:$G$41,0,0,1),0)</f>
        <v>0</v>
      </c>
      <c r="E11" s="172">
        <f>IFERROR(_xlfn.XLOOKUP($C11,'Construction Travel Time Impact'!$B$6:$B$41,'Construction Travel Time Impact'!$G$6:$G$41,0,0,1),0)</f>
        <v>0</v>
      </c>
      <c r="F11" s="172">
        <f>IFERROR(_xlfn.XLOOKUP($C11,'VOC Savings'!$B$6:$B$41,'VOC Savings'!$G$6:$G$41,0,0,1),0)</f>
        <v>0</v>
      </c>
      <c r="G11" s="125">
        <f>IFERROR(_xlfn.XLOOKUP($C11,'Air Quality'!$B$6:$B$40,'Air Quality'!$D$6:$D$40,0,0,1),0)</f>
        <v>0</v>
      </c>
      <c r="H11" s="172">
        <f>IFERROR(_xlfn.XLOOKUP($C11,'Air Quality'!$B$6:$B$40,'Air Quality'!$L$6:$L$40,0,0,1),0)</f>
        <v>0</v>
      </c>
      <c r="I11" s="173">
        <f>IFERROR(_xlfn.XLOOKUP($C11,'Air Quality'!$B$6:$B$40,'Air Quality'!$E$6:$E$40,0,0,1),0)</f>
        <v>0</v>
      </c>
      <c r="J11" s="125">
        <f>IFERROR(_xlfn.XLOOKUP($C11,'Safety Improvements'!B$6:B$35,'Safety Improvements'!E$6:E$35,0,0,1),0)</f>
        <v>40611.266450000054</v>
      </c>
      <c r="K11" s="124">
        <f>IFERROR(_xlfn.XLOOKUP($C11,'Network Crash Savings'!$B$6:$B$35,'Network Crash Savings'!$E$6:$E$35,0,0,1),0)</f>
        <v>0</v>
      </c>
      <c r="L11" s="125">
        <f>IFERROR(_xlfn.XLOOKUP($C11,'O&amp;M + Rehab'!$B$5:$B$40,'O&amp;M + Rehab'!$E$5:$E$40,0,0,1),0)</f>
        <v>0</v>
      </c>
      <c r="M11" s="124">
        <f>IFERROR(_xlfn.XLOOKUP($C11,'Capital Cost + RCV'!$B$6:$B$41,'Capital Cost + RCV'!$E$6:$E$41,0,0,1),0)</f>
        <v>0</v>
      </c>
      <c r="N11" s="174">
        <f t="shared" si="0"/>
        <v>40611.266450000054</v>
      </c>
      <c r="O11" s="175">
        <f>IFERROR(SUM(D11,E11,H11,J11:M11,F11)*(1+0.07)^-($C11-Assumptions!$D$11)+I11,0)</f>
        <v>28955.271710178818</v>
      </c>
    </row>
    <row r="12" spans="3:18" ht="15" customHeight="1" x14ac:dyDescent="0.25">
      <c r="C12" s="171">
        <f t="shared" ref="C12:C68" si="1">C11+1</f>
        <v>2027</v>
      </c>
      <c r="D12" s="125">
        <f>IFERROR(_xlfn.XLOOKUP($C12,'Travel Time Savings'!$B$6:$B$41,'Travel Time Savings'!$G$6:$G$41,0,0,1),0)</f>
        <v>0</v>
      </c>
      <c r="E12" s="172">
        <f>IFERROR(_xlfn.XLOOKUP($C12,'Construction Travel Time Impact'!$B$6:$B$41,'Construction Travel Time Impact'!$G$6:$G$41,0,0,1),0)</f>
        <v>0</v>
      </c>
      <c r="F12" s="172">
        <f>IFERROR(_xlfn.XLOOKUP($C12,'VOC Savings'!$B$6:$B$41,'VOC Savings'!$G$6:$G$41,0,0,1),0)</f>
        <v>0</v>
      </c>
      <c r="G12" s="125">
        <f>IFERROR(_xlfn.XLOOKUP($C12,'Air Quality'!$B$6:$B$40,'Air Quality'!$D$6:$D$40,0,0,1),0)</f>
        <v>0</v>
      </c>
      <c r="H12" s="172">
        <f>IFERROR(_xlfn.XLOOKUP($C12,'Air Quality'!$B$6:$B$40,'Air Quality'!$L$6:$L$40,0,0,1),0)</f>
        <v>0</v>
      </c>
      <c r="I12" s="173">
        <f>IFERROR(_xlfn.XLOOKUP($C12,'Air Quality'!$B$6:$B$40,'Air Quality'!$E$6:$E$40,0,0,1),0)</f>
        <v>0</v>
      </c>
      <c r="J12" s="125">
        <f>IFERROR(_xlfn.XLOOKUP($C12,'Safety Improvements'!B$6:B$35,'Safety Improvements'!E$6:E$35,0,0,1),0)</f>
        <v>40789.995740000086</v>
      </c>
      <c r="K12" s="124">
        <f>IFERROR(_xlfn.XLOOKUP($C12,'Network Crash Savings'!$B$6:$B$35,'Network Crash Savings'!$E$6:$E$35,0,0,1),0)</f>
        <v>0</v>
      </c>
      <c r="L12" s="125">
        <f>IFERROR(_xlfn.XLOOKUP($C12,'O&amp;M + Rehab'!$B$5:$B$40,'O&amp;M + Rehab'!$E$5:$E$40,0,0,1),0)</f>
        <v>0</v>
      </c>
      <c r="M12" s="124">
        <f>IFERROR(_xlfn.XLOOKUP($C12,'Capital Cost + RCV'!$B$6:$B$41,'Capital Cost + RCV'!$E$6:$E$41,0,0,1),0)</f>
        <v>0</v>
      </c>
      <c r="N12" s="174">
        <f t="shared" si="0"/>
        <v>40789.995740000086</v>
      </c>
      <c r="O12" s="175">
        <f>IFERROR(SUM(D12,E12,H12,J12:M12,F12)*(1+0.07)^-($C12-Assumptions!$D$11)+I12,0)</f>
        <v>27180.09647085773</v>
      </c>
    </row>
    <row r="13" spans="3:18" ht="15" customHeight="1" x14ac:dyDescent="0.25">
      <c r="C13" s="171">
        <f t="shared" si="1"/>
        <v>2028</v>
      </c>
      <c r="D13" s="125">
        <f>IFERROR(_xlfn.XLOOKUP($C13,'Travel Time Savings'!$B$6:$B$41,'Travel Time Savings'!$G$6:$G$41,0,0,1),0)</f>
        <v>3823820.1653128327</v>
      </c>
      <c r="E13" s="172">
        <f>IFERROR(_xlfn.XLOOKUP($C13,'Construction Travel Time Impact'!$B$6:$B$41,'Construction Travel Time Impact'!$G$6:$G$41,0,0,1),0)</f>
        <v>0</v>
      </c>
      <c r="F13" s="172">
        <f>IFERROR(_xlfn.XLOOKUP($C13,'VOC Savings'!$B$6:$B$41,'VOC Savings'!$G$6:$G$41,0,0,1),0)</f>
        <v>4649697.7015136145</v>
      </c>
      <c r="G13" s="125">
        <f>IFERROR(_xlfn.XLOOKUP($C13,'Air Quality'!$B$6:$B$40,'Air Quality'!$D$6:$D$40,0,0,1),0)</f>
        <v>333766.61774280254</v>
      </c>
      <c r="H13" s="172">
        <f>IFERROR(_xlfn.XLOOKUP($C13,'Air Quality'!$B$6:$B$40,'Air Quality'!$L$6:$L$40,0,0,1),0)</f>
        <v>609828.04718349304</v>
      </c>
      <c r="I13" s="173">
        <f>IFERROR(_xlfn.XLOOKUP($C13,'Air Quality'!$B$6:$B$40,'Air Quality'!$E$6:$E$40,0,0,1),0)</f>
        <v>271382.80365645478</v>
      </c>
      <c r="J13" s="125">
        <f>IFERROR(_xlfn.XLOOKUP($C13,'Safety Improvements'!B$6:B$35,'Safety Improvements'!E$6:E$35,0,0,1),0)</f>
        <v>-77096.764969999975</v>
      </c>
      <c r="K13" s="124">
        <f>IFERROR(_xlfn.XLOOKUP($C13,'Network Crash Savings'!$B$6:$B$35,'Network Crash Savings'!$E$6:$E$35,0,0,1),0)</f>
        <v>656080.31339881965</v>
      </c>
      <c r="L13" s="125">
        <f>IFERROR(_xlfn.XLOOKUP($C13,'O&amp;M + Rehab'!$B$5:$B$40,'O&amp;M + Rehab'!$E$5:$E$40,0,0,1),0)</f>
        <v>0</v>
      </c>
      <c r="M13" s="124">
        <f>IFERROR(_xlfn.XLOOKUP($C13,'Capital Cost + RCV'!$B$6:$B$41,'Capital Cost + RCV'!$E$6:$E$41,0,0,1),0)</f>
        <v>0</v>
      </c>
      <c r="N13" s="174">
        <f t="shared" si="0"/>
        <v>9996096.0801815614</v>
      </c>
      <c r="O13" s="175">
        <f>IFERROR(SUM(D13,E13,H13,J13:M13,F13)*(1+0.07)^-($C13-Assumptions!$D$11)+I13,0)</f>
        <v>6288595.9823940713</v>
      </c>
    </row>
    <row r="14" spans="3:18" ht="15" customHeight="1" x14ac:dyDescent="0.25">
      <c r="C14" s="171">
        <f t="shared" si="1"/>
        <v>2029</v>
      </c>
      <c r="D14" s="125">
        <f>IFERROR(_xlfn.XLOOKUP($C14,'Travel Time Savings'!$B$6:$B$41,'Travel Time Savings'!$G$6:$G$41,0,0,1),0)</f>
        <v>3840501.8819816699</v>
      </c>
      <c r="E14" s="172">
        <f>IFERROR(_xlfn.XLOOKUP($C14,'Construction Travel Time Impact'!$B$6:$B$41,'Construction Travel Time Impact'!$G$6:$G$41,0,0,1),0)</f>
        <v>0</v>
      </c>
      <c r="F14" s="172">
        <f>IFERROR(_xlfn.XLOOKUP($C14,'VOC Savings'!$B$6:$B$41,'VOC Savings'!$G$6:$G$41,0,0,1),0)</f>
        <v>4669982.3739874922</v>
      </c>
      <c r="G14" s="125">
        <f>IFERROR(_xlfn.XLOOKUP($C14,'Air Quality'!$B$6:$B$40,'Air Quality'!$D$6:$D$40,0,0,1),0)</f>
        <v>340629.51865959697</v>
      </c>
      <c r="H14" s="172">
        <f>IFERROR(_xlfn.XLOOKUP($C14,'Air Quality'!$B$6:$B$40,'Air Quality'!$L$6:$L$40,0,0,1),0)</f>
        <v>624186.23308641231</v>
      </c>
      <c r="I14" s="173">
        <f>IFERROR(_xlfn.XLOOKUP($C14,'Air Quality'!$B$6:$B$40,'Air Quality'!$E$6:$E$40,0,0,1),0)</f>
        <v>268896.08750979695</v>
      </c>
      <c r="J14" s="125">
        <f>IFERROR(_xlfn.XLOOKUP($C14,'Safety Improvements'!B$6:B$35,'Safety Improvements'!E$6:E$35,0,0,1),0)</f>
        <v>-77433.105680000022</v>
      </c>
      <c r="K14" s="124">
        <f>IFERROR(_xlfn.XLOOKUP($C14,'Network Crash Savings'!$B$6:$B$35,'Network Crash Savings'!$E$6:$E$35,0,0,1),0)</f>
        <v>658926.37791621895</v>
      </c>
      <c r="L14" s="125">
        <f>IFERROR(_xlfn.XLOOKUP($C14,'O&amp;M + Rehab'!$B$5:$B$40,'O&amp;M + Rehab'!$E$5:$E$40,0,0,1),0)</f>
        <v>0</v>
      </c>
      <c r="M14" s="124">
        <f>IFERROR(_xlfn.XLOOKUP($C14,'Capital Cost + RCV'!$B$6:$B$41,'Capital Cost + RCV'!$E$6:$E$41,0,0,1),0)</f>
        <v>0</v>
      </c>
      <c r="N14" s="174">
        <f t="shared" si="0"/>
        <v>10056793.279951392</v>
      </c>
      <c r="O14" s="175">
        <f>IFERROR(SUM(D14,E14,H14,J14:M14,F14)*(1+0.07)^-($C14-Assumptions!$D$11)+I14,0)</f>
        <v>5923791.8580265092</v>
      </c>
    </row>
    <row r="15" spans="3:18" ht="15" customHeight="1" x14ac:dyDescent="0.25">
      <c r="C15" s="171">
        <f t="shared" si="1"/>
        <v>2030</v>
      </c>
      <c r="D15" s="125">
        <f>IFERROR(_xlfn.XLOOKUP($C15,'Travel Time Savings'!$B$6:$B$41,'Travel Time Savings'!$G$6:$G$41,0,0,1),0)</f>
        <v>3857183.5986505123</v>
      </c>
      <c r="E15" s="172">
        <f>IFERROR(_xlfn.XLOOKUP($C15,'Construction Travel Time Impact'!$B$6:$B$41,'Construction Travel Time Impact'!$G$6:$G$41,0,0,1),0)</f>
        <v>0</v>
      </c>
      <c r="F15" s="172">
        <f>IFERROR(_xlfn.XLOOKUP($C15,'VOC Savings'!$B$6:$B$41,'VOC Savings'!$G$6:$G$41,0,0,1),0)</f>
        <v>4690267.0464613801</v>
      </c>
      <c r="G15" s="125">
        <f>IFERROR(_xlfn.XLOOKUP($C15,'Air Quality'!$B$6:$B$40,'Air Quality'!$D$6:$D$40,0,0,1),0)</f>
        <v>352969.69296968204</v>
      </c>
      <c r="H15" s="172">
        <f>IFERROR(_xlfn.XLOOKUP($C15,'Air Quality'!$B$6:$B$40,'Air Quality'!$L$6:$L$40,0,0,1),0)</f>
        <v>637770.50009442191</v>
      </c>
      <c r="I15" s="173">
        <f>IFERROR(_xlfn.XLOOKUP($C15,'Air Quality'!$B$6:$B$40,'Air Quality'!$E$6:$E$40,0,0,1),0)</f>
        <v>270521.878702157</v>
      </c>
      <c r="J15" s="125">
        <f>IFERROR(_xlfn.XLOOKUP($C15,'Safety Improvements'!B$6:B$35,'Safety Improvements'!E$6:E$35,0,0,1),0)</f>
        <v>-77769.44639000007</v>
      </c>
      <c r="K15" s="124">
        <f>IFERROR(_xlfn.XLOOKUP($C15,'Network Crash Savings'!$B$6:$B$35,'Network Crash Savings'!$E$6:$E$35,0,0,1),0)</f>
        <v>661772.4424336158</v>
      </c>
      <c r="L15" s="125">
        <f>IFERROR(_xlfn.XLOOKUP($C15,'O&amp;M + Rehab'!$B$5:$B$40,'O&amp;M + Rehab'!$E$5:$E$40,0,0,1),0)</f>
        <v>0</v>
      </c>
      <c r="M15" s="124">
        <f>IFERROR(_xlfn.XLOOKUP($C15,'Capital Cost + RCV'!$B$6:$B$41,'Capital Cost + RCV'!$E$6:$E$41,0,0,1),0)</f>
        <v>0</v>
      </c>
      <c r="N15" s="174">
        <f t="shared" si="0"/>
        <v>10122193.834219612</v>
      </c>
      <c r="O15" s="175">
        <f>IFERROR(SUM(D15,E15,H15,J15:M15,F15)*(1+0.07)^-($C15-Assumptions!$D$11)+I15,0)</f>
        <v>5584332.5279956413</v>
      </c>
    </row>
    <row r="16" spans="3:18" ht="15" customHeight="1" x14ac:dyDescent="0.25">
      <c r="C16" s="171">
        <f t="shared" si="1"/>
        <v>2031</v>
      </c>
      <c r="D16" s="125">
        <f>IFERROR(_xlfn.XLOOKUP($C16,'Travel Time Savings'!$B$6:$B$41,'Travel Time Savings'!$G$6:$G$41,0,0,1),0)</f>
        <v>3873865.3153193472</v>
      </c>
      <c r="E16" s="172">
        <f>IFERROR(_xlfn.XLOOKUP($C16,'Construction Travel Time Impact'!$B$6:$B$41,'Construction Travel Time Impact'!$G$6:$G$41,0,0,1),0)</f>
        <v>0</v>
      </c>
      <c r="F16" s="172">
        <f>IFERROR(_xlfn.XLOOKUP($C16,'VOC Savings'!$B$6:$B$41,'VOC Savings'!$G$6:$G$41,0,0,1),0)</f>
        <v>4710551.7189352643</v>
      </c>
      <c r="G16" s="125">
        <f>IFERROR(_xlfn.XLOOKUP($C16,'Air Quality'!$B$6:$B$40,'Air Quality'!$D$6:$D$40,0,0,1),0)</f>
        <v>359950.01994779089</v>
      </c>
      <c r="H16" s="172">
        <f>IFERROR(_xlfn.XLOOKUP($C16,'Air Quality'!$B$6:$B$40,'Air Quality'!$L$6:$L$40,0,0,1),0)</f>
        <v>640528.7579035759</v>
      </c>
      <c r="I16" s="173">
        <f>IFERROR(_xlfn.XLOOKUP($C16,'Air Quality'!$B$6:$B$40,'Air Quality'!$E$6:$E$40,0,0,1),0)</f>
        <v>267836.61951010604</v>
      </c>
      <c r="J16" s="125">
        <f>IFERROR(_xlfn.XLOOKUP($C16,'Safety Improvements'!B$6:B$35,'Safety Improvements'!E$6:E$35,0,0,1),0)</f>
        <v>-78105.787099999987</v>
      </c>
      <c r="K16" s="124">
        <f>IFERROR(_xlfn.XLOOKUP($C16,'Network Crash Savings'!$B$6:$B$35,'Network Crash Savings'!$E$6:$E$35,0,0,1),0)</f>
        <v>664618.5069510137</v>
      </c>
      <c r="L16" s="125">
        <f>IFERROR(_xlfn.XLOOKUP($C16,'O&amp;M + Rehab'!$B$5:$B$40,'O&amp;M + Rehab'!$E$5:$E$40,0,0,1),0)</f>
        <v>0</v>
      </c>
      <c r="M16" s="124">
        <f>IFERROR(_xlfn.XLOOKUP($C16,'Capital Cost + RCV'!$B$6:$B$41,'Capital Cost + RCV'!$E$6:$E$41,0,0,1),0)</f>
        <v>0</v>
      </c>
      <c r="N16" s="174">
        <f t="shared" si="0"/>
        <v>10171408.531956991</v>
      </c>
      <c r="O16" s="175">
        <f>IFERROR(SUM(D16,E16,H16,J16:M16,F16)*(1+0.07)^-($C16-Assumptions!$D$11)+I16,0)</f>
        <v>5255484.6088991342</v>
      </c>
    </row>
    <row r="17" spans="3:15" ht="15" customHeight="1" x14ac:dyDescent="0.25">
      <c r="C17" s="171">
        <f t="shared" si="1"/>
        <v>2032</v>
      </c>
      <c r="D17" s="125">
        <f>IFERROR(_xlfn.XLOOKUP($C17,'Travel Time Savings'!$B$6:$B$41,'Travel Time Savings'!$G$6:$G$41,0,0,1),0)</f>
        <v>3890547.0319881896</v>
      </c>
      <c r="E17" s="172">
        <f>IFERROR(_xlfn.XLOOKUP($C17,'Construction Travel Time Impact'!$B$6:$B$41,'Construction Travel Time Impact'!$G$6:$G$41,0,0,1),0)</f>
        <v>0</v>
      </c>
      <c r="F17" s="172">
        <f>IFERROR(_xlfn.XLOOKUP($C17,'VOC Savings'!$B$6:$B$41,'VOC Savings'!$G$6:$G$41,0,0,1),0)</f>
        <v>4730836.3914091513</v>
      </c>
      <c r="G17" s="125">
        <f>IFERROR(_xlfn.XLOOKUP($C17,'Air Quality'!$B$6:$B$40,'Air Quality'!$D$6:$D$40,0,0,1),0)</f>
        <v>366977.3173504257</v>
      </c>
      <c r="H17" s="172">
        <f>IFERROR(_xlfn.XLOOKUP($C17,'Air Quality'!$B$6:$B$40,'Air Quality'!$L$6:$L$40,0,0,1),0)</f>
        <v>643287.01571273059</v>
      </c>
      <c r="I17" s="173">
        <f>IFERROR(_xlfn.XLOOKUP($C17,'Air Quality'!$B$6:$B$40,'Air Quality'!$E$6:$E$40,0,0,1),0)</f>
        <v>265112.22208308364</v>
      </c>
      <c r="J17" s="125">
        <f>IFERROR(_xlfn.XLOOKUP($C17,'Safety Improvements'!B$6:B$35,'Safety Improvements'!E$6:E$35,0,0,1),0)</f>
        <v>-78442.127810000035</v>
      </c>
      <c r="K17" s="124">
        <f>IFERROR(_xlfn.XLOOKUP($C17,'Network Crash Savings'!$B$6:$B$35,'Network Crash Savings'!$E$6:$E$35,0,0,1),0)</f>
        <v>667464.57146841206</v>
      </c>
      <c r="L17" s="125">
        <f>IFERROR(_xlfn.XLOOKUP($C17,'O&amp;M + Rehab'!$B$5:$B$40,'O&amp;M + Rehab'!$E$5:$E$40,0,0,1),0)</f>
        <v>0</v>
      </c>
      <c r="M17" s="124">
        <f>IFERROR(_xlfn.XLOOKUP($C17,'Capital Cost + RCV'!$B$6:$B$41,'Capital Cost + RCV'!$E$6:$E$41,0,0,1),0)</f>
        <v>0</v>
      </c>
      <c r="N17" s="174">
        <f t="shared" si="0"/>
        <v>10220670.200118909</v>
      </c>
      <c r="O17" s="175">
        <f>IFERROR(SUM(D17,E17,H17,J17:M17,F17)*(1+0.07)^-($C17-Assumptions!$D$11)+I17,0)</f>
        <v>4946530.7285020221</v>
      </c>
    </row>
    <row r="18" spans="3:15" ht="15" customHeight="1" x14ac:dyDescent="0.25">
      <c r="C18" s="171">
        <f t="shared" si="1"/>
        <v>2033</v>
      </c>
      <c r="D18" s="125">
        <f>IFERROR(_xlfn.XLOOKUP($C18,'Travel Time Savings'!$B$6:$B$41,'Travel Time Savings'!$G$6:$G$41,0,0,1),0)</f>
        <v>3907228.7486570245</v>
      </c>
      <c r="E18" s="172">
        <f>IFERROR(_xlfn.XLOOKUP($C18,'Construction Travel Time Impact'!$B$6:$B$41,'Construction Travel Time Impact'!$G$6:$G$41,0,0,1),0)</f>
        <v>0</v>
      </c>
      <c r="F18" s="172">
        <f>IFERROR(_xlfn.XLOOKUP($C18,'VOC Savings'!$B$6:$B$41,'VOC Savings'!$G$6:$G$41,0,0,1),0)</f>
        <v>4751121.0638830299</v>
      </c>
      <c r="G18" s="125">
        <f>IFERROR(_xlfn.XLOOKUP($C18,'Air Quality'!$B$6:$B$40,'Air Quality'!$D$6:$D$40,0,0,1),0)</f>
        <v>374051.58517758531</v>
      </c>
      <c r="H18" s="172">
        <f>IFERROR(_xlfn.XLOOKUP($C18,'Air Quality'!$B$6:$B$40,'Air Quality'!$L$6:$L$40,0,0,1),0)</f>
        <v>646045.27352188411</v>
      </c>
      <c r="I18" s="173">
        <f>IFERROR(_xlfn.XLOOKUP($C18,'Air Quality'!$B$6:$B$40,'Air Quality'!$E$6:$E$40,0,0,1),0)</f>
        <v>262352.25599784654</v>
      </c>
      <c r="J18" s="125">
        <f>IFERROR(_xlfn.XLOOKUP($C18,'Safety Improvements'!B$6:B$35,'Safety Improvements'!E$6:E$35,0,0,1),0)</f>
        <v>-78778.468520000068</v>
      </c>
      <c r="K18" s="124">
        <f>IFERROR(_xlfn.XLOOKUP($C18,'Network Crash Savings'!$B$6:$B$35,'Network Crash Savings'!$E$6:$E$35,0,0,1),0)</f>
        <v>670310.63598580996</v>
      </c>
      <c r="L18" s="125">
        <f>IFERROR(_xlfn.XLOOKUP($C18,'O&amp;M + Rehab'!$B$5:$B$40,'O&amp;M + Rehab'!$E$5:$E$40,0,0,1),0)</f>
        <v>-15456</v>
      </c>
      <c r="M18" s="124">
        <f>IFERROR(_xlfn.XLOOKUP($C18,'Capital Cost + RCV'!$B$6:$B$41,'Capital Cost + RCV'!$E$6:$E$41,0,0,1),0)</f>
        <v>0</v>
      </c>
      <c r="N18" s="174">
        <f t="shared" si="0"/>
        <v>10254522.838705333</v>
      </c>
      <c r="O18" s="175">
        <f>IFERROR(SUM(D18,E18,H18,J18:M18,F18)*(1+0.07)^-($C18-Assumptions!$D$11)+I18,0)</f>
        <v>4649399.6554984665</v>
      </c>
    </row>
    <row r="19" spans="3:15" ht="15" customHeight="1" x14ac:dyDescent="0.25">
      <c r="C19" s="171">
        <f t="shared" si="1"/>
        <v>2034</v>
      </c>
      <c r="D19" s="125">
        <f>IFERROR(_xlfn.XLOOKUP($C19,'Travel Time Savings'!$B$6:$B$41,'Travel Time Savings'!$G$6:$G$41,0,0,1),0)</f>
        <v>3923910.4653258678</v>
      </c>
      <c r="E19" s="172">
        <f>IFERROR(_xlfn.XLOOKUP($C19,'Construction Travel Time Impact'!$B$6:$B$41,'Construction Travel Time Impact'!$G$6:$G$41,0,0,1),0)</f>
        <v>0</v>
      </c>
      <c r="F19" s="172">
        <f>IFERROR(_xlfn.XLOOKUP($C19,'VOC Savings'!$B$6:$B$41,'VOC Savings'!$G$6:$G$41,0,0,1),0)</f>
        <v>4771405.736356914</v>
      </c>
      <c r="G19" s="125">
        <f>IFERROR(_xlfn.XLOOKUP($C19,'Air Quality'!$B$6:$B$40,'Air Quality'!$D$6:$D$40,0,0,1),0)</f>
        <v>381172.82342927117</v>
      </c>
      <c r="H19" s="172">
        <f>IFERROR(_xlfn.XLOOKUP($C19,'Air Quality'!$B$6:$B$40,'Air Quality'!$L$6:$L$40,0,0,1),0)</f>
        <v>648803.53133103845</v>
      </c>
      <c r="I19" s="173">
        <f>IFERROR(_xlfn.XLOOKUP($C19,'Air Quality'!$B$6:$B$40,'Air Quality'!$E$6:$E$40,0,0,1),0)</f>
        <v>259560.1448831452</v>
      </c>
      <c r="J19" s="125">
        <f>IFERROR(_xlfn.XLOOKUP($C19,'Safety Improvements'!B$6:B$35,'Safety Improvements'!E$6:E$35,0,0,1),0)</f>
        <v>-79114.809229999984</v>
      </c>
      <c r="K19" s="124">
        <f>IFERROR(_xlfn.XLOOKUP($C19,'Network Crash Savings'!$B$6:$B$35,'Network Crash Savings'!$E$6:$E$35,0,0,1),0)</f>
        <v>673156.70050320751</v>
      </c>
      <c r="L19" s="125">
        <f>IFERROR(_xlfn.XLOOKUP($C19,'O&amp;M + Rehab'!$B$5:$B$40,'O&amp;M + Rehab'!$E$5:$E$40,0,0,1),0)</f>
        <v>0</v>
      </c>
      <c r="M19" s="124">
        <f>IFERROR(_xlfn.XLOOKUP($C19,'Capital Cost + RCV'!$B$6:$B$41,'Capital Cost + RCV'!$E$6:$E$41,0,0,1),0)</f>
        <v>0</v>
      </c>
      <c r="N19" s="174">
        <f t="shared" si="0"/>
        <v>10319334.447716299</v>
      </c>
      <c r="O19" s="175">
        <f>IFERROR(SUM(D19,E19,H19,J19:M19,F19)*(1+0.07)^-($C19-Assumptions!$D$11)+I19,0)</f>
        <v>4383543.8963324642</v>
      </c>
    </row>
    <row r="20" spans="3:15" ht="15" customHeight="1" x14ac:dyDescent="0.25">
      <c r="C20" s="171">
        <f t="shared" si="1"/>
        <v>2035</v>
      </c>
      <c r="D20" s="125">
        <f>IFERROR(_xlfn.XLOOKUP($C20,'Travel Time Savings'!$B$6:$B$41,'Travel Time Savings'!$G$6:$G$41,0,0,1),0)</f>
        <v>3940592.1819947083</v>
      </c>
      <c r="E20" s="172">
        <f>IFERROR(_xlfn.XLOOKUP($C20,'Construction Travel Time Impact'!$B$6:$B$41,'Construction Travel Time Impact'!$G$6:$G$41,0,0,1),0)</f>
        <v>0</v>
      </c>
      <c r="F20" s="172">
        <f>IFERROR(_xlfn.XLOOKUP($C20,'VOC Savings'!$B$6:$B$41,'VOC Savings'!$G$6:$G$41,0,0,1),0)</f>
        <v>4791690.4088308029</v>
      </c>
      <c r="G20" s="125">
        <f>IFERROR(_xlfn.XLOOKUP($C20,'Air Quality'!$B$6:$B$40,'Air Quality'!$D$6:$D$40,0,0,1),0)</f>
        <v>388341.03210548271</v>
      </c>
      <c r="H20" s="172">
        <f>IFERROR(_xlfn.XLOOKUP($C20,'Air Quality'!$B$6:$B$40,'Air Quality'!$L$6:$L$40,0,0,1),0)</f>
        <v>651561.78914019314</v>
      </c>
      <c r="I20" s="173">
        <f>IFERROR(_xlfn.XLOOKUP($C20,'Air Quality'!$B$6:$B$40,'Air Quality'!$E$6:$E$40,0,0,1),0)</f>
        <v>256739.17105491468</v>
      </c>
      <c r="J20" s="125">
        <f>IFERROR(_xlfn.XLOOKUP($C20,'Safety Improvements'!B$6:B$35,'Safety Improvements'!E$6:E$35,0,0,1),0)</f>
        <v>-79451.149940000047</v>
      </c>
      <c r="K20" s="124">
        <f>IFERROR(_xlfn.XLOOKUP($C20,'Network Crash Savings'!$B$6:$B$35,'Network Crash Savings'!$E$6:$E$35,0,0,1),0)</f>
        <v>676002.76502060622</v>
      </c>
      <c r="L20" s="125">
        <f>IFERROR(_xlfn.XLOOKUP($C20,'O&amp;M + Rehab'!$B$5:$B$40,'O&amp;M + Rehab'!$E$5:$E$40,0,0,1),0)</f>
        <v>0</v>
      </c>
      <c r="M20" s="124">
        <f>IFERROR(_xlfn.XLOOKUP($C20,'Capital Cost + RCV'!$B$6:$B$41,'Capital Cost + RCV'!$E$6:$E$41,0,0,1),0)</f>
        <v>0</v>
      </c>
      <c r="N20" s="174">
        <f t="shared" si="0"/>
        <v>10368737.027151793</v>
      </c>
      <c r="O20" s="175">
        <f>IFERROR(SUM(D20,E20,H20,J20:M20,F20)*(1+0.07)^-($C20-Assumptions!$D$11)+I20,0)</f>
        <v>4127308.8101141336</v>
      </c>
    </row>
    <row r="21" spans="3:15" ht="15" customHeight="1" x14ac:dyDescent="0.25">
      <c r="C21" s="171">
        <f t="shared" si="1"/>
        <v>2036</v>
      </c>
      <c r="D21" s="125">
        <f>IFERROR(_xlfn.XLOOKUP($C21,'Travel Time Savings'!$B$6:$B$41,'Travel Time Savings'!$G$6:$G$41,0,0,1),0)</f>
        <v>3957273.898663545</v>
      </c>
      <c r="E21" s="172">
        <f>IFERROR(_xlfn.XLOOKUP($C21,'Construction Travel Time Impact'!$B$6:$B$41,'Construction Travel Time Impact'!$G$6:$G$41,0,0,1),0)</f>
        <v>0</v>
      </c>
      <c r="F21" s="172">
        <f>IFERROR(_xlfn.XLOOKUP($C21,'VOC Savings'!$B$6:$B$41,'VOC Savings'!$G$6:$G$41,0,0,1),0)</f>
        <v>4811975.0813046824</v>
      </c>
      <c r="G21" s="125">
        <f>IFERROR(_xlfn.XLOOKUP($C21,'Air Quality'!$B$6:$B$40,'Air Quality'!$D$6:$D$40,0,0,1),0)</f>
        <v>401127.42544856027</v>
      </c>
      <c r="H21" s="172">
        <f>IFERROR(_xlfn.XLOOKUP($C21,'Air Quality'!$B$6:$B$40,'Air Quality'!$L$6:$L$40,0,0,1),0)</f>
        <v>654320.04694934655</v>
      </c>
      <c r="I21" s="173">
        <f>IFERROR(_xlfn.XLOOKUP($C21,'Air Quality'!$B$6:$B$40,'Air Quality'!$E$6:$E$40,0,0,1),0)</f>
        <v>257468.43045264456</v>
      </c>
      <c r="J21" s="125">
        <f>IFERROR(_xlfn.XLOOKUP($C21,'Safety Improvements'!B$6:B$35,'Safety Improvements'!E$6:E$35,0,0,1),0)</f>
        <v>-79787.490649999949</v>
      </c>
      <c r="K21" s="124">
        <f>IFERROR(_xlfn.XLOOKUP($C21,'Network Crash Savings'!$B$6:$B$35,'Network Crash Savings'!$E$6:$E$35,0,0,1),0)</f>
        <v>678848.82953800366</v>
      </c>
      <c r="L21" s="125">
        <f>IFERROR(_xlfn.XLOOKUP($C21,'O&amp;M + Rehab'!$B$5:$B$40,'O&amp;M + Rehab'!$E$5:$E$40,0,0,1),0)</f>
        <v>0</v>
      </c>
      <c r="M21" s="124">
        <f>IFERROR(_xlfn.XLOOKUP($C21,'Capital Cost + RCV'!$B$6:$B$41,'Capital Cost + RCV'!$E$6:$E$41,0,0,1),0)</f>
        <v>0</v>
      </c>
      <c r="N21" s="174">
        <f t="shared" si="0"/>
        <v>10423757.79125414</v>
      </c>
      <c r="O21" s="175">
        <f>IFERROR(SUM(D21,E21,H21,J21:M21,F21)*(1+0.07)^-($C21-Assumptions!$D$11)+I21,0)</f>
        <v>3890130.9128855234</v>
      </c>
    </row>
    <row r="22" spans="3:15" ht="15" customHeight="1" x14ac:dyDescent="0.25">
      <c r="C22" s="171">
        <f t="shared" si="1"/>
        <v>2037</v>
      </c>
      <c r="D22" s="125">
        <f>IFERROR(_xlfn.XLOOKUP($C22,'Travel Time Savings'!$B$6:$B$41,'Travel Time Savings'!$G$6:$G$41,0,0,1),0)</f>
        <v>3973955.6153323874</v>
      </c>
      <c r="E22" s="172">
        <f>IFERROR(_xlfn.XLOOKUP($C22,'Construction Travel Time Impact'!$B$6:$B$41,'Construction Travel Time Impact'!$G$6:$G$41,0,0,1),0)</f>
        <v>0</v>
      </c>
      <c r="F22" s="172">
        <f>IFERROR(_xlfn.XLOOKUP($C22,'VOC Savings'!$B$6:$B$41,'VOC Savings'!$G$6:$G$41,0,0,1),0)</f>
        <v>4832259.7537785703</v>
      </c>
      <c r="G22" s="125">
        <f>IFERROR(_xlfn.XLOOKUP($C22,'Air Quality'!$B$6:$B$40,'Air Quality'!$D$6:$D$40,0,0,1),0)</f>
        <v>408413.06018608582</v>
      </c>
      <c r="H22" s="172">
        <f>IFERROR(_xlfn.XLOOKUP($C22,'Air Quality'!$B$6:$B$40,'Air Quality'!$L$6:$L$40,0,0,1),0)</f>
        <v>657078.30475850112</v>
      </c>
      <c r="I22" s="173">
        <f>IFERROR(_xlfn.XLOOKUP($C22,'Air Quality'!$B$6:$B$40,'Air Quality'!$E$6:$E$40,0,0,1),0)</f>
        <v>254509.51665368344</v>
      </c>
      <c r="J22" s="125">
        <f>IFERROR(_xlfn.XLOOKUP($C22,'Safety Improvements'!B$6:B$35,'Safety Improvements'!E$6:E$35,0,0,1),0)</f>
        <v>-80123.831359999996</v>
      </c>
      <c r="K22" s="124">
        <f>IFERROR(_xlfn.XLOOKUP($C22,'Network Crash Savings'!$B$6:$B$35,'Network Crash Savings'!$E$6:$E$35,0,0,1),0)</f>
        <v>681694.89405540132</v>
      </c>
      <c r="L22" s="125">
        <f>IFERROR(_xlfn.XLOOKUP($C22,'O&amp;M + Rehab'!$B$5:$B$40,'O&amp;M + Rehab'!$E$5:$E$40,0,0,1),0)</f>
        <v>-38640</v>
      </c>
      <c r="M22" s="124">
        <f>IFERROR(_xlfn.XLOOKUP($C22,'Capital Cost + RCV'!$B$6:$B$41,'Capital Cost + RCV'!$E$6:$E$41,0,0,1),0)</f>
        <v>0</v>
      </c>
      <c r="N22" s="174">
        <f t="shared" si="0"/>
        <v>10434637.796750946</v>
      </c>
      <c r="O22" s="175">
        <f>IFERROR(SUM(D22,E22,H22,J22:M22,F22)*(1+0.07)^-($C22-Assumptions!$D$11)+I22,0)</f>
        <v>3650738.7202122817</v>
      </c>
    </row>
    <row r="23" spans="3:15" ht="15" customHeight="1" x14ac:dyDescent="0.25">
      <c r="C23" s="171">
        <f t="shared" si="1"/>
        <v>2038</v>
      </c>
      <c r="D23" s="125">
        <f>IFERROR(_xlfn.XLOOKUP($C23,'Travel Time Savings'!$B$6:$B$41,'Travel Time Savings'!$G$6:$G$41,0,0,1),0)</f>
        <v>3990637.3320012223</v>
      </c>
      <c r="E23" s="172">
        <f>IFERROR(_xlfn.XLOOKUP($C23,'Construction Travel Time Impact'!$B$6:$B$41,'Construction Travel Time Impact'!$G$6:$G$41,0,0,1),0)</f>
        <v>0</v>
      </c>
      <c r="F23" s="172">
        <f>IFERROR(_xlfn.XLOOKUP($C23,'VOC Savings'!$B$6:$B$41,'VOC Savings'!$G$6:$G$41,0,0,1),0)</f>
        <v>4852544.4262524508</v>
      </c>
      <c r="G23" s="125">
        <f>IFERROR(_xlfn.XLOOKUP($C23,'Air Quality'!$B$6:$B$40,'Air Quality'!$D$6:$D$40,0,0,1),0)</f>
        <v>415745.66534813651</v>
      </c>
      <c r="H23" s="172">
        <f>IFERROR(_xlfn.XLOOKUP($C23,'Air Quality'!$B$6:$B$40,'Air Quality'!$L$6:$L$40,0,0,1),0)</f>
        <v>659836.56256765488</v>
      </c>
      <c r="I23" s="173">
        <f>IFERROR(_xlfn.XLOOKUP($C23,'Air Quality'!$B$6:$B$40,'Air Quality'!$E$6:$E$40,0,0,1),0)</f>
        <v>251532.96482429921</v>
      </c>
      <c r="J23" s="125">
        <f>IFERROR(_xlfn.XLOOKUP($C23,'Safety Improvements'!B$6:B$35,'Safety Improvements'!E$6:E$35,0,0,1),0)</f>
        <v>-80460.17207000003</v>
      </c>
      <c r="K23" s="124">
        <f>IFERROR(_xlfn.XLOOKUP($C23,'Network Crash Savings'!$B$6:$B$35,'Network Crash Savings'!$E$6:$E$35,0,0,1),0)</f>
        <v>684540.95857279957</v>
      </c>
      <c r="L23" s="125">
        <f>IFERROR(_xlfn.XLOOKUP($C23,'O&amp;M + Rehab'!$B$5:$B$40,'O&amp;M + Rehab'!$E$5:$E$40,0,0,1),0)</f>
        <v>0</v>
      </c>
      <c r="M23" s="124">
        <f>IFERROR(_xlfn.XLOOKUP($C23,'Capital Cost + RCV'!$B$6:$B$41,'Capital Cost + RCV'!$E$6:$E$41,0,0,1),0)</f>
        <v>0</v>
      </c>
      <c r="N23" s="174">
        <f t="shared" si="0"/>
        <v>10522844.772672264</v>
      </c>
      <c r="O23" s="175">
        <f>IFERROR(SUM(D23,E23,H23,J23:M23,F23)*(1+0.07)^-($C23-Assumptions!$D$11)+I23,0)</f>
        <v>3451181.7040857868</v>
      </c>
    </row>
    <row r="24" spans="3:15" ht="15" customHeight="1" x14ac:dyDescent="0.25">
      <c r="C24" s="171">
        <f t="shared" si="1"/>
        <v>2039</v>
      </c>
      <c r="D24" s="125">
        <f>IFERROR(_xlfn.XLOOKUP($C24,'Travel Time Savings'!$B$6:$B$41,'Travel Time Savings'!$G$6:$G$41,0,0,1),0)</f>
        <v>4007319.0486700651</v>
      </c>
      <c r="E24" s="172">
        <f>IFERROR(_xlfn.XLOOKUP($C24,'Construction Travel Time Impact'!$B$6:$B$41,'Construction Travel Time Impact'!$G$6:$G$41,0,0,1),0)</f>
        <v>0</v>
      </c>
      <c r="F24" s="172">
        <f>IFERROR(_xlfn.XLOOKUP($C24,'VOC Savings'!$B$6:$B$41,'VOC Savings'!$G$6:$G$41,0,0,1),0)</f>
        <v>4872829.0987263359</v>
      </c>
      <c r="G24" s="125">
        <f>IFERROR(_xlfn.XLOOKUP($C24,'Air Quality'!$B$6:$B$40,'Air Quality'!$D$6:$D$40,0,0,1),0)</f>
        <v>423125.24093471299</v>
      </c>
      <c r="H24" s="172">
        <f>IFERROR(_xlfn.XLOOKUP($C24,'Air Quality'!$B$6:$B$40,'Air Quality'!$L$6:$L$40,0,0,1),0)</f>
        <v>662594.82037680969</v>
      </c>
      <c r="I24" s="173">
        <f>IFERROR(_xlfn.XLOOKUP($C24,'Air Quality'!$B$6:$B$40,'Air Quality'!$E$6:$E$40,0,0,1),0)</f>
        <v>248541.48487139083</v>
      </c>
      <c r="J24" s="125">
        <f>IFERROR(_xlfn.XLOOKUP($C24,'Safety Improvements'!B$6:B$35,'Safety Improvements'!E$6:E$35,0,0,1),0)</f>
        <v>-80796.512779999961</v>
      </c>
      <c r="K24" s="124">
        <f>IFERROR(_xlfn.XLOOKUP($C24,'Network Crash Savings'!$B$6:$B$35,'Network Crash Savings'!$E$6:$E$35,0,0,1),0)</f>
        <v>687387.02309019759</v>
      </c>
      <c r="L24" s="125">
        <f>IFERROR(_xlfn.XLOOKUP($C24,'O&amp;M + Rehab'!$B$5:$B$40,'O&amp;M + Rehab'!$E$5:$E$40,0,0,1),0)</f>
        <v>0</v>
      </c>
      <c r="M24" s="124">
        <f>IFERROR(_xlfn.XLOOKUP($C24,'Capital Cost + RCV'!$B$6:$B$41,'Capital Cost + RCV'!$E$6:$E$41,0,0,1),0)</f>
        <v>0</v>
      </c>
      <c r="N24" s="174">
        <f t="shared" si="0"/>
        <v>10572458.71901812</v>
      </c>
      <c r="O24" s="175">
        <f>IFERROR(SUM(D24,E24,H24,J24:M24,F24)*(1+0.07)^-($C24-Assumptions!$D$11)+I24,0)</f>
        <v>3251363.0357510564</v>
      </c>
    </row>
    <row r="25" spans="3:15" ht="15" customHeight="1" x14ac:dyDescent="0.25">
      <c r="C25" s="171">
        <f t="shared" si="1"/>
        <v>2040</v>
      </c>
      <c r="D25" s="125">
        <f>IFERROR(_xlfn.XLOOKUP($C25,'Travel Time Savings'!$B$6:$B$41,'Travel Time Savings'!$G$6:$G$41,0,0,1),0)</f>
        <v>4024000.7653389</v>
      </c>
      <c r="E25" s="172">
        <f>IFERROR(_xlfn.XLOOKUP($C25,'Construction Travel Time Impact'!$B$6:$B$41,'Construction Travel Time Impact'!$G$6:$G$41,0,0,1),0)</f>
        <v>0</v>
      </c>
      <c r="F25" s="172">
        <f>IFERROR(_xlfn.XLOOKUP($C25,'VOC Savings'!$B$6:$B$41,'VOC Savings'!$G$6:$G$41,0,0,1),0)</f>
        <v>4893113.7712002154</v>
      </c>
      <c r="G25" s="125">
        <f>IFERROR(_xlfn.XLOOKUP($C25,'Air Quality'!$B$6:$B$40,'Air Quality'!$D$6:$D$40,0,0,1),0)</f>
        <v>430551.78694581462</v>
      </c>
      <c r="H25" s="172">
        <f>IFERROR(_xlfn.XLOOKUP($C25,'Air Quality'!$B$6:$B$40,'Air Quality'!$L$6:$L$40,0,0,1),0)</f>
        <v>665353.0781859631</v>
      </c>
      <c r="I25" s="173">
        <f>IFERROR(_xlfn.XLOOKUP($C25,'Air Quality'!$B$6:$B$40,'Air Quality'!$E$6:$E$40,0,0,1),0)</f>
        <v>245537.66791410305</v>
      </c>
      <c r="J25" s="125">
        <f>IFERROR(_xlfn.XLOOKUP($C25,'Safety Improvements'!B$6:B$35,'Safety Improvements'!E$6:E$35,0,0,1),0)</f>
        <v>-81132.853489999994</v>
      </c>
      <c r="K25" s="124">
        <f>IFERROR(_xlfn.XLOOKUP($C25,'Network Crash Savings'!$B$6:$B$35,'Network Crash Savings'!$E$6:$E$35,0,0,1),0)</f>
        <v>690233.08760759491</v>
      </c>
      <c r="L25" s="125">
        <f>IFERROR(_xlfn.XLOOKUP($C25,'O&amp;M + Rehab'!$B$5:$B$40,'O&amp;M + Rehab'!$E$5:$E$40,0,0,1),0)</f>
        <v>0</v>
      </c>
      <c r="M25" s="124">
        <f>IFERROR(_xlfn.XLOOKUP($C25,'Capital Cost + RCV'!$B$6:$B$41,'Capital Cost + RCV'!$E$6:$E$41,0,0,1),0)</f>
        <v>0</v>
      </c>
      <c r="N25" s="174">
        <f t="shared" si="0"/>
        <v>10622119.635788485</v>
      </c>
      <c r="O25" s="175">
        <f>IFERROR(SUM(D25,E25,H25,J25:M25,F25)*(1+0.07)^-($C25-Assumptions!$D$11)+I25,0)</f>
        <v>3063591.1045644581</v>
      </c>
    </row>
    <row r="26" spans="3:15" ht="15" customHeight="1" x14ac:dyDescent="0.25">
      <c r="C26" s="171">
        <f t="shared" si="1"/>
        <v>2041</v>
      </c>
      <c r="D26" s="125">
        <f>IFERROR(_xlfn.XLOOKUP($C26,'Travel Time Savings'!$B$6:$B$41,'Travel Time Savings'!$G$6:$G$41,0,0,1),0)</f>
        <v>4040682.4820077429</v>
      </c>
      <c r="E26" s="172">
        <f>IFERROR(_xlfn.XLOOKUP($C26,'Construction Travel Time Impact'!$B$6:$B$41,'Construction Travel Time Impact'!$G$6:$G$41,0,0,1),0)</f>
        <v>0</v>
      </c>
      <c r="F26" s="172">
        <f>IFERROR(_xlfn.XLOOKUP($C26,'VOC Savings'!$B$6:$B$41,'VOC Savings'!$G$6:$G$41,0,0,1),0)</f>
        <v>4913398.4436741034</v>
      </c>
      <c r="G26" s="125">
        <f>IFERROR(_xlfn.XLOOKUP($C26,'Air Quality'!$B$6:$B$40,'Air Quality'!$D$6:$D$40,0,0,1),0)</f>
        <v>443713.94368509768</v>
      </c>
      <c r="H26" s="172">
        <f>IFERROR(_xlfn.XLOOKUP($C26,'Air Quality'!$B$6:$B$40,'Air Quality'!$L$6:$L$40,0,0,1),0)</f>
        <v>668111.33599511767</v>
      </c>
      <c r="I26" s="173">
        <f>IFERROR(_xlfn.XLOOKUP($C26,'Air Quality'!$B$6:$B$40,'Air Quality'!$E$6:$E$40,0,0,1),0)</f>
        <v>245673.65241283941</v>
      </c>
      <c r="J26" s="125">
        <f>IFERROR(_xlfn.XLOOKUP($C26,'Safety Improvements'!B$6:B$35,'Safety Improvements'!E$6:E$35,0,0,1),0)</f>
        <v>-81469.194200000042</v>
      </c>
      <c r="K26" s="124">
        <f>IFERROR(_xlfn.XLOOKUP($C26,'Network Crash Savings'!$B$6:$B$35,'Network Crash Savings'!$E$6:$E$35,0,0,1),0)</f>
        <v>693079.15212499385</v>
      </c>
      <c r="L26" s="125">
        <f>IFERROR(_xlfn.XLOOKUP($C26,'O&amp;M + Rehab'!$B$5:$B$40,'O&amp;M + Rehab'!$E$5:$E$40,0,0,1),0)</f>
        <v>0</v>
      </c>
      <c r="M26" s="124">
        <f>IFERROR(_xlfn.XLOOKUP($C26,'Capital Cost + RCV'!$B$6:$B$41,'Capital Cost + RCV'!$E$6:$E$41,0,0,1),0)</f>
        <v>0</v>
      </c>
      <c r="N26" s="174">
        <f t="shared" si="0"/>
        <v>10677516.163287055</v>
      </c>
      <c r="O26" s="175">
        <f>IFERROR(SUM(D26,E26,H26,J26:M26,F26)*(1+0.07)^-($C26-Assumptions!$D$11)+I26,0)</f>
        <v>2890282.6169967335</v>
      </c>
    </row>
    <row r="27" spans="3:15" ht="15" customHeight="1" x14ac:dyDescent="0.25">
      <c r="C27" s="171">
        <f t="shared" si="1"/>
        <v>2042</v>
      </c>
      <c r="D27" s="125">
        <f>IFERROR(_xlfn.XLOOKUP($C27,'Travel Time Savings'!$B$6:$B$41,'Travel Time Savings'!$G$6:$G$41,0,0,1),0)</f>
        <v>4057364.1986765852</v>
      </c>
      <c r="E27" s="172">
        <f>IFERROR(_xlfn.XLOOKUP($C27,'Construction Travel Time Impact'!$B$6:$B$41,'Construction Travel Time Impact'!$G$6:$G$41,0,0,1),0)</f>
        <v>0</v>
      </c>
      <c r="F27" s="172">
        <f>IFERROR(_xlfn.XLOOKUP($C27,'VOC Savings'!$B$6:$B$41,'VOC Savings'!$G$6:$G$41,0,0,1),0)</f>
        <v>4933683.1161479857</v>
      </c>
      <c r="G27" s="125">
        <f>IFERROR(_xlfn.XLOOKUP($C27,'Air Quality'!$B$6:$B$40,'Air Quality'!$D$6:$D$40,0,0,1),0)</f>
        <v>451257.91575751384</v>
      </c>
      <c r="H27" s="172">
        <f>IFERROR(_xlfn.XLOOKUP($C27,'Air Quality'!$B$6:$B$40,'Air Quality'!$L$6:$L$40,0,0,1),0)</f>
        <v>670869.59380427189</v>
      </c>
      <c r="I27" s="173">
        <f>IFERROR(_xlfn.XLOOKUP($C27,'Air Quality'!$B$6:$B$40,'Air Quality'!$E$6:$E$40,0,0,1),0)</f>
        <v>242573.36586368456</v>
      </c>
      <c r="J27" s="125">
        <f>IFERROR(_xlfn.XLOOKUP($C27,'Safety Improvements'!B$6:B$35,'Safety Improvements'!E$6:E$35,0,0,1),0)</f>
        <v>-81805.534909999973</v>
      </c>
      <c r="K27" s="124">
        <f>IFERROR(_xlfn.XLOOKUP($C27,'Network Crash Savings'!$B$6:$B$35,'Network Crash Savings'!$E$6:$E$35,0,0,1),0)</f>
        <v>695925.21664239175</v>
      </c>
      <c r="L27" s="125">
        <f>IFERROR(_xlfn.XLOOKUP($C27,'O&amp;M + Rehab'!$B$5:$B$40,'O&amp;M + Rehab'!$E$5:$E$40,0,0,1),0)</f>
        <v>0</v>
      </c>
      <c r="M27" s="124">
        <f>IFERROR(_xlfn.XLOOKUP($C27,'Capital Cost + RCV'!$B$6:$B$41,'Capital Cost + RCV'!$E$6:$E$41,0,0,1),0)</f>
        <v>0</v>
      </c>
      <c r="N27" s="174">
        <f t="shared" si="0"/>
        <v>10727294.506118746</v>
      </c>
      <c r="O27" s="175">
        <f>IFERROR(SUM(D27,E27,H27,J27:M27,F27)*(1+0.07)^-($C27-Assumptions!$D$11)+I27,0)</f>
        <v>2724370.6822748785</v>
      </c>
    </row>
    <row r="28" spans="3:15" ht="15" customHeight="1" x14ac:dyDescent="0.25">
      <c r="C28" s="171">
        <f t="shared" si="1"/>
        <v>2043</v>
      </c>
      <c r="D28" s="125">
        <f>IFERROR(_xlfn.XLOOKUP($C28,'Travel Time Savings'!$B$6:$B$41,'Travel Time Savings'!$G$6:$G$41,0,0,1),0)</f>
        <v>4074045.9153454201</v>
      </c>
      <c r="E28" s="172">
        <f>IFERROR(_xlfn.XLOOKUP($C28,'Construction Travel Time Impact'!$B$6:$B$41,'Construction Travel Time Impact'!$G$6:$G$41,0,0,1),0)</f>
        <v>0</v>
      </c>
      <c r="F28" s="172">
        <f>IFERROR(_xlfn.XLOOKUP($C28,'VOC Savings'!$B$6:$B$41,'VOC Savings'!$G$6:$G$41,0,0,1),0)</f>
        <v>4953967.7886218661</v>
      </c>
      <c r="G28" s="125">
        <f>IFERROR(_xlfn.XLOOKUP($C28,'Air Quality'!$B$6:$B$40,'Air Quality'!$D$6:$D$40,0,0,1),0)</f>
        <v>458848.85825445497</v>
      </c>
      <c r="H28" s="172">
        <f>IFERROR(_xlfn.XLOOKUP($C28,'Air Quality'!$B$6:$B$40,'Air Quality'!$L$6:$L$40,0,0,1),0)</f>
        <v>673627.8516134253</v>
      </c>
      <c r="I28" s="173">
        <f>IFERROR(_xlfn.XLOOKUP($C28,'Air Quality'!$B$6:$B$40,'Air Quality'!$E$6:$E$40,0,0,1),0)</f>
        <v>239469.77816153652</v>
      </c>
      <c r="J28" s="125">
        <f>IFERROR(_xlfn.XLOOKUP($C28,'Safety Improvements'!B$6:B$35,'Safety Improvements'!E$6:E$35,0,0,1),0)</f>
        <v>-82141.875620000006</v>
      </c>
      <c r="K28" s="124">
        <f>IFERROR(_xlfn.XLOOKUP($C28,'Network Crash Savings'!$B$6:$B$35,'Network Crash Savings'!$E$6:$E$35,0,0,1),0)</f>
        <v>698771.28115978837</v>
      </c>
      <c r="L28" s="125">
        <f>IFERROR(_xlfn.XLOOKUP($C28,'O&amp;M + Rehab'!$B$5:$B$40,'O&amp;M + Rehab'!$E$5:$E$40,0,0,1),0)</f>
        <v>0</v>
      </c>
      <c r="M28" s="124">
        <f>IFERROR(_xlfn.XLOOKUP($C28,'Capital Cost + RCV'!$B$6:$B$41,'Capital Cost + RCV'!$E$6:$E$41,0,0,1),0)</f>
        <v>0</v>
      </c>
      <c r="N28" s="174">
        <f t="shared" si="0"/>
        <v>10777119.819374954</v>
      </c>
      <c r="O28" s="175">
        <f>IFERROR(SUM(D28,E28,H28,J28:M28,F28)*(1+0.07)^-($C28-Assumptions!$D$11)+I28,0)</f>
        <v>2568439.3759744968</v>
      </c>
    </row>
    <row r="29" spans="3:15" ht="15" customHeight="1" x14ac:dyDescent="0.25">
      <c r="C29" s="171">
        <f t="shared" si="1"/>
        <v>2044</v>
      </c>
      <c r="D29" s="125">
        <f>IFERROR(_xlfn.XLOOKUP($C29,'Travel Time Savings'!$B$6:$B$41,'Travel Time Savings'!$G$6:$G$41,0,0,1),0)</f>
        <v>4090727.6320142625</v>
      </c>
      <c r="E29" s="172">
        <f>IFERROR(_xlfn.XLOOKUP($C29,'Construction Travel Time Impact'!$B$6:$B$41,'Construction Travel Time Impact'!$G$6:$G$41,0,0,1),0)</f>
        <v>0</v>
      </c>
      <c r="F29" s="172">
        <f>IFERROR(_xlfn.XLOOKUP($C29,'VOC Savings'!$B$6:$B$41,'VOC Savings'!$G$6:$G$41,0,0,1),0)</f>
        <v>4974252.4610957541</v>
      </c>
      <c r="G29" s="125">
        <f>IFERROR(_xlfn.XLOOKUP($C29,'Air Quality'!$B$6:$B$40,'Air Quality'!$D$6:$D$40,0,0,1),0)</f>
        <v>466486.77117592248</v>
      </c>
      <c r="H29" s="172">
        <f>IFERROR(_xlfn.XLOOKUP($C29,'Air Quality'!$B$6:$B$40,'Air Quality'!$L$6:$L$40,0,0,1),0)</f>
        <v>676386.10942258022</v>
      </c>
      <c r="I29" s="173">
        <f>IFERROR(_xlfn.XLOOKUP($C29,'Air Quality'!$B$6:$B$40,'Air Quality'!$E$6:$E$40,0,0,1),0)</f>
        <v>236364.99770645105</v>
      </c>
      <c r="J29" s="125">
        <f>IFERROR(_xlfn.XLOOKUP($C29,'Safety Improvements'!B$6:B$35,'Safety Improvements'!E$6:E$35,0,0,1),0)</f>
        <v>-82478.216329999937</v>
      </c>
      <c r="K29" s="124">
        <f>IFERROR(_xlfn.XLOOKUP($C29,'Network Crash Savings'!$B$6:$B$35,'Network Crash Savings'!$E$6:$E$35,0,0,1),0)</f>
        <v>701617.34567718743</v>
      </c>
      <c r="L29" s="125">
        <f>IFERROR(_xlfn.XLOOKUP($C29,'O&amp;M + Rehab'!$B$5:$B$40,'O&amp;M + Rehab'!$E$5:$E$40,0,0,1),0)</f>
        <v>0</v>
      </c>
      <c r="M29" s="124">
        <f>IFERROR(_xlfn.XLOOKUP($C29,'Capital Cost + RCV'!$B$6:$B$41,'Capital Cost + RCV'!$E$6:$E$41,0,0,1),0)</f>
        <v>0</v>
      </c>
      <c r="N29" s="174">
        <f t="shared" si="0"/>
        <v>10826992.103055708</v>
      </c>
      <c r="O29" s="175">
        <f>IFERROR(SUM(D29,E29,H29,J29:M29,F29)*(1+0.07)^-($C29-Assumptions!$D$11)+I29,0)</f>
        <v>2421881.3073479435</v>
      </c>
    </row>
    <row r="30" spans="3:15" ht="15" hidden="1" customHeight="1" outlineLevel="1" x14ac:dyDescent="0.25">
      <c r="C30" s="171">
        <f>C29+1</f>
        <v>2045</v>
      </c>
      <c r="D30" s="125">
        <f>IFERROR(_xlfn.XLOOKUP($C30,'Travel Time Savings'!$B$6:$B$41,'Travel Time Savings'!$G$6:$G$41,0,0,1),0)</f>
        <v>4107409.3486830993</v>
      </c>
      <c r="E30" s="172">
        <f>IFERROR(_xlfn.XLOOKUP($C30,'Construction Travel Time Impact'!$B$6:$B$41,'Construction Travel Time Impact'!$G$6:$G$41,0,0,1),0)</f>
        <v>0</v>
      </c>
      <c r="F30" s="172">
        <f>IFERROR(_xlfn.XLOOKUP($C30,'VOC Savings'!$B$6:$B$41,'VOC Savings'!$G$6:$G$41,0,0,1),0)</f>
        <v>4994537.1335696392</v>
      </c>
      <c r="G30" s="125">
        <f>IFERROR(_xlfn.XLOOKUP($C30,'Air Quality'!$B$6:$B$40,'Air Quality'!$D$6:$D$40,0,0,1),0)</f>
        <v>474171.65452191513</v>
      </c>
      <c r="H30" s="172">
        <f>IFERROR(_xlfn.XLOOKUP($C30,'Air Quality'!$B$6:$B$40,'Air Quality'!$L$6:$L$40,0,0,1),0)</f>
        <v>679144.36723173421</v>
      </c>
      <c r="I30" s="173">
        <f>IFERROR(_xlfn.XLOOKUP($C30,'Air Quality'!$B$6:$B$40,'Air Quality'!$E$6:$E$40,0,0,1),0)</f>
        <v>233261.03367525275</v>
      </c>
      <c r="J30" s="125">
        <f>IFERROR(_xlfn.XLOOKUP($C30,'Safety Improvements'!B$6:B$35,'Safety Improvements'!E$6:E$35,0,0,1),0)</f>
        <v>-82814.557039999971</v>
      </c>
      <c r="K30" s="124">
        <f>IFERROR(_xlfn.XLOOKUP($C30,'Network Crash Savings'!$B$6:$B$35,'Network Crash Savings'!$E$6:$E$35,0,0,1),0)</f>
        <v>704463.41019458522</v>
      </c>
      <c r="L30" s="125">
        <f>IFERROR(_xlfn.XLOOKUP($C30,'O&amp;M + Rehab'!$B$5:$B$40,'O&amp;M + Rehab'!$E$5:$E$40,0,0,1),0)</f>
        <v>-399280.00000000006</v>
      </c>
      <c r="M30" s="124">
        <f>IFERROR(_xlfn.XLOOKUP($C30,'Capital Cost + RCV'!$B$6:$B$41,'Capital Cost + RCV'!$E$6:$E$41,0,0,1),0)</f>
        <v>0</v>
      </c>
      <c r="N30" s="174">
        <f t="shared" si="0"/>
        <v>10477631.357160974</v>
      </c>
      <c r="O30" s="175">
        <f>IFERROR(SUM(D30,E30,H30,J30:M30,F30)*(1+0.07)^-($C30-Assumptions!$D$11)+I30,0)</f>
        <v>2205409.3018445349</v>
      </c>
    </row>
    <row r="31" spans="3:15" ht="15" hidden="1" customHeight="1" outlineLevel="1" x14ac:dyDescent="0.25">
      <c r="C31" s="171">
        <f>C30+1</f>
        <v>2046</v>
      </c>
      <c r="D31" s="125">
        <f>IFERROR(_xlfn.XLOOKUP($C31,'Travel Time Savings'!$B$6:$B$41,'Travel Time Savings'!$G$6:$G$41,0,0,1),0)</f>
        <v>0</v>
      </c>
      <c r="E31" s="172">
        <f>IFERROR(_xlfn.XLOOKUP($C31,'Construction Travel Time Impact'!$B$6:$B$41,'Construction Travel Time Impact'!$G$6:$G$41,0,0,1),0)</f>
        <v>0</v>
      </c>
      <c r="F31" s="172">
        <f>IFERROR(_xlfn.XLOOKUP($C31,'VOC Savings'!$B$6:$B$41,'VOC Savings'!$G$6:$G$41,0,0,1),0)</f>
        <v>0</v>
      </c>
      <c r="G31" s="125">
        <f>IFERROR(_xlfn.XLOOKUP($C31,'Air Quality'!$B$6:$B$40,'Air Quality'!$D$6:$D$40,0,0,1),0)</f>
        <v>0</v>
      </c>
      <c r="H31" s="172">
        <f>IFERROR(_xlfn.XLOOKUP($C31,'Air Quality'!$B$6:$B$40,'Air Quality'!$L$6:$L$40,0,0,1),0)</f>
        <v>0</v>
      </c>
      <c r="I31" s="173">
        <f>IFERROR(_xlfn.XLOOKUP($C31,'Air Quality'!$B$6:$B$40,'Air Quality'!$E$6:$E$40,0,0,1),0)</f>
        <v>0</v>
      </c>
      <c r="J31" s="125">
        <f>IFERROR(_xlfn.XLOOKUP($C31,'Safety Improvements'!B$6:B$35,'Safety Improvements'!E$6:E$35,0,0,1),0)</f>
        <v>0</v>
      </c>
      <c r="K31" s="124">
        <f>IFERROR(_xlfn.XLOOKUP($C31,'Network Crash Savings'!$B$6:$B$35,'Network Crash Savings'!$E$6:$E$35,0,0,1),0)</f>
        <v>0</v>
      </c>
      <c r="L31" s="125">
        <f>IFERROR(_xlfn.XLOOKUP($C31,'O&amp;M + Rehab'!$B$5:$B$40,'O&amp;M + Rehab'!$E$5:$E$40,0,0,1),0)</f>
        <v>0</v>
      </c>
      <c r="M31" s="124">
        <f>IFERROR(_xlfn.XLOOKUP($C31,'Capital Cost + RCV'!$B$6:$B$41,'Capital Cost + RCV'!$E$6:$E$41,0,0,1),0)</f>
        <v>0</v>
      </c>
      <c r="N31" s="174">
        <f t="shared" si="0"/>
        <v>0</v>
      </c>
      <c r="O31" s="175">
        <f>IFERROR(SUM(D31,E31,H31,J31:M31,F31)*(1+0.07)^-($C31-Assumptions!$D$11)+I31,0)</f>
        <v>0</v>
      </c>
    </row>
    <row r="32" spans="3:15" ht="15" hidden="1" customHeight="1" outlineLevel="1" x14ac:dyDescent="0.25">
      <c r="C32" s="171">
        <f t="shared" si="1"/>
        <v>2047</v>
      </c>
      <c r="D32" s="125">
        <f>IFERROR(_xlfn.XLOOKUP($C32,'Travel Time Savings'!$B$6:$B$41,'Travel Time Savings'!$G$6:$G$41,0,0,1),0)</f>
        <v>0</v>
      </c>
      <c r="E32" s="172">
        <f>IFERROR(_xlfn.XLOOKUP($C32,'Construction Travel Time Impact'!$B$6:$B$41,'Construction Travel Time Impact'!$G$6:$G$41,0,0,1),0)</f>
        <v>0</v>
      </c>
      <c r="F32" s="172">
        <f>IFERROR(_xlfn.XLOOKUP($C32,'VOC Savings'!$B$6:$B$41,'VOC Savings'!$G$6:$G$41,0,0,1),0)</f>
        <v>0</v>
      </c>
      <c r="G32" s="125">
        <f>IFERROR(_xlfn.XLOOKUP($C32,'Air Quality'!$B$6:$B$40,'Air Quality'!$D$6:$D$40,0,0,1),0)</f>
        <v>0</v>
      </c>
      <c r="H32" s="172">
        <f>IFERROR(_xlfn.XLOOKUP($C32,'Air Quality'!$B$6:$B$40,'Air Quality'!$L$6:$L$40,0,0,1),0)</f>
        <v>0</v>
      </c>
      <c r="I32" s="173">
        <f>IFERROR(_xlfn.XLOOKUP($C32,'Air Quality'!$B$6:$B$40,'Air Quality'!$E$6:$E$40,0,0,1),0)</f>
        <v>0</v>
      </c>
      <c r="J32" s="125">
        <f>IFERROR(_xlfn.XLOOKUP($C32,'Safety Improvements'!B$6:B$35,'Safety Improvements'!E$6:E$35,0,0,1),0)</f>
        <v>0</v>
      </c>
      <c r="K32" s="124">
        <f>IFERROR(_xlfn.XLOOKUP($C32,'Network Crash Savings'!$B$6:$B$35,'Network Crash Savings'!$E$6:$E$35,0,0,1),0)</f>
        <v>0</v>
      </c>
      <c r="L32" s="125">
        <f>IFERROR(_xlfn.XLOOKUP($C32,'O&amp;M + Rehab'!$B$5:$B$40,'O&amp;M + Rehab'!$E$5:$E$40,0,0,1),0)</f>
        <v>0</v>
      </c>
      <c r="M32" s="124">
        <f>IFERROR(_xlfn.XLOOKUP($C32,'Capital Cost + RCV'!$B$6:$B$41,'Capital Cost + RCV'!$E$6:$E$41,0,0,1),0)</f>
        <v>0</v>
      </c>
      <c r="N32" s="174">
        <f t="shared" si="0"/>
        <v>0</v>
      </c>
      <c r="O32" s="175">
        <f>IFERROR(SUM(D32,E32,H32,J32:M32,F32)*(1+0.07)^-($C32-Assumptions!$D$11)+I32,0)</f>
        <v>0</v>
      </c>
    </row>
    <row r="33" spans="3:15" ht="15" hidden="1" customHeight="1" outlineLevel="1" x14ac:dyDescent="0.25">
      <c r="C33" s="171">
        <f t="shared" si="1"/>
        <v>2048</v>
      </c>
      <c r="D33" s="125">
        <f>IFERROR(_xlfn.XLOOKUP($C33,'Travel Time Savings'!$B$6:$B$41,'Travel Time Savings'!$G$6:$G$41,0,0,1),0)</f>
        <v>0</v>
      </c>
      <c r="E33" s="172">
        <f>IFERROR(_xlfn.XLOOKUP($C33,'Construction Travel Time Impact'!$B$6:$B$41,'Construction Travel Time Impact'!$G$6:$G$41,0,0,1),0)</f>
        <v>0</v>
      </c>
      <c r="F33" s="172">
        <f>IFERROR(_xlfn.XLOOKUP($C33,'VOC Savings'!$B$6:$B$41,'VOC Savings'!$G$6:$G$41,0,0,1),0)</f>
        <v>0</v>
      </c>
      <c r="G33" s="125">
        <f>IFERROR(_xlfn.XLOOKUP($C33,'Air Quality'!$B$6:$B$40,'Air Quality'!$D$6:$D$40,0,0,1),0)</f>
        <v>0</v>
      </c>
      <c r="H33" s="172">
        <f>IFERROR(_xlfn.XLOOKUP($C33,'Air Quality'!$B$6:$B$40,'Air Quality'!$L$6:$L$40,0,0,1),0)</f>
        <v>0</v>
      </c>
      <c r="I33" s="173">
        <f>IFERROR(_xlfn.XLOOKUP($C33,'Air Quality'!$B$6:$B$40,'Air Quality'!$E$6:$E$40,0,0,1),0)</f>
        <v>0</v>
      </c>
      <c r="J33" s="125">
        <f>IFERROR(_xlfn.XLOOKUP($C33,'Safety Improvements'!B$6:B$35,'Safety Improvements'!E$6:E$35,0,0,1),0)</f>
        <v>0</v>
      </c>
      <c r="K33" s="124">
        <f>IFERROR(_xlfn.XLOOKUP($C33,'Network Crash Savings'!$B$6:$B$35,'Network Crash Savings'!$E$6:$E$35,0,0,1),0)</f>
        <v>0</v>
      </c>
      <c r="L33" s="125">
        <f>IFERROR(_xlfn.XLOOKUP($C33,'O&amp;M + Rehab'!$B$5:$B$40,'O&amp;M + Rehab'!$E$5:$E$40,0,0,1),0)</f>
        <v>0</v>
      </c>
      <c r="M33" s="124">
        <f>IFERROR(_xlfn.XLOOKUP($C33,'Capital Cost + RCV'!$B$6:$B$41,'Capital Cost + RCV'!$E$6:$E$41,0,0,1),0)</f>
        <v>0</v>
      </c>
      <c r="N33" s="174">
        <f t="shared" si="0"/>
        <v>0</v>
      </c>
      <c r="O33" s="175">
        <f>IFERROR(SUM(D33,E33,H33,J33:M33,F33)*(1+0.07)^-($C33-Assumptions!$D$11)+I33,0)</f>
        <v>0</v>
      </c>
    </row>
    <row r="34" spans="3:15" ht="15" hidden="1" customHeight="1" outlineLevel="1" x14ac:dyDescent="0.25">
      <c r="C34" s="171">
        <f t="shared" si="1"/>
        <v>2049</v>
      </c>
      <c r="D34" s="125">
        <f>IFERROR(_xlfn.XLOOKUP($C34,'Travel Time Savings'!$B$6:$B$41,'Travel Time Savings'!$G$6:$G$41,0,0,1),0)</f>
        <v>0</v>
      </c>
      <c r="E34" s="172">
        <f>IFERROR(_xlfn.XLOOKUP($C34,'Construction Travel Time Impact'!$B$6:$B$41,'Construction Travel Time Impact'!$G$6:$G$41,0,0,1),0)</f>
        <v>0</v>
      </c>
      <c r="F34" s="172">
        <f>IFERROR(_xlfn.XLOOKUP($C34,'VOC Savings'!$B$6:$B$41,'VOC Savings'!$G$6:$G$41,0,0,1),0)</f>
        <v>0</v>
      </c>
      <c r="G34" s="125">
        <f>IFERROR(_xlfn.XLOOKUP($C34,'Air Quality'!$B$6:$B$40,'Air Quality'!$D$6:$D$40,0,0,1),0)</f>
        <v>0</v>
      </c>
      <c r="H34" s="172">
        <f>IFERROR(_xlfn.XLOOKUP($C34,'Air Quality'!$B$6:$B$40,'Air Quality'!$L$6:$L$40,0,0,1),0)</f>
        <v>0</v>
      </c>
      <c r="I34" s="173">
        <f>IFERROR(_xlfn.XLOOKUP($C34,'Air Quality'!$B$6:$B$40,'Air Quality'!$E$6:$E$40,0,0,1),0)</f>
        <v>0</v>
      </c>
      <c r="J34" s="125">
        <f>IFERROR(_xlfn.XLOOKUP($C34,'Safety Improvements'!B$6:B$35,'Safety Improvements'!E$6:E$35,0,0,1),0)</f>
        <v>0</v>
      </c>
      <c r="K34" s="124">
        <f>IFERROR(_xlfn.XLOOKUP($C34,'Network Crash Savings'!$B$6:$B$35,'Network Crash Savings'!$E$6:$E$35,0,0,1),0)</f>
        <v>0</v>
      </c>
      <c r="L34" s="125">
        <f>IFERROR(_xlfn.XLOOKUP($C34,'O&amp;M + Rehab'!$B$5:$B$40,'O&amp;M + Rehab'!$E$5:$E$40,0,0,1),0)</f>
        <v>0</v>
      </c>
      <c r="M34" s="124">
        <f>IFERROR(_xlfn.XLOOKUP($C34,'Capital Cost + RCV'!$B$6:$B$41,'Capital Cost + RCV'!$E$6:$E$41,0,0,1),0)</f>
        <v>0</v>
      </c>
      <c r="N34" s="174">
        <f t="shared" si="0"/>
        <v>0</v>
      </c>
      <c r="O34" s="175">
        <f>IFERROR(SUM(D34,E34,H34,J34:M34,F34)*(1+0.07)^-($C34-Assumptions!$D$11)+I34,0)</f>
        <v>0</v>
      </c>
    </row>
    <row r="35" spans="3:15" ht="15" hidden="1" customHeight="1" outlineLevel="1" x14ac:dyDescent="0.25">
      <c r="C35" s="171">
        <f t="shared" si="1"/>
        <v>2050</v>
      </c>
      <c r="D35" s="125">
        <f>IFERROR(_xlfn.XLOOKUP($C35,'Travel Time Savings'!$B$6:$B$41,'Travel Time Savings'!$G$6:$G$41,0,0,1),0)</f>
        <v>0</v>
      </c>
      <c r="E35" s="172">
        <f>IFERROR(_xlfn.XLOOKUP($C35,'Construction Travel Time Impact'!$B$6:$B$41,'Construction Travel Time Impact'!$G$6:$G$41,0,0,1),0)</f>
        <v>0</v>
      </c>
      <c r="F35" s="172">
        <f>IFERROR(_xlfn.XLOOKUP($C35,'VOC Savings'!$B$6:$B$41,'VOC Savings'!$G$6:$G$41,0,0,1),0)</f>
        <v>0</v>
      </c>
      <c r="G35" s="125">
        <f>IFERROR(_xlfn.XLOOKUP($C35,'Air Quality'!$B$6:$B$40,'Air Quality'!$D$6:$D$40,0,0,1),0)</f>
        <v>0</v>
      </c>
      <c r="H35" s="172">
        <f>IFERROR(_xlfn.XLOOKUP($C35,'Air Quality'!$B$6:$B$40,'Air Quality'!$L$6:$L$40,0,0,1),0)</f>
        <v>0</v>
      </c>
      <c r="I35" s="173">
        <f>IFERROR(_xlfn.XLOOKUP($C35,'Air Quality'!$B$6:$B$40,'Air Quality'!$E$6:$E$40,0,0,1),0)</f>
        <v>0</v>
      </c>
      <c r="J35" s="125">
        <f>IFERROR(_xlfn.XLOOKUP($C35,'Safety Improvements'!B$6:B$35,'Safety Improvements'!E$6:E$35,0,0,1),0)</f>
        <v>0</v>
      </c>
      <c r="K35" s="124">
        <f>IFERROR(_xlfn.XLOOKUP($C35,'Network Crash Savings'!$B$6:$B$35,'Network Crash Savings'!$E$6:$E$35,0,0,1),0)</f>
        <v>0</v>
      </c>
      <c r="L35" s="125">
        <f>IFERROR(_xlfn.XLOOKUP($C35,'O&amp;M + Rehab'!$B$5:$B$40,'O&amp;M + Rehab'!$E$5:$E$40,0,0,1),0)</f>
        <v>0</v>
      </c>
      <c r="M35" s="124">
        <f>IFERROR(_xlfn.XLOOKUP($C35,'Capital Cost + RCV'!$B$6:$B$41,'Capital Cost + RCV'!$E$6:$E$41,0,0,1),0)</f>
        <v>0</v>
      </c>
      <c r="N35" s="174">
        <f t="shared" si="0"/>
        <v>0</v>
      </c>
      <c r="O35" s="175">
        <f>IFERROR(SUM(D35,E35,H35,J35:M35,F35)*(1+0.07)^-($C35-Assumptions!$D$11)+I35,0)</f>
        <v>0</v>
      </c>
    </row>
    <row r="36" spans="3:15" ht="15" hidden="1" customHeight="1" outlineLevel="1" x14ac:dyDescent="0.25">
      <c r="C36" s="171">
        <f t="shared" si="1"/>
        <v>2051</v>
      </c>
      <c r="D36" s="125">
        <f>IFERROR(_xlfn.XLOOKUP($C36,'Travel Time Savings'!$B$6:$B$41,'Travel Time Savings'!$G$6:$G$41,0,0,1),0)</f>
        <v>0</v>
      </c>
      <c r="E36" s="172">
        <f>IFERROR(_xlfn.XLOOKUP($C36,'Construction Travel Time Impact'!$B$6:$B$41,'Construction Travel Time Impact'!$G$6:$G$41,0,0,1),0)</f>
        <v>0</v>
      </c>
      <c r="F36" s="172">
        <f>IFERROR(_xlfn.XLOOKUP($C36,'VOC Savings'!$B$6:$B$41,'VOC Savings'!$G$6:$G$41,0,0,1),0)</f>
        <v>0</v>
      </c>
      <c r="G36" s="125">
        <f>IFERROR(_xlfn.XLOOKUP($C36,'Air Quality'!$B$6:$B$40,'Air Quality'!$D$6:$D$40,0,0,1),0)</f>
        <v>0</v>
      </c>
      <c r="H36" s="172">
        <f>IFERROR(_xlfn.XLOOKUP($C36,'Air Quality'!$B$6:$B$40,'Air Quality'!$L$6:$L$40,0,0,1),0)</f>
        <v>0</v>
      </c>
      <c r="I36" s="173">
        <f>IFERROR(_xlfn.XLOOKUP($C36,'Air Quality'!$B$6:$B$40,'Air Quality'!$E$6:$E$40,0,0,1),0)</f>
        <v>0</v>
      </c>
      <c r="J36" s="125">
        <f>IFERROR(_xlfn.XLOOKUP($C36,'Safety Improvements'!B$6:B$35,'Safety Improvements'!E$6:E$35,0,0,1),0)</f>
        <v>0</v>
      </c>
      <c r="K36" s="124">
        <f>IFERROR(_xlfn.XLOOKUP($C36,'Network Crash Savings'!$B$6:$B$35,'Network Crash Savings'!$E$6:$E$35,0,0,1),0)</f>
        <v>0</v>
      </c>
      <c r="L36" s="125">
        <f>IFERROR(_xlfn.XLOOKUP($C36,'O&amp;M + Rehab'!$B$5:$B$40,'O&amp;M + Rehab'!$E$5:$E$40,0,0,1),0)</f>
        <v>0</v>
      </c>
      <c r="M36" s="124">
        <f>IFERROR(_xlfn.XLOOKUP($C36,'Capital Cost + RCV'!$B$6:$B$41,'Capital Cost + RCV'!$E$6:$E$41,0,0,1),0)</f>
        <v>0</v>
      </c>
      <c r="N36" s="174">
        <f t="shared" si="0"/>
        <v>0</v>
      </c>
      <c r="O36" s="175">
        <f>IFERROR(SUM(D36,E36,H36,J36:M36,F36)*(1+0.07)^-($C36-Assumptions!$D$11)+I36,0)</f>
        <v>0</v>
      </c>
    </row>
    <row r="37" spans="3:15" ht="15" hidden="1" customHeight="1" outlineLevel="1" x14ac:dyDescent="0.25">
      <c r="C37" s="171">
        <f t="shared" si="1"/>
        <v>2052</v>
      </c>
      <c r="D37" s="125">
        <f>IFERROR(_xlfn.XLOOKUP($C37,'Travel Time Savings'!$B$6:$B$41,'Travel Time Savings'!$G$6:$G$41,0,0,1),0)</f>
        <v>0</v>
      </c>
      <c r="E37" s="172">
        <f>IFERROR(_xlfn.XLOOKUP($C37,'Construction Travel Time Impact'!$B$6:$B$41,'Construction Travel Time Impact'!$G$6:$G$41,0,0,1),0)</f>
        <v>0</v>
      </c>
      <c r="F37" s="172">
        <f>IFERROR(_xlfn.XLOOKUP($C37,'VOC Savings'!$B$6:$B$41,'VOC Savings'!$G$6:$G$41,0,0,1),0)</f>
        <v>0</v>
      </c>
      <c r="G37" s="125">
        <f>IFERROR(_xlfn.XLOOKUP($C37,'Air Quality'!$B$6:$B$40,'Air Quality'!$D$6:$D$40,0,0,1),0)</f>
        <v>0</v>
      </c>
      <c r="H37" s="172">
        <f>IFERROR(_xlfn.XLOOKUP($C37,'Air Quality'!$B$6:$B$40,'Air Quality'!$L$6:$L$40,0,0,1),0)</f>
        <v>0</v>
      </c>
      <c r="I37" s="173">
        <f>IFERROR(_xlfn.XLOOKUP($C37,'Air Quality'!$B$6:$B$40,'Air Quality'!$E$6:$E$40,0,0,1),0)</f>
        <v>0</v>
      </c>
      <c r="J37" s="125">
        <f>IFERROR(_xlfn.XLOOKUP($C37,'Safety Improvements'!B$6:B$35,'Safety Improvements'!E$6:E$35,0,0,1),0)</f>
        <v>0</v>
      </c>
      <c r="K37" s="124">
        <f>IFERROR(_xlfn.XLOOKUP($C37,'Network Crash Savings'!$B$6:$B$35,'Network Crash Savings'!$E$6:$E$35,0,0,1),0)</f>
        <v>0</v>
      </c>
      <c r="L37" s="125">
        <f>IFERROR(_xlfn.XLOOKUP($C37,'O&amp;M + Rehab'!$B$5:$B$40,'O&amp;M + Rehab'!$E$5:$E$40,0,0,1),0)</f>
        <v>0</v>
      </c>
      <c r="M37" s="124">
        <f>IFERROR(_xlfn.XLOOKUP($C37,'Capital Cost + RCV'!$B$6:$B$41,'Capital Cost + RCV'!$E$6:$E$41,0,0,1),0)</f>
        <v>0</v>
      </c>
      <c r="N37" s="174">
        <f t="shared" si="0"/>
        <v>0</v>
      </c>
      <c r="O37" s="175">
        <f>IFERROR(SUM(D37,E37,H37,J37:M37,F37)*(1+0.07)^-($C37-Assumptions!$D$11)+I37,0)</f>
        <v>0</v>
      </c>
    </row>
    <row r="38" spans="3:15" ht="15" hidden="1" customHeight="1" outlineLevel="1" x14ac:dyDescent="0.25">
      <c r="C38" s="105">
        <f t="shared" si="1"/>
        <v>2053</v>
      </c>
      <c r="D38" s="125">
        <f>IFERROR(_xlfn.XLOOKUP($C38,'Travel Time Savings'!$B$6:$B$41,'Travel Time Savings'!$G$6:$G$41,0,0,1),0)</f>
        <v>0</v>
      </c>
      <c r="E38" s="172">
        <f>IFERROR(_xlfn.XLOOKUP($C38,'Construction Travel Time Impact'!$B$6:$B$41,'Construction Travel Time Impact'!$G$6:$G$41,0,0,1),0)</f>
        <v>0</v>
      </c>
      <c r="F38" s="172">
        <f>IFERROR(_xlfn.XLOOKUP($C38,'VOC Savings'!$B$6:$B$41,'VOC Savings'!$G$6:$G$41,0,0,1),0)</f>
        <v>0</v>
      </c>
      <c r="G38" s="125">
        <f>IFERROR(_xlfn.XLOOKUP($C38,'Air Quality'!$B$6:$B$40,'Air Quality'!$D$6:$D$40,0,0,1),0)</f>
        <v>0</v>
      </c>
      <c r="H38" s="172">
        <f>IFERROR(_xlfn.XLOOKUP($C38,'Air Quality'!$B$6:$B$40,'Air Quality'!$L$6:$L$40,0,0,1),0)</f>
        <v>0</v>
      </c>
      <c r="I38" s="173">
        <f>IFERROR(_xlfn.XLOOKUP($C38,'Air Quality'!$B$6:$B$40,'Air Quality'!$E$6:$E$40,0,0,1),0)</f>
        <v>0</v>
      </c>
      <c r="J38" s="125">
        <f>IFERROR(_xlfn.XLOOKUP($C38,'Safety Improvements'!B$6:B$35,'Safety Improvements'!E$6:E$35,0,0,1),0)</f>
        <v>0</v>
      </c>
      <c r="K38" s="124">
        <f>IFERROR(_xlfn.XLOOKUP($C38,'Network Crash Savings'!$B$6:$B$35,'Network Crash Savings'!$E$6:$E$35,0,0,1),0)</f>
        <v>0</v>
      </c>
      <c r="L38" s="125">
        <f>IFERROR(_xlfn.XLOOKUP($C38,'O&amp;M + Rehab'!$B$5:$B$40,'O&amp;M + Rehab'!$E$5:$E$40,0,0,1),0)</f>
        <v>0</v>
      </c>
      <c r="M38" s="124">
        <f>IFERROR(_xlfn.XLOOKUP($C38,'Capital Cost + RCV'!$B$6:$B$41,'Capital Cost + RCV'!$E$6:$E$41,0,0,1),0)</f>
        <v>0</v>
      </c>
      <c r="N38" s="174">
        <f t="shared" si="0"/>
        <v>0</v>
      </c>
      <c r="O38" s="175">
        <f>IFERROR(SUM(D38,E38,H38,J38:M38,F38)*(1+0.07)^-($C38-Assumptions!$D$11)+I38,0)</f>
        <v>0</v>
      </c>
    </row>
    <row r="39" spans="3:15" ht="15" hidden="1" customHeight="1" outlineLevel="1" x14ac:dyDescent="0.25">
      <c r="C39" s="105">
        <f t="shared" si="1"/>
        <v>2054</v>
      </c>
      <c r="D39" s="125">
        <f>IFERROR(_xlfn.XLOOKUP($C39,'Travel Time Savings'!$B$6:$B$41,'Travel Time Savings'!$G$6:$G$41,0,0,1),0)</f>
        <v>0</v>
      </c>
      <c r="E39" s="172">
        <f>IFERROR(_xlfn.XLOOKUP($C39,'Construction Travel Time Impact'!$B$6:$B$41,'Construction Travel Time Impact'!$G$6:$G$41,0,0,1),0)</f>
        <v>0</v>
      </c>
      <c r="F39" s="172">
        <f>IFERROR(_xlfn.XLOOKUP($C39,'VOC Savings'!$B$6:$B$41,'VOC Savings'!$G$6:$G$41,0,0,1),0)</f>
        <v>0</v>
      </c>
      <c r="G39" s="125">
        <f>IFERROR(_xlfn.XLOOKUP($C39,'Air Quality'!$B$6:$B$40,'Air Quality'!$D$6:$D$40,0,0,1),0)</f>
        <v>0</v>
      </c>
      <c r="H39" s="172">
        <f>IFERROR(_xlfn.XLOOKUP($C39,'Air Quality'!$B$6:$B$40,'Air Quality'!$L$6:$L$40,0,0,1),0)</f>
        <v>0</v>
      </c>
      <c r="I39" s="173">
        <f>IFERROR(_xlfn.XLOOKUP($C39,'Air Quality'!$B$6:$B$40,'Air Quality'!$E$6:$E$40,0,0,1),0)</f>
        <v>0</v>
      </c>
      <c r="J39" s="125">
        <f>IFERROR(_xlfn.XLOOKUP($C39,'Safety Improvements'!B$6:B$35,'Safety Improvements'!E$6:E$35,0,0,1),0)</f>
        <v>0</v>
      </c>
      <c r="K39" s="124">
        <f>IFERROR(_xlfn.XLOOKUP($C39,'Network Crash Savings'!$B$6:$B$35,'Network Crash Savings'!$E$6:$E$35,0,0,1),0)</f>
        <v>0</v>
      </c>
      <c r="L39" s="125">
        <f>IFERROR(_xlfn.XLOOKUP($C39,'O&amp;M + Rehab'!$B$5:$B$40,'O&amp;M + Rehab'!$E$5:$E$40,0,0,1),0)</f>
        <v>0</v>
      </c>
      <c r="M39" s="124">
        <f>IFERROR(_xlfn.XLOOKUP($C39,'Capital Cost + RCV'!$B$6:$B$41,'Capital Cost + RCV'!$E$6:$E$41,0,0,1),0)</f>
        <v>0</v>
      </c>
      <c r="N39" s="174">
        <f t="shared" si="0"/>
        <v>0</v>
      </c>
      <c r="O39" s="175">
        <f>IFERROR(SUM(D39,E39,H39,J39:M39,F39)*(1+0.07)^-($C39-Assumptions!$D$11)+I39,0)</f>
        <v>0</v>
      </c>
    </row>
    <row r="40" spans="3:15" ht="15" hidden="1" customHeight="1" outlineLevel="1" x14ac:dyDescent="0.25">
      <c r="C40" s="105">
        <f t="shared" si="1"/>
        <v>2055</v>
      </c>
      <c r="D40" s="125">
        <f>IFERROR(_xlfn.XLOOKUP($C40,'Travel Time Savings'!$B$6:$B$41,'Travel Time Savings'!$G$6:$G$41,0,0,1),0)</f>
        <v>0</v>
      </c>
      <c r="E40" s="172">
        <f>IFERROR(_xlfn.XLOOKUP($C40,'Construction Travel Time Impact'!$B$6:$B$41,'Construction Travel Time Impact'!$G$6:$G$41,0,0,1),0)</f>
        <v>0</v>
      </c>
      <c r="F40" s="172">
        <f>IFERROR(_xlfn.XLOOKUP($C40,'VOC Savings'!$B$6:$B$41,'VOC Savings'!$G$6:$G$41,0,0,1),0)</f>
        <v>0</v>
      </c>
      <c r="G40" s="125">
        <f>IFERROR(_xlfn.XLOOKUP($C40,'Air Quality'!$B$6:$B$40,'Air Quality'!$D$6:$D$40,0,0,1),0)</f>
        <v>0</v>
      </c>
      <c r="H40" s="172">
        <f>IFERROR(_xlfn.XLOOKUP($C40,'Air Quality'!$B$6:$B$40,'Air Quality'!$L$6:$L$40,0,0,1),0)</f>
        <v>0</v>
      </c>
      <c r="I40" s="173">
        <f>IFERROR(_xlfn.XLOOKUP($C40,'Air Quality'!$B$6:$B$40,'Air Quality'!$E$6:$E$40,0,0,1),0)</f>
        <v>0</v>
      </c>
      <c r="J40" s="125">
        <f>IFERROR(_xlfn.XLOOKUP($C40,'Safety Improvements'!B$6:B$35,'Safety Improvements'!E$6:E$35,0,0,1),0)</f>
        <v>0</v>
      </c>
      <c r="K40" s="124">
        <f>IFERROR(_xlfn.XLOOKUP($C40,'Network Crash Savings'!$B$6:$B$35,'Network Crash Savings'!$E$6:$E$35,0,0,1),0)</f>
        <v>0</v>
      </c>
      <c r="L40" s="125">
        <f>IFERROR(_xlfn.XLOOKUP($C40,'O&amp;M + Rehab'!$B$5:$B$40,'O&amp;M + Rehab'!$E$5:$E$40,0,0,1),0)</f>
        <v>0</v>
      </c>
      <c r="M40" s="124">
        <f>IFERROR(_xlfn.XLOOKUP($C40,'Capital Cost + RCV'!$B$6:$B$41,'Capital Cost + RCV'!$E$6:$E$41,0,0,1),0)</f>
        <v>0</v>
      </c>
      <c r="N40" s="174">
        <f t="shared" ref="N40:N68" si="2">IFERROR(SUM(D40:H40,J40:M40),0)</f>
        <v>0</v>
      </c>
      <c r="O40" s="175">
        <f>IFERROR(SUM(D40,E40,H40,J40:M40,F40)*(1+0.07)^-($C40-Assumptions!$D$11)+I40,0)</f>
        <v>0</v>
      </c>
    </row>
    <row r="41" spans="3:15" ht="15" hidden="1" customHeight="1" outlineLevel="1" x14ac:dyDescent="0.25">
      <c r="C41" s="105">
        <f t="shared" si="1"/>
        <v>2056</v>
      </c>
      <c r="D41" s="125">
        <f>IFERROR(_xlfn.XLOOKUP($C41,'Travel Time Savings'!$B$6:$B$41,'Travel Time Savings'!$G$6:$G$41,0,0,1),0)</f>
        <v>0</v>
      </c>
      <c r="E41" s="172">
        <f>IFERROR(_xlfn.XLOOKUP($C41,'Construction Travel Time Impact'!$B$6:$B$41,'Construction Travel Time Impact'!$G$6:$G$41,0,0,1),0)</f>
        <v>0</v>
      </c>
      <c r="F41" s="172">
        <f>IFERROR(_xlfn.XLOOKUP($C41,'VOC Savings'!$B$6:$B$41,'VOC Savings'!$G$6:$G$41,0,0,1),0)</f>
        <v>0</v>
      </c>
      <c r="G41" s="125">
        <f>IFERROR(_xlfn.XLOOKUP($C41,'Air Quality'!$B$6:$B$40,'Air Quality'!$D$6:$D$40,0,0,1),0)</f>
        <v>0</v>
      </c>
      <c r="H41" s="172">
        <f>IFERROR(_xlfn.XLOOKUP($C41,'Air Quality'!$B$6:$B$40,'Air Quality'!$L$6:$L$40,0,0,1),0)</f>
        <v>0</v>
      </c>
      <c r="I41" s="173">
        <f>IFERROR(_xlfn.XLOOKUP($C41,'Air Quality'!$B$6:$B$40,'Air Quality'!$E$6:$E$40,0,0,1),0)</f>
        <v>0</v>
      </c>
      <c r="J41" s="125">
        <f>IFERROR(_xlfn.XLOOKUP($C41,'Safety Improvements'!B$6:B$35,'Safety Improvements'!E$6:E$35,0,0,1),0)</f>
        <v>0</v>
      </c>
      <c r="K41" s="124">
        <f>IFERROR(_xlfn.XLOOKUP($C41,'Network Crash Savings'!$B$6:$B$35,'Network Crash Savings'!$E$6:$E$35,0,0,1),0)</f>
        <v>0</v>
      </c>
      <c r="L41" s="125">
        <f>IFERROR(_xlfn.XLOOKUP($C41,'O&amp;M + Rehab'!$B$5:$B$40,'O&amp;M + Rehab'!$E$5:$E$40,0,0,1),0)</f>
        <v>0</v>
      </c>
      <c r="M41" s="124">
        <f>IFERROR(_xlfn.XLOOKUP($C41,'Capital Cost + RCV'!$B$6:$B$41,'Capital Cost + RCV'!$E$6:$E$41,0,0,1),0)</f>
        <v>0</v>
      </c>
      <c r="N41" s="174">
        <f t="shared" si="2"/>
        <v>0</v>
      </c>
      <c r="O41" s="175">
        <f>IFERROR(SUM(D41,E41,H41,J41:M41,F41)*(1+0.07)^-($C41-Assumptions!$D$11)+I41,0)</f>
        <v>0</v>
      </c>
    </row>
    <row r="42" spans="3:15" ht="15" hidden="1" customHeight="1" outlineLevel="1" x14ac:dyDescent="0.25">
      <c r="C42" s="105">
        <f t="shared" si="1"/>
        <v>2057</v>
      </c>
      <c r="D42" s="125">
        <f>IFERROR(_xlfn.XLOOKUP($C42,'Travel Time Savings'!$B$6:$B$41,'Travel Time Savings'!$G$6:$G$41,0,0,1),0)</f>
        <v>0</v>
      </c>
      <c r="E42" s="172">
        <f>IFERROR(_xlfn.XLOOKUP($C42,'Construction Travel Time Impact'!$B$6:$B$41,'Construction Travel Time Impact'!$G$6:$G$41,0,0,1),0)</f>
        <v>0</v>
      </c>
      <c r="F42" s="172">
        <f>IFERROR(_xlfn.XLOOKUP($C42,'VOC Savings'!$B$6:$B$41,'VOC Savings'!$G$6:$G$41,0,0,1),0)</f>
        <v>0</v>
      </c>
      <c r="G42" s="125">
        <f>IFERROR(_xlfn.XLOOKUP($C42,'Air Quality'!$B$6:$B$40,'Air Quality'!$D$6:$D$40,0,0,1),0)</f>
        <v>0</v>
      </c>
      <c r="H42" s="172">
        <f>IFERROR(_xlfn.XLOOKUP($C42,'Air Quality'!$B$6:$B$40,'Air Quality'!$L$6:$L$40,0,0,1),0)</f>
        <v>0</v>
      </c>
      <c r="I42" s="173">
        <f>IFERROR(_xlfn.XLOOKUP($C42,'Air Quality'!$B$6:$B$40,'Air Quality'!$E$6:$E$40,0,0,1),0)</f>
        <v>0</v>
      </c>
      <c r="J42" s="125">
        <f>IFERROR(_xlfn.XLOOKUP($C42,'Safety Improvements'!B$6:B$35,'Safety Improvements'!E$6:E$35,0,0,1),0)</f>
        <v>0</v>
      </c>
      <c r="K42" s="124">
        <f>IFERROR(_xlfn.XLOOKUP($C42,'Network Crash Savings'!$B$6:$B$35,'Network Crash Savings'!$E$6:$E$35,0,0,1),0)</f>
        <v>0</v>
      </c>
      <c r="L42" s="125">
        <f>IFERROR(_xlfn.XLOOKUP($C42,'O&amp;M + Rehab'!$B$5:$B$40,'O&amp;M + Rehab'!$E$5:$E$40,0,0,1),0)</f>
        <v>0</v>
      </c>
      <c r="M42" s="124">
        <f>IFERROR(_xlfn.XLOOKUP($C42,'Capital Cost + RCV'!$B$6:$B$41,'Capital Cost + RCV'!$E$6:$E$41,0,0,1),0)</f>
        <v>0</v>
      </c>
      <c r="N42" s="174">
        <f t="shared" si="2"/>
        <v>0</v>
      </c>
      <c r="O42" s="175">
        <f>IFERROR(SUM(D42,E42,H42,J42:M42,F42)*(1+0.07)^-($C42-Assumptions!$D$11)+I42,0)</f>
        <v>0</v>
      </c>
    </row>
    <row r="43" spans="3:15" ht="15" hidden="1" customHeight="1" outlineLevel="1" x14ac:dyDescent="0.25">
      <c r="C43" s="105">
        <f t="shared" si="1"/>
        <v>2058</v>
      </c>
      <c r="D43" s="125">
        <f>IFERROR(_xlfn.XLOOKUP($C43,'Travel Time Savings'!$B$6:$B$41,'Travel Time Savings'!$G$6:$G$41,0,0,1),0)</f>
        <v>0</v>
      </c>
      <c r="E43" s="172">
        <f>IFERROR(_xlfn.XLOOKUP($C43,'Construction Travel Time Impact'!$B$6:$B$41,'Construction Travel Time Impact'!$G$6:$G$41,0,0,1),0)</f>
        <v>0</v>
      </c>
      <c r="F43" s="172">
        <f>IFERROR(_xlfn.XLOOKUP($C43,'VOC Savings'!$B$6:$B$41,'VOC Savings'!$G$6:$G$41,0,0,1),0)</f>
        <v>0</v>
      </c>
      <c r="G43" s="125">
        <f>IFERROR(_xlfn.XLOOKUP($C43,'Air Quality'!$B$6:$B$40,'Air Quality'!$D$6:$D$40,0,0,1),0)</f>
        <v>0</v>
      </c>
      <c r="H43" s="172">
        <f>IFERROR(_xlfn.XLOOKUP($C43,'Air Quality'!$B$6:$B$40,'Air Quality'!$L$6:$L$40,0,0,1),0)</f>
        <v>0</v>
      </c>
      <c r="I43" s="173">
        <f>IFERROR(_xlfn.XLOOKUP($C43,'Air Quality'!$B$6:$B$40,'Air Quality'!$E$6:$E$40,0,0,1),0)</f>
        <v>0</v>
      </c>
      <c r="J43" s="125">
        <f>IFERROR(_xlfn.XLOOKUP($C43,'Safety Improvements'!B$6:B$35,'Safety Improvements'!E$6:E$35,0,0,1),0)</f>
        <v>0</v>
      </c>
      <c r="K43" s="124">
        <f>IFERROR(_xlfn.XLOOKUP($C43,'Network Crash Savings'!$B$6:$B$35,'Network Crash Savings'!$E$6:$E$35,0,0,1),0)</f>
        <v>0</v>
      </c>
      <c r="L43" s="125">
        <f>IFERROR(_xlfn.XLOOKUP($C43,'O&amp;M + Rehab'!$B$5:$B$40,'O&amp;M + Rehab'!$E$5:$E$40,0,0,1),0)</f>
        <v>0</v>
      </c>
      <c r="M43" s="124">
        <f>IFERROR(_xlfn.XLOOKUP($C43,'Capital Cost + RCV'!$B$6:$B$41,'Capital Cost + RCV'!$E$6:$E$41,0,0,1),0)</f>
        <v>0</v>
      </c>
      <c r="N43" s="174">
        <f t="shared" si="2"/>
        <v>0</v>
      </c>
      <c r="O43" s="175">
        <f>IFERROR(SUM(D43,E43,H43,J43:M43,F43)*(1+0.07)^-($C43-Assumptions!$D$11)+I43,0)</f>
        <v>0</v>
      </c>
    </row>
    <row r="44" spans="3:15" ht="15" hidden="1" customHeight="1" outlineLevel="1" x14ac:dyDescent="0.25">
      <c r="C44" s="105">
        <f t="shared" si="1"/>
        <v>2059</v>
      </c>
      <c r="D44" s="125">
        <f>IFERROR(_xlfn.XLOOKUP($C44,'Travel Time Savings'!$B$6:$B$41,'Travel Time Savings'!$G$6:$G$41,0,0,1),0)</f>
        <v>0</v>
      </c>
      <c r="E44" s="172">
        <f>IFERROR(_xlfn.XLOOKUP($C44,'Construction Travel Time Impact'!$B$6:$B$41,'Construction Travel Time Impact'!$G$6:$G$41,0,0,1),0)</f>
        <v>0</v>
      </c>
      <c r="F44" s="172">
        <f>IFERROR(_xlfn.XLOOKUP($C44,'VOC Savings'!$B$6:$B$41,'VOC Savings'!$G$6:$G$41,0,0,1),0)</f>
        <v>0</v>
      </c>
      <c r="G44" s="125">
        <f>IFERROR(_xlfn.XLOOKUP($C44,'Air Quality'!$B$6:$B$40,'Air Quality'!$D$6:$D$40,0,0,1),0)</f>
        <v>0</v>
      </c>
      <c r="H44" s="172">
        <f>IFERROR(_xlfn.XLOOKUP($C44,'Air Quality'!$B$6:$B$40,'Air Quality'!$L$6:$L$40,0,0,1),0)</f>
        <v>0</v>
      </c>
      <c r="I44" s="173">
        <f>IFERROR(_xlfn.XLOOKUP($C44,'Air Quality'!$B$6:$B$40,'Air Quality'!$E$6:$E$40,0,0,1),0)</f>
        <v>0</v>
      </c>
      <c r="J44" s="125">
        <f>IFERROR(_xlfn.XLOOKUP($C44,'Safety Improvements'!B$6:B$35,'Safety Improvements'!E$6:E$35,0,0,1),0)</f>
        <v>0</v>
      </c>
      <c r="K44" s="124">
        <f>IFERROR(_xlfn.XLOOKUP($C44,'Network Crash Savings'!$B$6:$B$35,'Network Crash Savings'!$E$6:$E$35,0,0,1),0)</f>
        <v>0</v>
      </c>
      <c r="L44" s="125">
        <f>IFERROR(_xlfn.XLOOKUP($C44,'O&amp;M + Rehab'!$B$5:$B$40,'O&amp;M + Rehab'!$E$5:$E$40,0,0,1),0)</f>
        <v>0</v>
      </c>
      <c r="M44" s="124">
        <f>IFERROR(_xlfn.XLOOKUP($C44,'Capital Cost + RCV'!$B$6:$B$41,'Capital Cost + RCV'!$E$6:$E$41,0,0,1),0)</f>
        <v>0</v>
      </c>
      <c r="N44" s="174">
        <f t="shared" si="2"/>
        <v>0</v>
      </c>
      <c r="O44" s="175">
        <f>IFERROR(SUM(D44,E44,H44,J44:M44,F44)*(1+0.07)^-($C44-Assumptions!$D$11)+I44,0)</f>
        <v>0</v>
      </c>
    </row>
    <row r="45" spans="3:15" ht="15" hidden="1" customHeight="1" outlineLevel="1" x14ac:dyDescent="0.25">
      <c r="C45" s="105">
        <f t="shared" si="1"/>
        <v>2060</v>
      </c>
      <c r="D45" s="125">
        <f>IFERROR(_xlfn.XLOOKUP($C45,'Travel Time Savings'!$B$6:$B$41,'Travel Time Savings'!$G$6:$G$41,0,0,1),0)</f>
        <v>0</v>
      </c>
      <c r="E45" s="172">
        <f>IFERROR(_xlfn.XLOOKUP($C45,'Construction Travel Time Impact'!$B$6:$B$41,'Construction Travel Time Impact'!$G$6:$G$41,0,0,1),0)</f>
        <v>0</v>
      </c>
      <c r="F45" s="172">
        <f>IFERROR(_xlfn.XLOOKUP($C45,'VOC Savings'!$B$6:$B$41,'VOC Savings'!$G$6:$G$41,0,0,1),0)</f>
        <v>0</v>
      </c>
      <c r="G45" s="125">
        <f>IFERROR(_xlfn.XLOOKUP($C45,'Air Quality'!$B$6:$B$40,'Air Quality'!$D$6:$D$40,0,0,1),0)</f>
        <v>0</v>
      </c>
      <c r="H45" s="172">
        <f>IFERROR(_xlfn.XLOOKUP($C45,'Air Quality'!$B$6:$B$40,'Air Quality'!$L$6:$L$40,0,0,1),0)</f>
        <v>0</v>
      </c>
      <c r="I45" s="173">
        <f>IFERROR(_xlfn.XLOOKUP($C45,'Air Quality'!$B$6:$B$40,'Air Quality'!$E$6:$E$40,0,0,1),0)</f>
        <v>0</v>
      </c>
      <c r="J45" s="125">
        <f>IFERROR(_xlfn.XLOOKUP($C45,'Safety Improvements'!B$6:B$35,'Safety Improvements'!E$6:E$35,0,0,1),0)</f>
        <v>0</v>
      </c>
      <c r="K45" s="124">
        <f>IFERROR(_xlfn.XLOOKUP($C45,'Network Crash Savings'!$B$6:$B$35,'Network Crash Savings'!$E$6:$E$35,0,0,1),0)</f>
        <v>0</v>
      </c>
      <c r="L45" s="125">
        <f>IFERROR(_xlfn.XLOOKUP($C45,'O&amp;M + Rehab'!$B$5:$B$40,'O&amp;M + Rehab'!$E$5:$E$40,0,0,1),0)</f>
        <v>0</v>
      </c>
      <c r="M45" s="124">
        <f>IFERROR(_xlfn.XLOOKUP($C45,'Capital Cost + RCV'!$B$6:$B$41,'Capital Cost + RCV'!$E$6:$E$41,0,0,1),0)</f>
        <v>0</v>
      </c>
      <c r="N45" s="174">
        <f t="shared" si="2"/>
        <v>0</v>
      </c>
      <c r="O45" s="175">
        <f>IFERROR(SUM(D45,E45,H45,J45:M45,F45)*(1+0.07)^-($C45-Assumptions!$D$11)+I45,0)</f>
        <v>0</v>
      </c>
    </row>
    <row r="46" spans="3:15" ht="15" hidden="1" customHeight="1" outlineLevel="1" x14ac:dyDescent="0.25">
      <c r="C46" s="105">
        <f t="shared" si="1"/>
        <v>2061</v>
      </c>
      <c r="D46" s="125">
        <f>IFERROR(_xlfn.XLOOKUP($C46,'Travel Time Savings'!$B$6:$B$41,'Travel Time Savings'!$G$6:$G$41,0,0,1),0)</f>
        <v>0</v>
      </c>
      <c r="E46" s="172">
        <f>IFERROR(_xlfn.XLOOKUP($C46,'Construction Travel Time Impact'!$B$6:$B$41,'Construction Travel Time Impact'!$G$6:$G$41,0,0,1),0)</f>
        <v>0</v>
      </c>
      <c r="F46" s="172">
        <f>IFERROR(_xlfn.XLOOKUP($C46,'VOC Savings'!$B$6:$B$41,'VOC Savings'!$G$6:$G$41,0,0,1),0)</f>
        <v>0</v>
      </c>
      <c r="G46" s="125">
        <f>IFERROR(_xlfn.XLOOKUP($C46,'Air Quality'!$B$6:$B$40,'Air Quality'!$D$6:$D$40,0,0,1),0)</f>
        <v>0</v>
      </c>
      <c r="H46" s="172">
        <f>IFERROR(_xlfn.XLOOKUP($C46,'Air Quality'!$B$6:$B$40,'Air Quality'!$L$6:$L$40,0,0,1),0)</f>
        <v>0</v>
      </c>
      <c r="I46" s="173">
        <f>IFERROR(_xlfn.XLOOKUP($C46,'Air Quality'!$B$6:$B$40,'Air Quality'!$E$6:$E$40,0,0,1),0)</f>
        <v>0</v>
      </c>
      <c r="J46" s="125">
        <f>IFERROR(_xlfn.XLOOKUP($C46,'Safety Improvements'!B$6:B$35,'Safety Improvements'!E$6:E$35,0,0,1),0)</f>
        <v>0</v>
      </c>
      <c r="K46" s="124">
        <f>IFERROR(_xlfn.XLOOKUP($C46,'Network Crash Savings'!$B$6:$B$35,'Network Crash Savings'!$E$6:$E$35,0,0,1),0)</f>
        <v>0</v>
      </c>
      <c r="L46" s="125">
        <f>IFERROR(_xlfn.XLOOKUP($C46,'O&amp;M + Rehab'!$B$5:$B$40,'O&amp;M + Rehab'!$E$5:$E$40,0,0,1),0)</f>
        <v>0</v>
      </c>
      <c r="M46" s="124">
        <f>IFERROR(_xlfn.XLOOKUP($C46,'Capital Cost + RCV'!$B$6:$B$41,'Capital Cost + RCV'!$E$6:$E$41,0,0,1),0)</f>
        <v>0</v>
      </c>
      <c r="N46" s="174">
        <f t="shared" si="2"/>
        <v>0</v>
      </c>
      <c r="O46" s="175">
        <f>IFERROR(SUM(D46,E46,H46,J46:M46,F46)*(1+0.07)^-($C46-Assumptions!$D$11)+I46,0)</f>
        <v>0</v>
      </c>
    </row>
    <row r="47" spans="3:15" ht="15" hidden="1" customHeight="1" outlineLevel="1" x14ac:dyDescent="0.25">
      <c r="C47" s="105">
        <f t="shared" si="1"/>
        <v>2062</v>
      </c>
      <c r="D47" s="125">
        <f>IFERROR(_xlfn.XLOOKUP($C47,'Travel Time Savings'!$B$6:$B$41,'Travel Time Savings'!$G$6:$G$41,0,0,1),0)</f>
        <v>0</v>
      </c>
      <c r="E47" s="172">
        <f>IFERROR(_xlfn.XLOOKUP($C47,'Construction Travel Time Impact'!$B$6:$B$41,'Construction Travel Time Impact'!$G$6:$G$41,0,0,1),0)</f>
        <v>0</v>
      </c>
      <c r="F47" s="172">
        <f>IFERROR(_xlfn.XLOOKUP($C47,'VOC Savings'!$B$6:$B$41,'VOC Savings'!$G$6:$G$41,0,0,1),0)</f>
        <v>0</v>
      </c>
      <c r="G47" s="125">
        <f>IFERROR(_xlfn.XLOOKUP($C47,'Air Quality'!$B$6:$B$40,'Air Quality'!$D$6:$D$40,0,0,1),0)</f>
        <v>0</v>
      </c>
      <c r="H47" s="172">
        <f>IFERROR(_xlfn.XLOOKUP($C47,'Air Quality'!$B$6:$B$40,'Air Quality'!$L$6:$L$40,0,0,1),0)</f>
        <v>0</v>
      </c>
      <c r="I47" s="173">
        <f>IFERROR(_xlfn.XLOOKUP($C47,'Air Quality'!$B$6:$B$40,'Air Quality'!$E$6:$E$40,0,0,1),0)</f>
        <v>0</v>
      </c>
      <c r="J47" s="125">
        <f>IFERROR(_xlfn.XLOOKUP($C47,'Safety Improvements'!B$6:B$35,'Safety Improvements'!E$6:E$35,0,0,1),0)</f>
        <v>0</v>
      </c>
      <c r="K47" s="124">
        <f>IFERROR(_xlfn.XLOOKUP($C47,'Network Crash Savings'!$B$6:$B$35,'Network Crash Savings'!$E$6:$E$35,0,0,1),0)</f>
        <v>0</v>
      </c>
      <c r="L47" s="125">
        <f>IFERROR(_xlfn.XLOOKUP($C47,'O&amp;M + Rehab'!$B$5:$B$40,'O&amp;M + Rehab'!$E$5:$E$40,0,0,1),0)</f>
        <v>0</v>
      </c>
      <c r="M47" s="124">
        <f>IFERROR(_xlfn.XLOOKUP($C47,'Capital Cost + RCV'!$B$6:$B$41,'Capital Cost + RCV'!$E$6:$E$41,0,0,1),0)</f>
        <v>0</v>
      </c>
      <c r="N47" s="174">
        <f t="shared" si="2"/>
        <v>0</v>
      </c>
      <c r="O47" s="175">
        <f>IFERROR(SUM(D47,E47,H47,J47:M47,F47)*(1+0.07)^-($C47-Assumptions!$D$11)+I47,0)</f>
        <v>0</v>
      </c>
    </row>
    <row r="48" spans="3:15" ht="15" hidden="1" customHeight="1" outlineLevel="1" x14ac:dyDescent="0.25">
      <c r="C48" s="105">
        <f t="shared" si="1"/>
        <v>2063</v>
      </c>
      <c r="D48" s="125">
        <f>IFERROR(_xlfn.XLOOKUP($C48,'Travel Time Savings'!$B$6:$B$41,'Travel Time Savings'!$G$6:$G$41,0,0,1),0)</f>
        <v>0</v>
      </c>
      <c r="E48" s="172">
        <f>IFERROR(_xlfn.XLOOKUP($C48,'Construction Travel Time Impact'!$B$6:$B$41,'Construction Travel Time Impact'!$G$6:$G$41,0,0,1),0)</f>
        <v>0</v>
      </c>
      <c r="F48" s="172">
        <f>IFERROR(_xlfn.XLOOKUP($C48,'VOC Savings'!$B$6:$B$41,'VOC Savings'!$G$6:$G$41,0,0,1),0)</f>
        <v>0</v>
      </c>
      <c r="G48" s="125">
        <f>IFERROR(_xlfn.XLOOKUP($C48,'Air Quality'!$B$6:$B$40,'Air Quality'!$D$6:$D$40,0,0,1),0)</f>
        <v>0</v>
      </c>
      <c r="H48" s="172">
        <f>IFERROR(_xlfn.XLOOKUP($C48,'Air Quality'!$B$6:$B$40,'Air Quality'!$L$6:$L$40,0,0,1),0)</f>
        <v>0</v>
      </c>
      <c r="I48" s="173">
        <f>IFERROR(_xlfn.XLOOKUP($C48,'Air Quality'!$B$6:$B$40,'Air Quality'!$E$6:$E$40,0,0,1),0)</f>
        <v>0</v>
      </c>
      <c r="J48" s="125">
        <f>IFERROR(_xlfn.XLOOKUP($C48,'Safety Improvements'!B$6:B$35,'Safety Improvements'!E$6:E$35,0,0,1),0)</f>
        <v>0</v>
      </c>
      <c r="K48" s="124">
        <f>IFERROR(_xlfn.XLOOKUP($C48,'Network Crash Savings'!$B$6:$B$35,'Network Crash Savings'!$E$6:$E$35,0,0,1),0)</f>
        <v>0</v>
      </c>
      <c r="L48" s="125">
        <f>IFERROR(_xlfn.XLOOKUP($C48,'O&amp;M + Rehab'!$B$5:$B$40,'O&amp;M + Rehab'!$E$5:$E$40,0,0,1),0)</f>
        <v>0</v>
      </c>
      <c r="M48" s="124">
        <f>IFERROR(_xlfn.XLOOKUP($C48,'Capital Cost + RCV'!$B$6:$B$41,'Capital Cost + RCV'!$E$6:$E$41,0,0,1),0)</f>
        <v>0</v>
      </c>
      <c r="N48" s="174">
        <f t="shared" si="2"/>
        <v>0</v>
      </c>
      <c r="O48" s="175">
        <f>IFERROR(SUM(D48,E48,H48,J48:M48,F48)*(1+0.07)^-($C48-Assumptions!$D$11)+I48,0)</f>
        <v>0</v>
      </c>
    </row>
    <row r="49" spans="3:15" ht="15" hidden="1" customHeight="1" outlineLevel="1" x14ac:dyDescent="0.25">
      <c r="C49" s="105">
        <f t="shared" si="1"/>
        <v>2064</v>
      </c>
      <c r="D49" s="125">
        <f>IFERROR(_xlfn.XLOOKUP($C49,'Travel Time Savings'!$B$6:$B$41,'Travel Time Savings'!$G$6:$G$41,0,0,1),0)</f>
        <v>0</v>
      </c>
      <c r="E49" s="172">
        <f>IFERROR(_xlfn.XLOOKUP($C49,'Construction Travel Time Impact'!$B$6:$B$41,'Construction Travel Time Impact'!$G$6:$G$41,0,0,1),0)</f>
        <v>0</v>
      </c>
      <c r="F49" s="172">
        <f>IFERROR(_xlfn.XLOOKUP($C49,'VOC Savings'!$B$6:$B$41,'VOC Savings'!$G$6:$G$41,0,0,1),0)</f>
        <v>0</v>
      </c>
      <c r="G49" s="125">
        <f>IFERROR(_xlfn.XLOOKUP($C49,'Air Quality'!$B$6:$B$40,'Air Quality'!$D$6:$D$40,0,0,1),0)</f>
        <v>0</v>
      </c>
      <c r="H49" s="172">
        <f>IFERROR(_xlfn.XLOOKUP($C49,'Air Quality'!$B$6:$B$40,'Air Quality'!$L$6:$L$40,0,0,1),0)</f>
        <v>0</v>
      </c>
      <c r="I49" s="173">
        <f>IFERROR(_xlfn.XLOOKUP($C49,'Air Quality'!$B$6:$B$40,'Air Quality'!$E$6:$E$40,0,0,1),0)</f>
        <v>0</v>
      </c>
      <c r="J49" s="125">
        <f>IFERROR(_xlfn.XLOOKUP($C49,'Safety Improvements'!B$6:B$35,'Safety Improvements'!E$6:E$35,0,0,1),0)</f>
        <v>0</v>
      </c>
      <c r="K49" s="124">
        <f>IFERROR(_xlfn.XLOOKUP($C49,'Network Crash Savings'!$B$6:$B$35,'Network Crash Savings'!$E$6:$E$35,0,0,1),0)</f>
        <v>0</v>
      </c>
      <c r="L49" s="125">
        <f>IFERROR(_xlfn.XLOOKUP($C49,'O&amp;M + Rehab'!$B$5:$B$40,'O&amp;M + Rehab'!$E$5:$E$40,0,0,1),0)</f>
        <v>0</v>
      </c>
      <c r="M49" s="124">
        <f>IFERROR(_xlfn.XLOOKUP($C49,'Capital Cost + RCV'!$B$6:$B$41,'Capital Cost + RCV'!$E$6:$E$41,0,0,1),0)</f>
        <v>0</v>
      </c>
      <c r="N49" s="174">
        <f t="shared" si="2"/>
        <v>0</v>
      </c>
      <c r="O49" s="175">
        <f>IFERROR(SUM(D49,E49,H49,J49:M49,F49)*(1+0.07)^-($C49-Assumptions!$D$11)+I49,0)</f>
        <v>0</v>
      </c>
    </row>
    <row r="50" spans="3:15" ht="15" hidden="1" customHeight="1" outlineLevel="1" x14ac:dyDescent="0.25">
      <c r="C50" s="105">
        <f t="shared" si="1"/>
        <v>2065</v>
      </c>
      <c r="D50" s="125">
        <f>IFERROR(_xlfn.XLOOKUP($C50,'Travel Time Savings'!$B$6:$B$41,'Travel Time Savings'!$G$6:$G$41,0,0,1),0)</f>
        <v>0</v>
      </c>
      <c r="E50" s="172">
        <f>IFERROR(_xlfn.XLOOKUP($C50,'Construction Travel Time Impact'!$B$6:$B$41,'Construction Travel Time Impact'!$G$6:$G$41,0,0,1),0)</f>
        <v>0</v>
      </c>
      <c r="F50" s="172">
        <f>IFERROR(_xlfn.XLOOKUP($C50,'VOC Savings'!$B$6:$B$41,'VOC Savings'!$G$6:$G$41,0,0,1),0)</f>
        <v>0</v>
      </c>
      <c r="G50" s="125">
        <f>IFERROR(_xlfn.XLOOKUP($C50,'Air Quality'!$B$6:$B$40,'Air Quality'!$D$6:$D$40,0,0,1),0)</f>
        <v>0</v>
      </c>
      <c r="H50" s="172">
        <f>IFERROR(_xlfn.XLOOKUP($C50,'Air Quality'!$B$6:$B$40,'Air Quality'!$L$6:$L$40,0,0,1),0)</f>
        <v>0</v>
      </c>
      <c r="I50" s="173">
        <f>IFERROR(_xlfn.XLOOKUP($C50,'Air Quality'!$B$6:$B$40,'Air Quality'!$E$6:$E$40,0,0,1),0)</f>
        <v>0</v>
      </c>
      <c r="J50" s="125">
        <f>IFERROR(_xlfn.XLOOKUP($C50,'Safety Improvements'!B$6:B$35,'Safety Improvements'!E$6:E$35,0,0,1),0)</f>
        <v>0</v>
      </c>
      <c r="K50" s="124">
        <f>IFERROR(_xlfn.XLOOKUP($C50,'Network Crash Savings'!$B$6:$B$35,'Network Crash Savings'!$E$6:$E$35,0,0,1),0)</f>
        <v>0</v>
      </c>
      <c r="L50" s="125">
        <f>IFERROR(_xlfn.XLOOKUP($C50,'O&amp;M + Rehab'!$B$5:$B$40,'O&amp;M + Rehab'!$E$5:$E$40,0,0,1),0)</f>
        <v>0</v>
      </c>
      <c r="M50" s="124">
        <f>IFERROR(_xlfn.XLOOKUP($C50,'Capital Cost + RCV'!$B$6:$B$41,'Capital Cost + RCV'!$E$6:$E$41,0,0,1),0)</f>
        <v>0</v>
      </c>
      <c r="N50" s="174">
        <f t="shared" si="2"/>
        <v>0</v>
      </c>
      <c r="O50" s="175">
        <f>IFERROR(SUM(D50,E50,H50,J50:M50,F50)*(1+0.07)^-($C50-Assumptions!$D$11)+I50,0)</f>
        <v>0</v>
      </c>
    </row>
    <row r="51" spans="3:15" ht="15" hidden="1" customHeight="1" outlineLevel="1" x14ac:dyDescent="0.25">
      <c r="C51" s="105">
        <f t="shared" si="1"/>
        <v>2066</v>
      </c>
      <c r="D51" s="125">
        <f>IFERROR(_xlfn.XLOOKUP($C51,'Travel Time Savings'!$B$6:$B$41,'Travel Time Savings'!$G$6:$G$41,0,0,1),0)</f>
        <v>0</v>
      </c>
      <c r="E51" s="172">
        <f>IFERROR(_xlfn.XLOOKUP($C51,'Construction Travel Time Impact'!$B$6:$B$41,'Construction Travel Time Impact'!$G$6:$G$41,0,0,1),0)</f>
        <v>0</v>
      </c>
      <c r="F51" s="172">
        <f>IFERROR(_xlfn.XLOOKUP($C51,'VOC Savings'!$B$6:$B$41,'VOC Savings'!$G$6:$G$41,0,0,1),0)</f>
        <v>0</v>
      </c>
      <c r="G51" s="125">
        <f>IFERROR(_xlfn.XLOOKUP($C51,'Air Quality'!$B$6:$B$40,'Air Quality'!$D$6:$D$40,0,0,1),0)</f>
        <v>0</v>
      </c>
      <c r="H51" s="172">
        <f>IFERROR(_xlfn.XLOOKUP($C51,'Air Quality'!$B$6:$B$40,'Air Quality'!$L$6:$L$40,0,0,1),0)</f>
        <v>0</v>
      </c>
      <c r="I51" s="173">
        <f>IFERROR(_xlfn.XLOOKUP($C51,'Air Quality'!$B$6:$B$40,'Air Quality'!$E$6:$E$40,0,0,1),0)</f>
        <v>0</v>
      </c>
      <c r="J51" s="125">
        <f>IFERROR(_xlfn.XLOOKUP($C51,'Safety Improvements'!B$6:B$35,'Safety Improvements'!E$6:E$35,0,0,1),0)</f>
        <v>0</v>
      </c>
      <c r="K51" s="124">
        <f>IFERROR(_xlfn.XLOOKUP($C51,'Network Crash Savings'!$B$6:$B$35,'Network Crash Savings'!$E$6:$E$35,0,0,1),0)</f>
        <v>0</v>
      </c>
      <c r="L51" s="125">
        <f>IFERROR(_xlfn.XLOOKUP($C51,'O&amp;M + Rehab'!$B$5:$B$40,'O&amp;M + Rehab'!$E$5:$E$40,0,0,1),0)</f>
        <v>0</v>
      </c>
      <c r="M51" s="124">
        <f>IFERROR(_xlfn.XLOOKUP($C51,'Capital Cost + RCV'!$B$6:$B$41,'Capital Cost + RCV'!$E$6:$E$41,0,0,1),0)</f>
        <v>0</v>
      </c>
      <c r="N51" s="174">
        <f t="shared" si="2"/>
        <v>0</v>
      </c>
      <c r="O51" s="175">
        <f>IFERROR(SUM(D51,E51,H51,J51:M51,F51)*(1+0.07)^-($C51-Assumptions!$D$11)+I51,0)</f>
        <v>0</v>
      </c>
    </row>
    <row r="52" spans="3:15" ht="15" hidden="1" customHeight="1" outlineLevel="1" x14ac:dyDescent="0.25">
      <c r="C52" s="105">
        <f t="shared" si="1"/>
        <v>2067</v>
      </c>
      <c r="D52" s="125">
        <f>IFERROR(_xlfn.XLOOKUP($C52,'Travel Time Savings'!$B$6:$B$41,'Travel Time Savings'!$G$6:$G$41,0,0,1),0)</f>
        <v>0</v>
      </c>
      <c r="E52" s="172">
        <f>IFERROR(_xlfn.XLOOKUP($C52,'Construction Travel Time Impact'!$B$6:$B$41,'Construction Travel Time Impact'!$G$6:$G$41,0,0,1),0)</f>
        <v>0</v>
      </c>
      <c r="F52" s="172">
        <f>IFERROR(_xlfn.XLOOKUP($C52,'VOC Savings'!$B$6:$B$41,'VOC Savings'!$G$6:$G$41,0,0,1),0)</f>
        <v>0</v>
      </c>
      <c r="G52" s="125">
        <f>IFERROR(_xlfn.XLOOKUP($C52,'Air Quality'!$B$6:$B$40,'Air Quality'!$D$6:$D$40,0,0,1),0)</f>
        <v>0</v>
      </c>
      <c r="H52" s="172">
        <f>IFERROR(_xlfn.XLOOKUP($C52,'Air Quality'!$B$6:$B$40,'Air Quality'!$L$6:$L$40,0,0,1),0)</f>
        <v>0</v>
      </c>
      <c r="I52" s="173">
        <f>IFERROR(_xlfn.XLOOKUP($C52,'Air Quality'!$B$6:$B$40,'Air Quality'!$E$6:$E$40,0,0,1),0)</f>
        <v>0</v>
      </c>
      <c r="J52" s="125">
        <f>IFERROR(_xlfn.XLOOKUP($C52,'Safety Improvements'!B$6:B$35,'Safety Improvements'!E$6:E$35,0,0,1),0)</f>
        <v>0</v>
      </c>
      <c r="K52" s="124">
        <f>IFERROR(_xlfn.XLOOKUP($C52,'Network Crash Savings'!$B$6:$B$35,'Network Crash Savings'!$E$6:$E$35,0,0,1),0)</f>
        <v>0</v>
      </c>
      <c r="L52" s="125">
        <f>IFERROR(_xlfn.XLOOKUP($C52,'O&amp;M + Rehab'!$B$5:$B$40,'O&amp;M + Rehab'!$E$5:$E$40,0,0,1),0)</f>
        <v>0</v>
      </c>
      <c r="M52" s="124">
        <f>IFERROR(_xlfn.XLOOKUP($C52,'Capital Cost + RCV'!$B$6:$B$41,'Capital Cost + RCV'!$E$6:$E$41,0,0,1),0)</f>
        <v>0</v>
      </c>
      <c r="N52" s="174">
        <f t="shared" si="2"/>
        <v>0</v>
      </c>
      <c r="O52" s="175">
        <f>IFERROR(SUM(D52,E52,H52,J52:M52,F52)*(1+0.07)^-($C52-Assumptions!$D$11)+I52,0)</f>
        <v>0</v>
      </c>
    </row>
    <row r="53" spans="3:15" ht="15" hidden="1" customHeight="1" outlineLevel="1" x14ac:dyDescent="0.25">
      <c r="C53" s="105">
        <f t="shared" si="1"/>
        <v>2068</v>
      </c>
      <c r="D53" s="125">
        <f>IFERROR(_xlfn.XLOOKUP($C53,'Travel Time Savings'!$B$6:$B$41,'Travel Time Savings'!$G$6:$G$41,0,0,1),0)</f>
        <v>0</v>
      </c>
      <c r="E53" s="172">
        <f>IFERROR(_xlfn.XLOOKUP($C53,'Construction Travel Time Impact'!$B$6:$B$41,'Construction Travel Time Impact'!$G$6:$G$41,0,0,1),0)</f>
        <v>0</v>
      </c>
      <c r="F53" s="172">
        <f>IFERROR(_xlfn.XLOOKUP($C53,'VOC Savings'!$B$6:$B$41,'VOC Savings'!$G$6:$G$41,0,0,1),0)</f>
        <v>0</v>
      </c>
      <c r="G53" s="125">
        <f>IFERROR(_xlfn.XLOOKUP($C53,'Air Quality'!$B$6:$B$40,'Air Quality'!$D$6:$D$40,0,0,1),0)</f>
        <v>0</v>
      </c>
      <c r="H53" s="172">
        <f>IFERROR(_xlfn.XLOOKUP($C53,'Air Quality'!$B$6:$B$40,'Air Quality'!$L$6:$L$40,0,0,1),0)</f>
        <v>0</v>
      </c>
      <c r="I53" s="173">
        <f>IFERROR(_xlfn.XLOOKUP($C53,'Air Quality'!$B$6:$B$40,'Air Quality'!$E$6:$E$40,0,0,1),0)</f>
        <v>0</v>
      </c>
      <c r="J53" s="125">
        <f>IFERROR(_xlfn.XLOOKUP($C53,'Safety Improvements'!B$6:B$35,'Safety Improvements'!E$6:E$35,0,0,1),0)</f>
        <v>0</v>
      </c>
      <c r="K53" s="124">
        <f>IFERROR(_xlfn.XLOOKUP($C53,'Network Crash Savings'!$B$6:$B$35,'Network Crash Savings'!$E$6:$E$35,0,0,1),0)</f>
        <v>0</v>
      </c>
      <c r="L53" s="125">
        <f>IFERROR(_xlfn.XLOOKUP($C53,'O&amp;M + Rehab'!$B$5:$B$40,'O&amp;M + Rehab'!$E$5:$E$40,0,0,1),0)</f>
        <v>0</v>
      </c>
      <c r="M53" s="124">
        <f>IFERROR(_xlfn.XLOOKUP($C53,'Capital Cost + RCV'!$B$6:$B$41,'Capital Cost + RCV'!$E$6:$E$41,0,0,1),0)</f>
        <v>0</v>
      </c>
      <c r="N53" s="174">
        <f t="shared" si="2"/>
        <v>0</v>
      </c>
      <c r="O53" s="175">
        <f>IFERROR(SUM(D53,E53,H53,J53:M53,F53)*(1+0.07)^-($C53-Assumptions!$D$11)+I53,0)</f>
        <v>0</v>
      </c>
    </row>
    <row r="54" spans="3:15" ht="15" hidden="1" customHeight="1" outlineLevel="1" x14ac:dyDescent="0.25">
      <c r="C54" s="105">
        <f t="shared" si="1"/>
        <v>2069</v>
      </c>
      <c r="D54" s="125">
        <f>IFERROR(_xlfn.XLOOKUP($C54,'Travel Time Savings'!$B$6:$B$41,'Travel Time Savings'!$G$6:$G$41,0,0,1),0)</f>
        <v>0</v>
      </c>
      <c r="E54" s="172">
        <f>IFERROR(_xlfn.XLOOKUP($C54,'Construction Travel Time Impact'!$B$6:$B$41,'Construction Travel Time Impact'!$G$6:$G$41,0,0,1),0)</f>
        <v>0</v>
      </c>
      <c r="F54" s="172">
        <f>IFERROR(_xlfn.XLOOKUP($C54,'VOC Savings'!$B$6:$B$41,'VOC Savings'!$G$6:$G$41,0,0,1),0)</f>
        <v>0</v>
      </c>
      <c r="G54" s="125">
        <f>IFERROR(_xlfn.XLOOKUP($C54,'Air Quality'!$B$6:$B$40,'Air Quality'!$D$6:$D$40,0,0,1),0)</f>
        <v>0</v>
      </c>
      <c r="H54" s="172">
        <f>IFERROR(_xlfn.XLOOKUP($C54,'Air Quality'!$B$6:$B$40,'Air Quality'!$L$6:$L$40,0,0,1),0)</f>
        <v>0</v>
      </c>
      <c r="I54" s="173">
        <f>IFERROR(_xlfn.XLOOKUP($C54,'Air Quality'!$B$6:$B$40,'Air Quality'!$E$6:$E$40,0,0,1),0)</f>
        <v>0</v>
      </c>
      <c r="J54" s="125">
        <f>IFERROR(_xlfn.XLOOKUP($C54,'Safety Improvements'!B$6:B$35,'Safety Improvements'!E$6:E$35,0,0,1),0)</f>
        <v>0</v>
      </c>
      <c r="K54" s="124">
        <f>IFERROR(_xlfn.XLOOKUP($C54,'Network Crash Savings'!$B$6:$B$35,'Network Crash Savings'!$E$6:$E$35,0,0,1),0)</f>
        <v>0</v>
      </c>
      <c r="L54" s="125">
        <f>IFERROR(_xlfn.XLOOKUP($C54,'O&amp;M + Rehab'!$B$5:$B$40,'O&amp;M + Rehab'!$E$5:$E$40,0,0,1),0)</f>
        <v>0</v>
      </c>
      <c r="M54" s="124">
        <f>IFERROR(_xlfn.XLOOKUP($C54,'Capital Cost + RCV'!$B$6:$B$41,'Capital Cost + RCV'!$E$6:$E$41,0,0,1),0)</f>
        <v>0</v>
      </c>
      <c r="N54" s="174">
        <f t="shared" si="2"/>
        <v>0</v>
      </c>
      <c r="O54" s="175">
        <f>IFERROR(SUM(D54,E54,H54,J54:M54,F54)*(1+0.07)^-($C54-Assumptions!$D$11)+I54,0)</f>
        <v>0</v>
      </c>
    </row>
    <row r="55" spans="3:15" ht="15" hidden="1" customHeight="1" outlineLevel="1" x14ac:dyDescent="0.25">
      <c r="C55" s="105">
        <f t="shared" si="1"/>
        <v>2070</v>
      </c>
      <c r="D55" s="125">
        <f>IFERROR(_xlfn.XLOOKUP($C55,'Travel Time Savings'!$B$6:$B$41,'Travel Time Savings'!$G$6:$G$41,0,0,1),0)</f>
        <v>0</v>
      </c>
      <c r="E55" s="172">
        <f>IFERROR(_xlfn.XLOOKUP($C55,'Construction Travel Time Impact'!$B$6:$B$41,'Construction Travel Time Impact'!$G$6:$G$41,0,0,1),0)</f>
        <v>0</v>
      </c>
      <c r="F55" s="172">
        <f>IFERROR(_xlfn.XLOOKUP($C55,'VOC Savings'!$B$6:$B$41,'VOC Savings'!$G$6:$G$41,0,0,1),0)</f>
        <v>0</v>
      </c>
      <c r="G55" s="125">
        <f>IFERROR(_xlfn.XLOOKUP($C55,'Air Quality'!$B$6:$B$40,'Air Quality'!$D$6:$D$40,0,0,1),0)</f>
        <v>0</v>
      </c>
      <c r="H55" s="172">
        <f>IFERROR(_xlfn.XLOOKUP($C55,'Air Quality'!$B$6:$B$40,'Air Quality'!$L$6:$L$40,0,0,1),0)</f>
        <v>0</v>
      </c>
      <c r="I55" s="173">
        <f>IFERROR(_xlfn.XLOOKUP($C55,'Air Quality'!$B$6:$B$40,'Air Quality'!$E$6:$E$40,0,0,1),0)</f>
        <v>0</v>
      </c>
      <c r="J55" s="125">
        <f>IFERROR(_xlfn.XLOOKUP($C55,'Safety Improvements'!B$6:B$35,'Safety Improvements'!E$6:E$35,0,0,1),0)</f>
        <v>0</v>
      </c>
      <c r="K55" s="124">
        <f>IFERROR(_xlfn.XLOOKUP($C55,'Network Crash Savings'!$B$6:$B$35,'Network Crash Savings'!$E$6:$E$35,0,0,1),0)</f>
        <v>0</v>
      </c>
      <c r="L55" s="125">
        <f>IFERROR(_xlfn.XLOOKUP($C55,'O&amp;M + Rehab'!$B$5:$B$40,'O&amp;M + Rehab'!$E$5:$E$40,0,0,1),0)</f>
        <v>0</v>
      </c>
      <c r="M55" s="124">
        <f>IFERROR(_xlfn.XLOOKUP($C55,'Capital Cost + RCV'!$B$6:$B$41,'Capital Cost + RCV'!$E$6:$E$41,0,0,1),0)</f>
        <v>0</v>
      </c>
      <c r="N55" s="174">
        <f t="shared" si="2"/>
        <v>0</v>
      </c>
      <c r="O55" s="175">
        <f>IFERROR(SUM(D55,E55,H55,J55:M55,F55)*(1+0.07)^-($C55-Assumptions!$D$11)+I55,0)</f>
        <v>0</v>
      </c>
    </row>
    <row r="56" spans="3:15" ht="15" hidden="1" customHeight="1" outlineLevel="1" x14ac:dyDescent="0.25">
      <c r="C56" s="105">
        <f t="shared" si="1"/>
        <v>2071</v>
      </c>
      <c r="D56" s="125">
        <f>IFERROR(_xlfn.XLOOKUP($C56,'Travel Time Savings'!$B$6:$B$41,'Travel Time Savings'!$G$6:$G$41,0,0,1),0)</f>
        <v>0</v>
      </c>
      <c r="E56" s="172">
        <f>IFERROR(_xlfn.XLOOKUP($C56,'Construction Travel Time Impact'!$B$6:$B$41,'Construction Travel Time Impact'!$G$6:$G$41,0,0,1),0)</f>
        <v>0</v>
      </c>
      <c r="F56" s="172">
        <f>IFERROR(_xlfn.XLOOKUP($C56,'VOC Savings'!$B$6:$B$41,'VOC Savings'!$G$6:$G$41,0,0,1),0)</f>
        <v>0</v>
      </c>
      <c r="G56" s="125">
        <f>IFERROR(_xlfn.XLOOKUP($C56,'Air Quality'!$B$6:$B$40,'Air Quality'!$D$6:$D$40,0,0,1),0)</f>
        <v>0</v>
      </c>
      <c r="H56" s="172">
        <f>IFERROR(_xlfn.XLOOKUP($C56,'Air Quality'!$B$6:$B$40,'Air Quality'!$L$6:$L$40,0,0,1),0)</f>
        <v>0</v>
      </c>
      <c r="I56" s="173">
        <f>IFERROR(_xlfn.XLOOKUP($C56,'Air Quality'!$B$6:$B$40,'Air Quality'!$E$6:$E$40,0,0,1),0)</f>
        <v>0</v>
      </c>
      <c r="J56" s="125">
        <f>IFERROR(_xlfn.XLOOKUP($C56,'Safety Improvements'!B$6:B$35,'Safety Improvements'!E$6:E$35,0,0,1),0)</f>
        <v>0</v>
      </c>
      <c r="K56" s="124">
        <f>IFERROR(_xlfn.XLOOKUP($C56,'Network Crash Savings'!$B$6:$B$35,'Network Crash Savings'!$E$6:$E$35,0,0,1),0)</f>
        <v>0</v>
      </c>
      <c r="L56" s="125">
        <f>IFERROR(_xlfn.XLOOKUP($C56,'O&amp;M + Rehab'!$B$5:$B$40,'O&amp;M + Rehab'!$E$5:$E$40,0,0,1),0)</f>
        <v>0</v>
      </c>
      <c r="M56" s="124">
        <f>IFERROR(_xlfn.XLOOKUP($C56,'Capital Cost + RCV'!$B$6:$B$41,'Capital Cost + RCV'!$E$6:$E$41,0,0,1),0)</f>
        <v>0</v>
      </c>
      <c r="N56" s="174">
        <f t="shared" si="2"/>
        <v>0</v>
      </c>
      <c r="O56" s="175">
        <f>IFERROR(SUM(D56,E56,H56,J56:M56,F56)*(1+0.07)^-($C56-Assumptions!$D$11)+I56,0)</f>
        <v>0</v>
      </c>
    </row>
    <row r="57" spans="3:15" ht="15" hidden="1" customHeight="1" outlineLevel="1" x14ac:dyDescent="0.25">
      <c r="C57" s="105">
        <f t="shared" si="1"/>
        <v>2072</v>
      </c>
      <c r="D57" s="125">
        <f>IFERROR(_xlfn.XLOOKUP($C57,'Travel Time Savings'!$B$6:$B$41,'Travel Time Savings'!$G$6:$G$41,0,0,1),0)</f>
        <v>0</v>
      </c>
      <c r="E57" s="172">
        <f>IFERROR(_xlfn.XLOOKUP($C57,'Construction Travel Time Impact'!$B$6:$B$41,'Construction Travel Time Impact'!$G$6:$G$41,0,0,1),0)</f>
        <v>0</v>
      </c>
      <c r="F57" s="172">
        <f>IFERROR(_xlfn.XLOOKUP($C57,'VOC Savings'!$B$6:$B$41,'VOC Savings'!$G$6:$G$41,0,0,1),0)</f>
        <v>0</v>
      </c>
      <c r="G57" s="125">
        <f>IFERROR(_xlfn.XLOOKUP($C57,'Air Quality'!$B$6:$B$40,'Air Quality'!$D$6:$D$40,0,0,1),0)</f>
        <v>0</v>
      </c>
      <c r="H57" s="172">
        <f>IFERROR(_xlfn.XLOOKUP($C57,'Air Quality'!$B$6:$B$40,'Air Quality'!$L$6:$L$40,0,0,1),0)</f>
        <v>0</v>
      </c>
      <c r="I57" s="173">
        <f>IFERROR(_xlfn.XLOOKUP($C57,'Air Quality'!$B$6:$B$40,'Air Quality'!$E$6:$E$40,0,0,1),0)</f>
        <v>0</v>
      </c>
      <c r="J57" s="125">
        <f>IFERROR(_xlfn.XLOOKUP($C57,'Safety Improvements'!B$6:B$35,'Safety Improvements'!E$6:E$35,0,0,1),0)</f>
        <v>0</v>
      </c>
      <c r="K57" s="124">
        <f>IFERROR(_xlfn.XLOOKUP($C57,'Network Crash Savings'!$B$6:$B$35,'Network Crash Savings'!$E$6:$E$35,0,0,1),0)</f>
        <v>0</v>
      </c>
      <c r="L57" s="125">
        <f>IFERROR(_xlfn.XLOOKUP($C57,'O&amp;M + Rehab'!$B$5:$B$40,'O&amp;M + Rehab'!$E$5:$E$40,0,0,1),0)</f>
        <v>0</v>
      </c>
      <c r="M57" s="124">
        <f>IFERROR(_xlfn.XLOOKUP($C57,'Capital Cost + RCV'!$B$6:$B$41,'Capital Cost + RCV'!$E$6:$E$41,0,0,1),0)</f>
        <v>0</v>
      </c>
      <c r="N57" s="174">
        <f t="shared" si="2"/>
        <v>0</v>
      </c>
      <c r="O57" s="175">
        <f>IFERROR(SUM(D57,E57,H57,J57:M57,F57)*(1+0.07)^-($C57-Assumptions!$D$11)+I57,0)</f>
        <v>0</v>
      </c>
    </row>
    <row r="58" spans="3:15" ht="15" hidden="1" customHeight="1" outlineLevel="1" x14ac:dyDescent="0.25">
      <c r="C58" s="105">
        <f t="shared" si="1"/>
        <v>2073</v>
      </c>
      <c r="D58" s="125">
        <f>IFERROR(_xlfn.XLOOKUP($C58,'Travel Time Savings'!$B$6:$B$41,'Travel Time Savings'!$G$6:$G$41,0,0,1),0)</f>
        <v>0</v>
      </c>
      <c r="E58" s="172">
        <f>IFERROR(_xlfn.XLOOKUP($C58,'Construction Travel Time Impact'!$B$6:$B$41,'Construction Travel Time Impact'!$G$6:$G$41,0,0,1),0)</f>
        <v>0</v>
      </c>
      <c r="F58" s="172">
        <f>IFERROR(_xlfn.XLOOKUP($C58,'VOC Savings'!$B$6:$B$41,'VOC Savings'!$G$6:$G$41,0,0,1),0)</f>
        <v>0</v>
      </c>
      <c r="G58" s="125">
        <f>IFERROR(_xlfn.XLOOKUP($C58,'Air Quality'!$B$6:$B$40,'Air Quality'!$D$6:$D$40,0,0,1),0)</f>
        <v>0</v>
      </c>
      <c r="H58" s="172">
        <f>IFERROR(_xlfn.XLOOKUP($C58,'Air Quality'!$B$6:$B$40,'Air Quality'!$L$6:$L$40,0,0,1),0)</f>
        <v>0</v>
      </c>
      <c r="I58" s="173">
        <f>IFERROR(_xlfn.XLOOKUP($C58,'Air Quality'!$B$6:$B$40,'Air Quality'!$E$6:$E$40,0,0,1),0)</f>
        <v>0</v>
      </c>
      <c r="J58" s="125">
        <f>IFERROR(_xlfn.XLOOKUP($C58,'Safety Improvements'!B$6:B$35,'Safety Improvements'!E$6:E$35,0,0,1),0)</f>
        <v>0</v>
      </c>
      <c r="K58" s="124">
        <f>IFERROR(_xlfn.XLOOKUP($C58,'Network Crash Savings'!$B$6:$B$35,'Network Crash Savings'!$E$6:$E$35,0,0,1),0)</f>
        <v>0</v>
      </c>
      <c r="L58" s="125">
        <f>IFERROR(_xlfn.XLOOKUP($C58,'O&amp;M + Rehab'!$B$5:$B$40,'O&amp;M + Rehab'!$E$5:$E$40,0,0,1),0)</f>
        <v>0</v>
      </c>
      <c r="M58" s="124">
        <f>IFERROR(_xlfn.XLOOKUP($C58,'Capital Cost + RCV'!$B$6:$B$41,'Capital Cost + RCV'!$E$6:$E$41,0,0,1),0)</f>
        <v>0</v>
      </c>
      <c r="N58" s="174">
        <f t="shared" si="2"/>
        <v>0</v>
      </c>
      <c r="O58" s="175">
        <f>IFERROR(SUM(D58,E58,H58,J58:M58,F58)*(1+0.07)^-($C58-Assumptions!$D$11)+I58,0)</f>
        <v>0</v>
      </c>
    </row>
    <row r="59" spans="3:15" ht="15" hidden="1" customHeight="1" outlineLevel="1" x14ac:dyDescent="0.25">
      <c r="C59" s="105">
        <f t="shared" si="1"/>
        <v>2074</v>
      </c>
      <c r="D59" s="125">
        <f>IFERROR(_xlfn.XLOOKUP($C59,'Travel Time Savings'!$B$6:$B$41,'Travel Time Savings'!$G$6:$G$41,0,0,1),0)</f>
        <v>0</v>
      </c>
      <c r="E59" s="172">
        <f>IFERROR(_xlfn.XLOOKUP($C59,'Construction Travel Time Impact'!$B$6:$B$41,'Construction Travel Time Impact'!$G$6:$G$41,0,0,1),0)</f>
        <v>0</v>
      </c>
      <c r="F59" s="172">
        <f>IFERROR(_xlfn.XLOOKUP($C59,'VOC Savings'!$B$6:$B$41,'VOC Savings'!$G$6:$G$41,0,0,1),0)</f>
        <v>0</v>
      </c>
      <c r="G59" s="125">
        <f>IFERROR(_xlfn.XLOOKUP($C59,'Air Quality'!$B$6:$B$40,'Air Quality'!$D$6:$D$40,0,0,1),0)</f>
        <v>0</v>
      </c>
      <c r="H59" s="172">
        <f>IFERROR(_xlfn.XLOOKUP($C59,'Air Quality'!$B$6:$B$40,'Air Quality'!$L$6:$L$40,0,0,1),0)</f>
        <v>0</v>
      </c>
      <c r="I59" s="173">
        <f>IFERROR(_xlfn.XLOOKUP($C59,'Air Quality'!$B$6:$B$40,'Air Quality'!$E$6:$E$40,0,0,1),0)</f>
        <v>0</v>
      </c>
      <c r="J59" s="125">
        <f>IFERROR(_xlfn.XLOOKUP($C59,'Safety Improvements'!B$6:B$35,'Safety Improvements'!E$6:E$35,0,0,1),0)</f>
        <v>0</v>
      </c>
      <c r="K59" s="124">
        <f>IFERROR(_xlfn.XLOOKUP($C59,'Network Crash Savings'!$B$6:$B$35,'Network Crash Savings'!$E$6:$E$35,0,0,1),0)</f>
        <v>0</v>
      </c>
      <c r="L59" s="125">
        <f>IFERROR(_xlfn.XLOOKUP($C59,'O&amp;M + Rehab'!$B$5:$B$40,'O&amp;M + Rehab'!$E$5:$E$40,0,0,1),0)</f>
        <v>0</v>
      </c>
      <c r="M59" s="124">
        <f>IFERROR(_xlfn.XLOOKUP($C59,'Capital Cost + RCV'!$B$6:$B$41,'Capital Cost + RCV'!$E$6:$E$41,0,0,1),0)</f>
        <v>0</v>
      </c>
      <c r="N59" s="174">
        <f t="shared" si="2"/>
        <v>0</v>
      </c>
      <c r="O59" s="175">
        <f>IFERROR(SUM(D59,E59,H59,J59:M59,F59)*(1+0.07)^-($C59-Assumptions!$D$11)+I59,0)</f>
        <v>0</v>
      </c>
    </row>
    <row r="60" spans="3:15" ht="15" hidden="1" customHeight="1" outlineLevel="1" x14ac:dyDescent="0.25">
      <c r="C60" s="105">
        <f t="shared" si="1"/>
        <v>2075</v>
      </c>
      <c r="D60" s="125">
        <f>IFERROR(_xlfn.XLOOKUP($C60,'Travel Time Savings'!$B$6:$B$41,'Travel Time Savings'!$G$6:$G$41,0,0,1),0)</f>
        <v>0</v>
      </c>
      <c r="E60" s="172">
        <f>IFERROR(_xlfn.XLOOKUP($C60,'Construction Travel Time Impact'!$B$6:$B$41,'Construction Travel Time Impact'!$G$6:$G$41,0,0,1),0)</f>
        <v>0</v>
      </c>
      <c r="F60" s="172">
        <f>IFERROR(_xlfn.XLOOKUP($C60,'VOC Savings'!$B$6:$B$41,'VOC Savings'!$G$6:$G$41,0,0,1),0)</f>
        <v>0</v>
      </c>
      <c r="G60" s="125">
        <f>IFERROR(_xlfn.XLOOKUP($C60,'Air Quality'!$B$6:$B$40,'Air Quality'!$D$6:$D$40,0,0,1),0)</f>
        <v>0</v>
      </c>
      <c r="H60" s="172">
        <f>IFERROR(_xlfn.XLOOKUP($C60,'Air Quality'!$B$6:$B$40,'Air Quality'!$L$6:$L$40,0,0,1),0)</f>
        <v>0</v>
      </c>
      <c r="I60" s="173">
        <f>IFERROR(_xlfn.XLOOKUP($C60,'Air Quality'!$B$6:$B$40,'Air Quality'!$E$6:$E$40,0,0,1),0)</f>
        <v>0</v>
      </c>
      <c r="J60" s="125">
        <f>IFERROR(_xlfn.XLOOKUP($C60,'Safety Improvements'!B$6:B$35,'Safety Improvements'!E$6:E$35,0,0,1),0)</f>
        <v>0</v>
      </c>
      <c r="K60" s="124">
        <f>IFERROR(_xlfn.XLOOKUP($C60,'Network Crash Savings'!$B$6:$B$35,'Network Crash Savings'!$E$6:$E$35,0,0,1),0)</f>
        <v>0</v>
      </c>
      <c r="L60" s="125">
        <f>IFERROR(_xlfn.XLOOKUP($C60,'O&amp;M + Rehab'!$B$5:$B$40,'O&amp;M + Rehab'!$E$5:$E$40,0,0,1),0)</f>
        <v>0</v>
      </c>
      <c r="M60" s="124">
        <f>IFERROR(_xlfn.XLOOKUP($C60,'Capital Cost + RCV'!$B$6:$B$41,'Capital Cost + RCV'!$E$6:$E$41,0,0,1),0)</f>
        <v>0</v>
      </c>
      <c r="N60" s="174">
        <f t="shared" si="2"/>
        <v>0</v>
      </c>
      <c r="O60" s="175">
        <f>IFERROR(SUM(D60,E60,H60,J60:M60,F60)*(1+0.07)^-($C60-Assumptions!$D$11)+I60,0)</f>
        <v>0</v>
      </c>
    </row>
    <row r="61" spans="3:15" ht="15" hidden="1" customHeight="1" outlineLevel="1" x14ac:dyDescent="0.25">
      <c r="C61" s="105">
        <f t="shared" si="1"/>
        <v>2076</v>
      </c>
      <c r="D61" s="125">
        <f>IFERROR(_xlfn.XLOOKUP($C61,'Travel Time Savings'!$B$6:$B$41,'Travel Time Savings'!$G$6:$G$41,0,0,1),0)</f>
        <v>0</v>
      </c>
      <c r="E61" s="172">
        <f>IFERROR(_xlfn.XLOOKUP($C61,'Construction Travel Time Impact'!$B$6:$B$41,'Construction Travel Time Impact'!$G$6:$G$41,0,0,1),0)</f>
        <v>0</v>
      </c>
      <c r="F61" s="172">
        <f>IFERROR(_xlfn.XLOOKUP($C61,'VOC Savings'!$B$6:$B$41,'VOC Savings'!$G$6:$G$41,0,0,1),0)</f>
        <v>0</v>
      </c>
      <c r="G61" s="125">
        <f>IFERROR(_xlfn.XLOOKUP($C61,'Air Quality'!$B$6:$B$40,'Air Quality'!$D$6:$D$40,0,0,1),0)</f>
        <v>0</v>
      </c>
      <c r="H61" s="172">
        <f>IFERROR(_xlfn.XLOOKUP($C61,'Air Quality'!$B$6:$B$40,'Air Quality'!$L$6:$L$40,0,0,1),0)</f>
        <v>0</v>
      </c>
      <c r="I61" s="173">
        <f>IFERROR(_xlfn.XLOOKUP($C61,'Air Quality'!$B$6:$B$40,'Air Quality'!$E$6:$E$40,0,0,1),0)</f>
        <v>0</v>
      </c>
      <c r="J61" s="125">
        <f>IFERROR(_xlfn.XLOOKUP($C61,'Safety Improvements'!B$6:B$35,'Safety Improvements'!E$6:E$35,0,0,1),0)</f>
        <v>0</v>
      </c>
      <c r="K61" s="124">
        <f>IFERROR(_xlfn.XLOOKUP($C61,'Network Crash Savings'!$B$6:$B$35,'Network Crash Savings'!$E$6:$E$35,0,0,1),0)</f>
        <v>0</v>
      </c>
      <c r="L61" s="125">
        <f>IFERROR(_xlfn.XLOOKUP($C61,'O&amp;M + Rehab'!$B$5:$B$40,'O&amp;M + Rehab'!$E$5:$E$40,0,0,1),0)</f>
        <v>0</v>
      </c>
      <c r="M61" s="124">
        <f>IFERROR(_xlfn.XLOOKUP($C61,'Capital Cost + RCV'!$B$6:$B$41,'Capital Cost + RCV'!$E$6:$E$41,0,0,1),0)</f>
        <v>0</v>
      </c>
      <c r="N61" s="174">
        <f t="shared" si="2"/>
        <v>0</v>
      </c>
      <c r="O61" s="175">
        <f>IFERROR(SUM(D61,E61,H61,J61:M61,F61)*(1+0.07)^-($C61-Assumptions!$D$11)+I61,0)</f>
        <v>0</v>
      </c>
    </row>
    <row r="62" spans="3:15" ht="15" hidden="1" customHeight="1" outlineLevel="1" x14ac:dyDescent="0.25">
      <c r="C62" s="105">
        <f t="shared" si="1"/>
        <v>2077</v>
      </c>
      <c r="D62" s="125">
        <f>IFERROR(_xlfn.XLOOKUP($C62,'Travel Time Savings'!$B$6:$B$41,'Travel Time Savings'!$G$6:$G$41,0,0,1),0)</f>
        <v>0</v>
      </c>
      <c r="E62" s="172">
        <f>IFERROR(_xlfn.XLOOKUP($C62,'Construction Travel Time Impact'!$B$6:$B$41,'Construction Travel Time Impact'!$G$6:$G$41,0,0,1),0)</f>
        <v>0</v>
      </c>
      <c r="F62" s="172">
        <f>IFERROR(_xlfn.XLOOKUP($C62,'VOC Savings'!$B$6:$B$41,'VOC Savings'!$G$6:$G$41,0,0,1),0)</f>
        <v>0</v>
      </c>
      <c r="G62" s="125">
        <f>IFERROR(_xlfn.XLOOKUP($C62,'Air Quality'!$B$6:$B$40,'Air Quality'!$D$6:$D$40,0,0,1),0)</f>
        <v>0</v>
      </c>
      <c r="H62" s="172">
        <f>IFERROR(_xlfn.XLOOKUP($C62,'Air Quality'!$B$6:$B$40,'Air Quality'!$L$6:$L$40,0,0,1),0)</f>
        <v>0</v>
      </c>
      <c r="I62" s="173">
        <f>IFERROR(_xlfn.XLOOKUP($C62,'Air Quality'!$B$6:$B$40,'Air Quality'!$E$6:$E$40,0,0,1),0)</f>
        <v>0</v>
      </c>
      <c r="J62" s="125">
        <f>IFERROR(_xlfn.XLOOKUP($C62,'Safety Improvements'!B$6:B$35,'Safety Improvements'!E$6:E$35,0,0,1),0)</f>
        <v>0</v>
      </c>
      <c r="K62" s="124">
        <f>IFERROR(_xlfn.XLOOKUP($C62,'Network Crash Savings'!$B$6:$B$35,'Network Crash Savings'!$E$6:$E$35,0,0,1),0)</f>
        <v>0</v>
      </c>
      <c r="L62" s="125">
        <f>IFERROR(_xlfn.XLOOKUP($C62,'O&amp;M + Rehab'!$B$5:$B$40,'O&amp;M + Rehab'!$E$5:$E$40,0,0,1),0)</f>
        <v>0</v>
      </c>
      <c r="M62" s="124">
        <f>IFERROR(_xlfn.XLOOKUP($C62,'Capital Cost + RCV'!$B$6:$B$41,'Capital Cost + RCV'!$E$6:$E$41,0,0,1),0)</f>
        <v>0</v>
      </c>
      <c r="N62" s="174">
        <f t="shared" si="2"/>
        <v>0</v>
      </c>
      <c r="O62" s="175">
        <f>IFERROR(SUM(D62,E62,H62,J62:M62,F62)*(1+0.07)^-($C62-Assumptions!$D$11)+I62,0)</f>
        <v>0</v>
      </c>
    </row>
    <row r="63" spans="3:15" ht="15" hidden="1" customHeight="1" outlineLevel="1" x14ac:dyDescent="0.25">
      <c r="C63" s="105">
        <f t="shared" si="1"/>
        <v>2078</v>
      </c>
      <c r="D63" s="125">
        <f>IFERROR(_xlfn.XLOOKUP($C63,'Travel Time Savings'!$B$6:$B$41,'Travel Time Savings'!$G$6:$G$41,0,0,1),0)</f>
        <v>0</v>
      </c>
      <c r="E63" s="172">
        <f>IFERROR(_xlfn.XLOOKUP($C63,'Construction Travel Time Impact'!$B$6:$B$41,'Construction Travel Time Impact'!$G$6:$G$41,0,0,1),0)</f>
        <v>0</v>
      </c>
      <c r="F63" s="172">
        <f>IFERROR(_xlfn.XLOOKUP($C63,'VOC Savings'!$B$6:$B$41,'VOC Savings'!$G$6:$G$41,0,0,1),0)</f>
        <v>0</v>
      </c>
      <c r="G63" s="125">
        <f>IFERROR(_xlfn.XLOOKUP($C63,'Air Quality'!$B$6:$B$40,'Air Quality'!$D$6:$D$40,0,0,1),0)</f>
        <v>0</v>
      </c>
      <c r="H63" s="172">
        <f>IFERROR(_xlfn.XLOOKUP($C63,'Air Quality'!$B$6:$B$40,'Air Quality'!$L$6:$L$40,0,0,1),0)</f>
        <v>0</v>
      </c>
      <c r="I63" s="173">
        <f>IFERROR(_xlfn.XLOOKUP($C63,'Air Quality'!$B$6:$B$40,'Air Quality'!$E$6:$E$40,0,0,1),0)</f>
        <v>0</v>
      </c>
      <c r="J63" s="125">
        <f>IFERROR(_xlfn.XLOOKUP($C63,'Safety Improvements'!B$6:B$35,'Safety Improvements'!E$6:E$35,0,0,1),0)</f>
        <v>0</v>
      </c>
      <c r="K63" s="124">
        <f>IFERROR(_xlfn.XLOOKUP($C63,'Network Crash Savings'!$B$6:$B$35,'Network Crash Savings'!$E$6:$E$35,0,0,1),0)</f>
        <v>0</v>
      </c>
      <c r="L63" s="125">
        <f>IFERROR(_xlfn.XLOOKUP($C63,'O&amp;M + Rehab'!$B$5:$B$40,'O&amp;M + Rehab'!$E$5:$E$40,0,0,1),0)</f>
        <v>0</v>
      </c>
      <c r="M63" s="124">
        <f>IFERROR(_xlfn.XLOOKUP($C63,'Capital Cost + RCV'!$B$6:$B$41,'Capital Cost + RCV'!$E$6:$E$41,0,0,1),0)</f>
        <v>0</v>
      </c>
      <c r="N63" s="174">
        <f t="shared" si="2"/>
        <v>0</v>
      </c>
      <c r="O63" s="175">
        <f>IFERROR(SUM(D63,E63,H63,J63:M63,F63)*(1+0.07)^-($C63-Assumptions!$D$11)+I63,0)</f>
        <v>0</v>
      </c>
    </row>
    <row r="64" spans="3:15" ht="15" hidden="1" customHeight="1" outlineLevel="1" x14ac:dyDescent="0.25">
      <c r="C64" s="105">
        <f t="shared" si="1"/>
        <v>2079</v>
      </c>
      <c r="D64" s="125">
        <f>IFERROR(_xlfn.XLOOKUP($C64,'Travel Time Savings'!$B$6:$B$41,'Travel Time Savings'!$G$6:$G$41,0,0,1),0)</f>
        <v>0</v>
      </c>
      <c r="E64" s="172">
        <f>IFERROR(_xlfn.XLOOKUP($C64,'Construction Travel Time Impact'!$B$6:$B$41,'Construction Travel Time Impact'!$G$6:$G$41,0,0,1),0)</f>
        <v>0</v>
      </c>
      <c r="F64" s="172">
        <f>IFERROR(_xlfn.XLOOKUP($C64,'VOC Savings'!$B$6:$B$41,'VOC Savings'!$G$6:$G$41,0,0,1),0)</f>
        <v>0</v>
      </c>
      <c r="G64" s="125">
        <f>IFERROR(_xlfn.XLOOKUP($C64,'Air Quality'!$B$6:$B$40,'Air Quality'!$D$6:$D$40,0,0,1),0)</f>
        <v>0</v>
      </c>
      <c r="H64" s="172">
        <f>IFERROR(_xlfn.XLOOKUP($C64,'Air Quality'!$B$6:$B$40,'Air Quality'!$L$6:$L$40,0,0,1),0)</f>
        <v>0</v>
      </c>
      <c r="I64" s="173">
        <f>IFERROR(_xlfn.XLOOKUP($C64,'Air Quality'!$B$6:$B$40,'Air Quality'!$E$6:$E$40,0,0,1),0)</f>
        <v>0</v>
      </c>
      <c r="J64" s="125">
        <f>IFERROR(_xlfn.XLOOKUP($C64,'Safety Improvements'!B$6:B$35,'Safety Improvements'!E$6:E$35,0,0,1),0)</f>
        <v>0</v>
      </c>
      <c r="K64" s="124">
        <f>IFERROR(_xlfn.XLOOKUP($C64,'Network Crash Savings'!$B$6:$B$35,'Network Crash Savings'!$E$6:$E$35,0,0,1),0)</f>
        <v>0</v>
      </c>
      <c r="L64" s="125">
        <f>IFERROR(_xlfn.XLOOKUP($C64,'O&amp;M + Rehab'!$B$5:$B$40,'O&amp;M + Rehab'!$E$5:$E$40,0,0,1),0)</f>
        <v>0</v>
      </c>
      <c r="M64" s="124">
        <f>IFERROR(_xlfn.XLOOKUP($C64,'Capital Cost + RCV'!$B$6:$B$41,'Capital Cost + RCV'!$E$6:$E$41,0,0,1),0)</f>
        <v>0</v>
      </c>
      <c r="N64" s="174">
        <f t="shared" si="2"/>
        <v>0</v>
      </c>
      <c r="O64" s="175">
        <f>IFERROR(SUM(D64,E64,H64,J64:M64,F64)*(1+0.07)^-($C64-Assumptions!$D$11)+I64,0)</f>
        <v>0</v>
      </c>
    </row>
    <row r="65" spans="2:15" ht="15" hidden="1" customHeight="1" outlineLevel="1" x14ac:dyDescent="0.25">
      <c r="C65" s="105">
        <f t="shared" si="1"/>
        <v>2080</v>
      </c>
      <c r="D65" s="125">
        <f>IFERROR(_xlfn.XLOOKUP($C65,'Travel Time Savings'!$B$6:$B$41,'Travel Time Savings'!$G$6:$G$41,0,0,1),0)</f>
        <v>0</v>
      </c>
      <c r="E65" s="172">
        <f>IFERROR(_xlfn.XLOOKUP($C65,'Construction Travel Time Impact'!$B$6:$B$41,'Construction Travel Time Impact'!$G$6:$G$41,0,0,1),0)</f>
        <v>0</v>
      </c>
      <c r="F65" s="172">
        <f>IFERROR(_xlfn.XLOOKUP($C65,'VOC Savings'!$B$6:$B$41,'VOC Savings'!$G$6:$G$41,0,0,1),0)</f>
        <v>0</v>
      </c>
      <c r="G65" s="125">
        <f>IFERROR(_xlfn.XLOOKUP($C65,'Air Quality'!$B$6:$B$40,'Air Quality'!$D$6:$D$40,0,0,1),0)</f>
        <v>0</v>
      </c>
      <c r="H65" s="172">
        <f>IFERROR(_xlfn.XLOOKUP($C65,'Air Quality'!$B$6:$B$40,'Air Quality'!$L$6:$L$40,0,0,1),0)</f>
        <v>0</v>
      </c>
      <c r="I65" s="173">
        <f>IFERROR(_xlfn.XLOOKUP($C65,'Air Quality'!$B$6:$B$40,'Air Quality'!$E$6:$E$40,0,0,1),0)</f>
        <v>0</v>
      </c>
      <c r="J65" s="125">
        <f>IFERROR(_xlfn.XLOOKUP($C65,'Safety Improvements'!B$6:B$35,'Safety Improvements'!E$6:E$35,0,0,1),0)</f>
        <v>0</v>
      </c>
      <c r="K65" s="124">
        <f>IFERROR(_xlfn.XLOOKUP($C65,'Network Crash Savings'!$B$6:$B$35,'Network Crash Savings'!$E$6:$E$35,0,0,1),0)</f>
        <v>0</v>
      </c>
      <c r="L65" s="125">
        <f>IFERROR(_xlfn.XLOOKUP($C65,'O&amp;M + Rehab'!$B$5:$B$40,'O&amp;M + Rehab'!$E$5:$E$40,0,0,1),0)</f>
        <v>0</v>
      </c>
      <c r="M65" s="124">
        <f>IFERROR(_xlfn.XLOOKUP($C65,'Capital Cost + RCV'!$B$6:$B$41,'Capital Cost + RCV'!$E$6:$E$41,0,0,1),0)</f>
        <v>0</v>
      </c>
      <c r="N65" s="174">
        <f t="shared" si="2"/>
        <v>0</v>
      </c>
      <c r="O65" s="175">
        <f>IFERROR(SUM(D65,E65,H65,J65:M65,F65)*(1+0.07)^-($C65-Assumptions!$D$11)+I65,0)</f>
        <v>0</v>
      </c>
    </row>
    <row r="66" spans="2:15" ht="15" hidden="1" customHeight="1" outlineLevel="1" x14ac:dyDescent="0.25">
      <c r="C66" s="105">
        <f t="shared" si="1"/>
        <v>2081</v>
      </c>
      <c r="D66" s="125">
        <f>IFERROR(_xlfn.XLOOKUP($C66,'Travel Time Savings'!$B$6:$B$41,'Travel Time Savings'!$G$6:$G$41,0,0,1),0)</f>
        <v>0</v>
      </c>
      <c r="E66" s="172">
        <f>IFERROR(_xlfn.XLOOKUP($C66,'Construction Travel Time Impact'!$B$6:$B$41,'Construction Travel Time Impact'!$G$6:$G$41,0,0,1),0)</f>
        <v>0</v>
      </c>
      <c r="F66" s="172">
        <f>IFERROR(_xlfn.XLOOKUP($C66,'VOC Savings'!$B$6:$B$41,'VOC Savings'!$G$6:$G$41,0,0,1),0)</f>
        <v>0</v>
      </c>
      <c r="G66" s="125">
        <f>IFERROR(_xlfn.XLOOKUP($C66,'Air Quality'!$B$6:$B$40,'Air Quality'!$D$6:$D$40,0,0,1),0)</f>
        <v>0</v>
      </c>
      <c r="H66" s="172">
        <f>IFERROR(_xlfn.XLOOKUP($C66,'Air Quality'!$B$6:$B$40,'Air Quality'!$L$6:$L$40,0,0,1),0)</f>
        <v>0</v>
      </c>
      <c r="I66" s="173">
        <f>IFERROR(_xlfn.XLOOKUP($C66,'Air Quality'!$B$6:$B$40,'Air Quality'!$E$6:$E$40,0,0,1),0)</f>
        <v>0</v>
      </c>
      <c r="J66" s="125">
        <f>IFERROR(_xlfn.XLOOKUP($C66,'Safety Improvements'!B$6:B$35,'Safety Improvements'!E$6:E$35,0,0,1),0)</f>
        <v>0</v>
      </c>
      <c r="K66" s="124">
        <f>IFERROR(_xlfn.XLOOKUP($C66,'Network Crash Savings'!$B$6:$B$35,'Network Crash Savings'!$E$6:$E$35,0,0,1),0)</f>
        <v>0</v>
      </c>
      <c r="L66" s="125">
        <f>IFERROR(_xlfn.XLOOKUP($C66,'O&amp;M + Rehab'!$B$5:$B$40,'O&amp;M + Rehab'!$E$5:$E$40,0,0,1),0)</f>
        <v>0</v>
      </c>
      <c r="M66" s="124">
        <f>IFERROR(_xlfn.XLOOKUP($C66,'Capital Cost + RCV'!$B$6:$B$41,'Capital Cost + RCV'!$E$6:$E$41,0,0,1),0)</f>
        <v>0</v>
      </c>
      <c r="N66" s="174">
        <f t="shared" si="2"/>
        <v>0</v>
      </c>
      <c r="O66" s="175">
        <f>IFERROR(SUM(D66,E66,H66,J66:M66,F66)*(1+0.07)^-($C66-Assumptions!$D$11)+I66,0)</f>
        <v>0</v>
      </c>
    </row>
    <row r="67" spans="2:15" ht="15" hidden="1" customHeight="1" outlineLevel="1" x14ac:dyDescent="0.25">
      <c r="C67" s="105">
        <f t="shared" si="1"/>
        <v>2082</v>
      </c>
      <c r="D67" s="125">
        <f>IFERROR(_xlfn.XLOOKUP($C67,'Travel Time Savings'!$B$6:$B$41,'Travel Time Savings'!$G$6:$G$41,0,0,1),0)</f>
        <v>0</v>
      </c>
      <c r="E67" s="172">
        <f>IFERROR(_xlfn.XLOOKUP($C67,'Construction Travel Time Impact'!$B$6:$B$41,'Construction Travel Time Impact'!$G$6:$G$41,0,0,1),0)</f>
        <v>0</v>
      </c>
      <c r="F67" s="172">
        <f>IFERROR(_xlfn.XLOOKUP($C67,'VOC Savings'!$B$6:$B$41,'VOC Savings'!$G$6:$G$41,0,0,1),0)</f>
        <v>0</v>
      </c>
      <c r="G67" s="125">
        <f>IFERROR(_xlfn.XLOOKUP($C67,'Air Quality'!$B$6:$B$40,'Air Quality'!$D$6:$D$40,0,0,1),0)</f>
        <v>0</v>
      </c>
      <c r="H67" s="172">
        <f>IFERROR(_xlfn.XLOOKUP($C67,'Air Quality'!$B$6:$B$40,'Air Quality'!$L$6:$L$40,0,0,1),0)</f>
        <v>0</v>
      </c>
      <c r="I67" s="173">
        <f>IFERROR(_xlfn.XLOOKUP($C67,'Air Quality'!$B$6:$B$40,'Air Quality'!$E$6:$E$40,0,0,1),0)</f>
        <v>0</v>
      </c>
      <c r="J67" s="125">
        <f>IFERROR(_xlfn.XLOOKUP($C67,'Safety Improvements'!B$6:B$35,'Safety Improvements'!E$6:E$35,0,0,1),0)</f>
        <v>0</v>
      </c>
      <c r="K67" s="124">
        <f>IFERROR(_xlfn.XLOOKUP($C67,'Network Crash Savings'!$B$6:$B$35,'Network Crash Savings'!$E$6:$E$35,0,0,1),0)</f>
        <v>0</v>
      </c>
      <c r="L67" s="125">
        <f>IFERROR(_xlfn.XLOOKUP($C67,'O&amp;M + Rehab'!$B$5:$B$40,'O&amp;M + Rehab'!$E$5:$E$40,0,0,1),0)</f>
        <v>0</v>
      </c>
      <c r="M67" s="124">
        <f>IFERROR(_xlfn.XLOOKUP($C67,'Capital Cost + RCV'!$B$6:$B$41,'Capital Cost + RCV'!$E$6:$E$41,0,0,1),0)</f>
        <v>0</v>
      </c>
      <c r="N67" s="174">
        <f t="shared" si="2"/>
        <v>0</v>
      </c>
      <c r="O67" s="175">
        <f>IFERROR(SUM(D67,E67,H67,J67:M67,F67)*(1+0.07)^-($C67-Assumptions!$D$11)+I67,0)</f>
        <v>0</v>
      </c>
    </row>
    <row r="68" spans="2:15" ht="15" hidden="1" customHeight="1" outlineLevel="1" thickBot="1" x14ac:dyDescent="0.3">
      <c r="C68" s="90">
        <f t="shared" si="1"/>
        <v>2083</v>
      </c>
      <c r="D68" s="128">
        <f>IFERROR(_xlfn.XLOOKUP($C68,'Travel Time Savings'!$B$6:$B$41,'Travel Time Savings'!$G$6:$G$41,0,0,1),0)</f>
        <v>0</v>
      </c>
      <c r="E68" s="176">
        <f>IFERROR(_xlfn.XLOOKUP($C68,'Construction Travel Time Impact'!$B$6:$B$41,'Construction Travel Time Impact'!$G$6:$G$41,0,0,1),0)</f>
        <v>0</v>
      </c>
      <c r="F68" s="176">
        <f>IFERROR(_xlfn.XLOOKUP($C68,'VOC Savings'!$B$6:$B$41,'VOC Savings'!$G$6:$G$41,0,0,1),0)</f>
        <v>0</v>
      </c>
      <c r="G68" s="128">
        <f>IFERROR(_xlfn.XLOOKUP($C68,'Air Quality'!$B$6:$B$40,'Air Quality'!$D$6:$D$40,0,0,1),0)</f>
        <v>0</v>
      </c>
      <c r="H68" s="176">
        <f>IFERROR(_xlfn.XLOOKUP($C68,'Air Quality'!$B$6:$B$40,'Air Quality'!$L$6:$L$40,0,0,1),0)</f>
        <v>0</v>
      </c>
      <c r="I68" s="177">
        <f>IFERROR(_xlfn.XLOOKUP($C68,'Air Quality'!$B$6:$B$40,'Air Quality'!$E$6:$E$40,0,0,1),0)</f>
        <v>0</v>
      </c>
      <c r="J68" s="128">
        <f>IFERROR(_xlfn.XLOOKUP($C68,'Safety Improvements'!B$6:B$35,'Safety Improvements'!E$6:E$35,0,0,1),0)</f>
        <v>0</v>
      </c>
      <c r="K68" s="127">
        <f>IFERROR(_xlfn.XLOOKUP($C68,'Network Crash Savings'!$B$6:$B$35,'Network Crash Savings'!$E$6:$E$35,0,0,1),0)</f>
        <v>0</v>
      </c>
      <c r="L68" s="128">
        <f>IFERROR(_xlfn.XLOOKUP($C68,'O&amp;M + Rehab'!$B$5:$B$40,'O&amp;M + Rehab'!$E$5:$E$40,0,0,1),0)</f>
        <v>0</v>
      </c>
      <c r="M68" s="127">
        <f>IFERROR(_xlfn.XLOOKUP($C68,'Capital Cost + RCV'!$B$6:$B$41,'Capital Cost + RCV'!$E$6:$E$41,0,0,1),0)</f>
        <v>0</v>
      </c>
      <c r="N68" s="178">
        <f t="shared" si="2"/>
        <v>0</v>
      </c>
      <c r="O68" s="179">
        <f>IFERROR(SUM(D68,E68,H68,J68:M68,F68)*(1+0.07)^-($C68-Assumptions!$D$11)+I68,0)</f>
        <v>0</v>
      </c>
    </row>
    <row r="69" spans="2:15" collapsed="1" x14ac:dyDescent="0.25">
      <c r="C69" s="3"/>
      <c r="M69" s="17" t="s">
        <v>2</v>
      </c>
      <c r="N69" s="118">
        <f>SUM(N8:N68)</f>
        <v>187554020.20236987</v>
      </c>
      <c r="O69" s="118">
        <f>SUM(O8:O68)</f>
        <v>71256596.52256307</v>
      </c>
    </row>
    <row r="70" spans="2:15" x14ac:dyDescent="0.25">
      <c r="B70" s="44"/>
      <c r="N70" s="180" t="s">
        <v>805</v>
      </c>
      <c r="O70" s="46">
        <f>SUM('Travel Time Savings'!$H$42,'VOC Savings'!$H$42,'Safety Improvements'!$F$36,'Air Quality'!$O$41,'Network Crash Savings'!$F$36,'Capital Cost + RCV'!$F$42,'Construction Travel Time Impact'!$H$42,'O&amp;M + Rehab'!$F$41)</f>
        <v>71256596.522563055</v>
      </c>
    </row>
    <row r="71" spans="2:15" x14ac:dyDescent="0.25">
      <c r="C71" s="2"/>
      <c r="D71" s="70"/>
      <c r="E71" s="70"/>
      <c r="F71" s="70"/>
      <c r="G71" s="70"/>
      <c r="H71" s="70"/>
      <c r="I71" s="70"/>
      <c r="J71" s="70"/>
      <c r="K71" s="70"/>
      <c r="L71" s="70"/>
      <c r="M71" s="70"/>
      <c r="N71" s="70"/>
      <c r="O71" s="20"/>
    </row>
    <row r="72" spans="2:15" x14ac:dyDescent="0.25">
      <c r="C72" s="71"/>
      <c r="D72" s="52"/>
      <c r="E72" s="52"/>
      <c r="F72" s="52"/>
      <c r="G72" s="52"/>
      <c r="H72" s="52"/>
      <c r="I72" s="52"/>
      <c r="J72" s="52"/>
      <c r="K72" s="52"/>
      <c r="L72" s="52"/>
      <c r="M72" s="52"/>
      <c r="N72" s="52"/>
    </row>
    <row r="75" spans="2:15" ht="15.75" thickBot="1" x14ac:dyDescent="0.3">
      <c r="C75" s="82" t="s">
        <v>7</v>
      </c>
      <c r="D75" s="181"/>
      <c r="E75" s="181"/>
    </row>
    <row r="76" spans="2:15" x14ac:dyDescent="0.25">
      <c r="C76" s="673" t="s">
        <v>0</v>
      </c>
      <c r="D76" s="675" t="s">
        <v>32</v>
      </c>
      <c r="E76" s="675" t="s">
        <v>28</v>
      </c>
    </row>
    <row r="77" spans="2:15" ht="15.75" thickBot="1" x14ac:dyDescent="0.3">
      <c r="C77" s="674"/>
      <c r="D77" s="676"/>
      <c r="E77" s="676"/>
    </row>
    <row r="78" spans="2:15" x14ac:dyDescent="0.25">
      <c r="C78" s="166">
        <f>Assumptions!$D$12</f>
        <v>2022</v>
      </c>
      <c r="D78" s="644">
        <f>_xlfn.XLOOKUP($C78,'Capital Cost + RCV'!$B$6:$B$41,'Capital Cost + RCV'!$C$6:$C$41)</f>
        <v>168381.37103612523</v>
      </c>
      <c r="E78" s="645">
        <f>D78*(1+0.07)^-($C78-Assumptions!$D$11)</f>
        <v>157365.76732348153</v>
      </c>
      <c r="H78" s="1"/>
    </row>
    <row r="79" spans="2:15" x14ac:dyDescent="0.25">
      <c r="C79" s="171">
        <f>C78+1</f>
        <v>2023</v>
      </c>
      <c r="D79" s="646">
        <f>_xlfn.XLOOKUP($C79,'Capital Cost + RCV'!$B$6:$B$41,'Capital Cost + RCV'!$C$6:$C$41)</f>
        <v>168381.37103612523</v>
      </c>
      <c r="E79" s="647">
        <f>D79*(1+0.07)^-($C79-Assumptions!$D$11)</f>
        <v>147070.810582693</v>
      </c>
      <c r="H79" s="1"/>
      <c r="I79" s="20"/>
    </row>
    <row r="80" spans="2:15" ht="15" customHeight="1" x14ac:dyDescent="0.25">
      <c r="C80" s="171">
        <f>C79+1</f>
        <v>2024</v>
      </c>
      <c r="D80" s="648">
        <f>_xlfn.XLOOKUP($C80,'Capital Cost + RCV'!$B$6:$B$41,'Capital Cost + RCV'!$C$6:$C$41)</f>
        <v>635978.70406605664</v>
      </c>
      <c r="E80" s="649">
        <f>D80*(1+0.07)^-($C80-Assumptions!$D$11)</f>
        <v>519148.06587691739</v>
      </c>
      <c r="H80" s="1"/>
    </row>
    <row r="81" spans="2:5" ht="15.75" customHeight="1" thickBot="1" x14ac:dyDescent="0.3">
      <c r="C81" s="171">
        <f>C80+1</f>
        <v>2025</v>
      </c>
      <c r="D81" s="648">
        <f>_xlfn.XLOOKUP($C81,'Capital Cost + RCV'!$B$6:$B$41,'Capital Cost + RCV'!$C$6:$C$41)</f>
        <v>2960705.7740518688</v>
      </c>
      <c r="E81" s="649">
        <f>D81*(1+0.07)^-($C81-Assumptions!$D$11)</f>
        <v>2258708.2593056327</v>
      </c>
    </row>
    <row r="82" spans="2:5" ht="15.75" hidden="1" customHeight="1" outlineLevel="1" x14ac:dyDescent="0.25">
      <c r="B82" s="2"/>
      <c r="C82" s="171">
        <f t="shared" ref="C82:C113" si="3">C81+1</f>
        <v>2026</v>
      </c>
      <c r="D82" s="648">
        <f>_xlfn.XLOOKUP($C82,'Capital Cost + RCV'!$B$6:$B$41,'Capital Cost + RCV'!$C$6:$C$41)</f>
        <v>0</v>
      </c>
      <c r="E82" s="649">
        <f>D82*(1+0.07)^-($C82-Assumptions!$D$11)</f>
        <v>0</v>
      </c>
    </row>
    <row r="83" spans="2:5" ht="15.75" hidden="1" customHeight="1" outlineLevel="1" x14ac:dyDescent="0.25">
      <c r="C83" s="171">
        <f t="shared" si="3"/>
        <v>2027</v>
      </c>
      <c r="D83" s="648">
        <f>_xlfn.XLOOKUP($C83,'Capital Cost + RCV'!$B$6:$B$41,'Capital Cost + RCV'!$C$6:$C$41)</f>
        <v>0</v>
      </c>
      <c r="E83" s="649">
        <f>D83*(1+0.07)^-($C83-Assumptions!$D$11)</f>
        <v>0</v>
      </c>
    </row>
    <row r="84" spans="2:5" ht="15.75" hidden="1" customHeight="1" outlineLevel="1" x14ac:dyDescent="0.25">
      <c r="C84" s="171">
        <f t="shared" si="3"/>
        <v>2028</v>
      </c>
      <c r="D84" s="648">
        <f>_xlfn.XLOOKUP($C84,'Capital Cost + RCV'!$B$6:$B$41,'Capital Cost + RCV'!$C$6:$C$41)</f>
        <v>0</v>
      </c>
      <c r="E84" s="649">
        <f>D84*(1+0.07)^-($C84-Assumptions!$D$11)</f>
        <v>0</v>
      </c>
    </row>
    <row r="85" spans="2:5" ht="15.75" hidden="1" customHeight="1" outlineLevel="1" x14ac:dyDescent="0.25">
      <c r="C85" s="171">
        <f t="shared" si="3"/>
        <v>2029</v>
      </c>
      <c r="D85" s="648">
        <f>_xlfn.XLOOKUP($C85,'Capital Cost + RCV'!$B$6:$B$41,'Capital Cost + RCV'!$C$6:$C$41)</f>
        <v>0</v>
      </c>
      <c r="E85" s="649">
        <f>D85*(1+0.07)^-($C85-Assumptions!$D$11)</f>
        <v>0</v>
      </c>
    </row>
    <row r="86" spans="2:5" ht="15.75" hidden="1" customHeight="1" outlineLevel="1" x14ac:dyDescent="0.25">
      <c r="C86" s="171">
        <f t="shared" si="3"/>
        <v>2030</v>
      </c>
      <c r="D86" s="648">
        <f>_xlfn.XLOOKUP($C86,'Capital Cost + RCV'!$B$6:$B$41,'Capital Cost + RCV'!$C$6:$C$41)</f>
        <v>0</v>
      </c>
      <c r="E86" s="649">
        <f>D86*(1+0.07)^-($C86-Assumptions!$D$11)</f>
        <v>0</v>
      </c>
    </row>
    <row r="87" spans="2:5" ht="15.75" hidden="1" customHeight="1" outlineLevel="1" x14ac:dyDescent="0.25">
      <c r="C87" s="171">
        <f t="shared" si="3"/>
        <v>2031</v>
      </c>
      <c r="D87" s="648">
        <f>_xlfn.XLOOKUP($C87,'Capital Cost + RCV'!$B$6:$B$41,'Capital Cost + RCV'!$C$6:$C$41)</f>
        <v>0</v>
      </c>
      <c r="E87" s="649">
        <f>D87*(1+0.07)^-($C87-Assumptions!$D$11)</f>
        <v>0</v>
      </c>
    </row>
    <row r="88" spans="2:5" ht="15.75" hidden="1" customHeight="1" outlineLevel="1" x14ac:dyDescent="0.25">
      <c r="C88" s="171">
        <f t="shared" si="3"/>
        <v>2032</v>
      </c>
      <c r="D88" s="648">
        <f>_xlfn.XLOOKUP($C88,'Capital Cost + RCV'!$B$6:$B$41,'Capital Cost + RCV'!$C$6:$C$41)</f>
        <v>0</v>
      </c>
      <c r="E88" s="649">
        <f>D88*(1+0.07)^-($C88-Assumptions!$D$11)</f>
        <v>0</v>
      </c>
    </row>
    <row r="89" spans="2:5" ht="15.75" hidden="1" customHeight="1" outlineLevel="1" x14ac:dyDescent="0.25">
      <c r="C89" s="171">
        <f t="shared" si="3"/>
        <v>2033</v>
      </c>
      <c r="D89" s="648">
        <f>_xlfn.XLOOKUP($C89,'Capital Cost + RCV'!$B$6:$B$41,'Capital Cost + RCV'!$C$6:$C$41)</f>
        <v>0</v>
      </c>
      <c r="E89" s="649">
        <f>D89*(1+0.07)^-($C89-Assumptions!$D$11)</f>
        <v>0</v>
      </c>
    </row>
    <row r="90" spans="2:5" ht="15.75" hidden="1" customHeight="1" outlineLevel="1" x14ac:dyDescent="0.25">
      <c r="C90" s="171">
        <f t="shared" si="3"/>
        <v>2034</v>
      </c>
      <c r="D90" s="648">
        <f>_xlfn.XLOOKUP($C90,'Capital Cost + RCV'!$B$6:$B$41,'Capital Cost + RCV'!$C$6:$C$41)</f>
        <v>0</v>
      </c>
      <c r="E90" s="649">
        <f>D90*(1+0.07)^-($C90-Assumptions!$D$11)</f>
        <v>0</v>
      </c>
    </row>
    <row r="91" spans="2:5" ht="15.75" hidden="1" customHeight="1" outlineLevel="1" x14ac:dyDescent="0.25">
      <c r="C91" s="171">
        <f t="shared" si="3"/>
        <v>2035</v>
      </c>
      <c r="D91" s="648">
        <f>_xlfn.XLOOKUP($C91,'Capital Cost + RCV'!$B$6:$B$41,'Capital Cost + RCV'!$C$6:$C$41)</f>
        <v>0</v>
      </c>
      <c r="E91" s="649">
        <f>D91*(1+0.07)^-($C91-Assumptions!$D$11)</f>
        <v>0</v>
      </c>
    </row>
    <row r="92" spans="2:5" ht="15.75" hidden="1" customHeight="1" outlineLevel="1" x14ac:dyDescent="0.25">
      <c r="C92" s="171">
        <f t="shared" si="3"/>
        <v>2036</v>
      </c>
      <c r="D92" s="648">
        <f>_xlfn.XLOOKUP($C92,'Capital Cost + RCV'!$B$6:$B$41,'Capital Cost + RCV'!$C$6:$C$41)</f>
        <v>0</v>
      </c>
      <c r="E92" s="649">
        <f>D92*(1+0.07)^-($C92-Assumptions!$D$11)</f>
        <v>0</v>
      </c>
    </row>
    <row r="93" spans="2:5" ht="15.75" hidden="1" customHeight="1" outlineLevel="1" x14ac:dyDescent="0.25">
      <c r="C93" s="171">
        <f t="shared" si="3"/>
        <v>2037</v>
      </c>
      <c r="D93" s="648">
        <f>_xlfn.XLOOKUP($C93,'Capital Cost + RCV'!$B$6:$B$41,'Capital Cost + RCV'!$C$6:$C$41)</f>
        <v>0</v>
      </c>
      <c r="E93" s="649">
        <f>D93*(1+0.07)^-($C93-Assumptions!$D$11)</f>
        <v>0</v>
      </c>
    </row>
    <row r="94" spans="2:5" ht="15.75" hidden="1" customHeight="1" outlineLevel="1" x14ac:dyDescent="0.25">
      <c r="C94" s="171">
        <f t="shared" si="3"/>
        <v>2038</v>
      </c>
      <c r="D94" s="648">
        <f>_xlfn.XLOOKUP($C94,'Capital Cost + RCV'!$B$6:$B$41,'Capital Cost + RCV'!$C$6:$C$41)</f>
        <v>0</v>
      </c>
      <c r="E94" s="649">
        <f>D94*(1+0.07)^-($C94-Assumptions!$D$11)</f>
        <v>0</v>
      </c>
    </row>
    <row r="95" spans="2:5" ht="15.75" hidden="1" customHeight="1" outlineLevel="1" x14ac:dyDescent="0.25">
      <c r="C95" s="171">
        <f t="shared" si="3"/>
        <v>2039</v>
      </c>
      <c r="D95" s="648">
        <f>_xlfn.XLOOKUP($C95,'Capital Cost + RCV'!$B$6:$B$41,'Capital Cost + RCV'!$C$6:$C$41)</f>
        <v>0</v>
      </c>
      <c r="E95" s="649">
        <f>D95*(1+0.07)^-($C95-Assumptions!$D$11)</f>
        <v>0</v>
      </c>
    </row>
    <row r="96" spans="2:5" ht="15.75" hidden="1" customHeight="1" outlineLevel="1" x14ac:dyDescent="0.25">
      <c r="C96" s="171">
        <f t="shared" si="3"/>
        <v>2040</v>
      </c>
      <c r="D96" s="648">
        <f>_xlfn.XLOOKUP($C96,'Capital Cost + RCV'!$B$6:$B$41,'Capital Cost + RCV'!$C$6:$C$41)</f>
        <v>0</v>
      </c>
      <c r="E96" s="649">
        <f>D96*(1+0.07)^-($C96-Assumptions!$D$11)</f>
        <v>0</v>
      </c>
    </row>
    <row r="97" spans="3:9" ht="15.75" hidden="1" customHeight="1" outlineLevel="1" x14ac:dyDescent="0.25">
      <c r="C97" s="171">
        <f t="shared" si="3"/>
        <v>2041</v>
      </c>
      <c r="D97" s="648">
        <f>_xlfn.XLOOKUP($C97,'Capital Cost + RCV'!$B$6:$B$41,'Capital Cost + RCV'!$C$6:$C$41)</f>
        <v>0</v>
      </c>
      <c r="E97" s="649">
        <f>D97*(1+0.07)^-($C97-Assumptions!$D$11)</f>
        <v>0</v>
      </c>
    </row>
    <row r="98" spans="3:9" ht="15.75" hidden="1" customHeight="1" outlineLevel="1" x14ac:dyDescent="0.25">
      <c r="C98" s="171">
        <f t="shared" si="3"/>
        <v>2042</v>
      </c>
      <c r="D98" s="648">
        <f>_xlfn.XLOOKUP($C98,'Capital Cost + RCV'!$B$6:$B$41,'Capital Cost + RCV'!$C$6:$C$41)</f>
        <v>0</v>
      </c>
      <c r="E98" s="649">
        <f>D98*(1+0.07)^-($C98-Assumptions!$D$11)</f>
        <v>0</v>
      </c>
    </row>
    <row r="99" spans="3:9" ht="15.75" hidden="1" customHeight="1" outlineLevel="1" x14ac:dyDescent="0.25">
      <c r="C99" s="171">
        <f t="shared" si="3"/>
        <v>2043</v>
      </c>
      <c r="D99" s="648">
        <f>_xlfn.XLOOKUP($C99,'Capital Cost + RCV'!$B$6:$B$41,'Capital Cost + RCV'!$C$6:$C$41)</f>
        <v>0</v>
      </c>
      <c r="E99" s="649">
        <f>D99*(1+0.07)^-($C99-Assumptions!$D$11)</f>
        <v>0</v>
      </c>
    </row>
    <row r="100" spans="3:9" ht="15.75" hidden="1" customHeight="1" outlineLevel="1" x14ac:dyDescent="0.25">
      <c r="C100" s="171">
        <f>C99+1</f>
        <v>2044</v>
      </c>
      <c r="D100" s="648">
        <f>_xlfn.XLOOKUP($C100,'Capital Cost + RCV'!$B$6:$B$41,'Capital Cost + RCV'!$C$6:$C$41)</f>
        <v>0</v>
      </c>
      <c r="E100" s="649">
        <f>D100*(1+0.07)^-($C100-Assumptions!$D$11)</f>
        <v>0</v>
      </c>
    </row>
    <row r="101" spans="3:9" ht="15.75" hidden="1" customHeight="1" outlineLevel="1" x14ac:dyDescent="0.25">
      <c r="C101" s="171">
        <f>C100+1</f>
        <v>2045</v>
      </c>
      <c r="D101" s="648">
        <f>_xlfn.XLOOKUP($C101,'Capital Cost + RCV'!$B$6:$B$41,'Capital Cost + RCV'!$C$6:$C$41)</f>
        <v>0</v>
      </c>
      <c r="E101" s="649">
        <f>D101*(1+0.07)^-($C101-Assumptions!$D$11)</f>
        <v>0</v>
      </c>
    </row>
    <row r="102" spans="3:9" ht="15.75" hidden="1" customHeight="1" outlineLevel="1" x14ac:dyDescent="0.25">
      <c r="C102" s="171">
        <f t="shared" si="3"/>
        <v>2046</v>
      </c>
      <c r="D102" s="648">
        <f>_xlfn.XLOOKUP($C102,'Capital Cost + RCV'!$B$6:$B$41,'Capital Cost + RCV'!$C$6:$C$41)</f>
        <v>0</v>
      </c>
      <c r="E102" s="649">
        <f>D102*(1+0.07)^-($C102-Assumptions!$D$11)</f>
        <v>0</v>
      </c>
    </row>
    <row r="103" spans="3:9" ht="15.75" hidden="1" customHeight="1" outlineLevel="1" x14ac:dyDescent="0.25">
      <c r="C103" s="171">
        <f t="shared" si="3"/>
        <v>2047</v>
      </c>
      <c r="D103" s="648">
        <f>_xlfn.XLOOKUP($C103,'Capital Cost + RCV'!$B$6:$B$41,'Capital Cost + RCV'!$C$6:$C$41)</f>
        <v>0</v>
      </c>
      <c r="E103" s="649">
        <f>D103*(1+0.07)^-($C103-Assumptions!$D$11)</f>
        <v>0</v>
      </c>
      <c r="H103" s="182"/>
      <c r="I103" s="182"/>
    </row>
    <row r="104" spans="3:9" ht="15.75" hidden="1" customHeight="1" outlineLevel="1" x14ac:dyDescent="0.25">
      <c r="C104" s="171">
        <f t="shared" si="3"/>
        <v>2048</v>
      </c>
      <c r="D104" s="648">
        <f>_xlfn.XLOOKUP($C104,'Capital Cost + RCV'!$B$6:$B$41,'Capital Cost + RCV'!$C$6:$C$41)</f>
        <v>0</v>
      </c>
      <c r="E104" s="649">
        <f>D104*(1+0.07)^-($C104-Assumptions!$D$11)</f>
        <v>0</v>
      </c>
      <c r="H104" s="4"/>
      <c r="I104" s="4"/>
    </row>
    <row r="105" spans="3:9" ht="15.75" hidden="1" customHeight="1" outlineLevel="1" x14ac:dyDescent="0.25">
      <c r="C105" s="171">
        <f t="shared" si="3"/>
        <v>2049</v>
      </c>
      <c r="D105" s="648">
        <f>_xlfn.XLOOKUP($C105,'Capital Cost + RCV'!$B$6:$B$41,'Capital Cost + RCV'!$C$6:$C$41)</f>
        <v>0</v>
      </c>
      <c r="E105" s="649">
        <f>D105*(1+0.07)^-($C105-Assumptions!$D$11)</f>
        <v>0</v>
      </c>
      <c r="H105" s="182"/>
      <c r="I105" s="182"/>
    </row>
    <row r="106" spans="3:9" ht="15.75" hidden="1" customHeight="1" outlineLevel="1" x14ac:dyDescent="0.25">
      <c r="C106" s="171">
        <f t="shared" si="3"/>
        <v>2050</v>
      </c>
      <c r="D106" s="648">
        <f>_xlfn.XLOOKUP($C106,'Capital Cost + RCV'!$B$6:$B$41,'Capital Cost + RCV'!$C$6:$C$41)</f>
        <v>0</v>
      </c>
      <c r="E106" s="649">
        <f>D106*(1+0.07)^-($C106-Assumptions!$D$11)</f>
        <v>0</v>
      </c>
      <c r="H106" s="182"/>
      <c r="I106" s="182"/>
    </row>
    <row r="107" spans="3:9" ht="15.75" hidden="1" customHeight="1" outlineLevel="1" x14ac:dyDescent="0.25">
      <c r="C107" s="171">
        <f t="shared" si="3"/>
        <v>2051</v>
      </c>
      <c r="D107" s="648">
        <f>_xlfn.XLOOKUP($C107,'Capital Cost + RCV'!$B$6:$B$41,'Capital Cost + RCV'!$C$6:$C$41)</f>
        <v>0</v>
      </c>
      <c r="E107" s="649">
        <f>D107*(1+0.07)^-($C107-Assumptions!$D$11)</f>
        <v>0</v>
      </c>
      <c r="H107" s="182"/>
      <c r="I107" s="182"/>
    </row>
    <row r="108" spans="3:9" ht="15.75" hidden="1" customHeight="1" outlineLevel="1" x14ac:dyDescent="0.25">
      <c r="C108" s="105">
        <f t="shared" si="3"/>
        <v>2052</v>
      </c>
      <c r="D108" s="648">
        <f>_xlfn.XLOOKUP($C108,'Capital Cost + RCV'!$B$6:$B$41,'Capital Cost + RCV'!$C$6:$C$41)</f>
        <v>0</v>
      </c>
      <c r="E108" s="649">
        <f>D108*(1+0.07)^-($C108-Assumptions!$D$11)</f>
        <v>0</v>
      </c>
      <c r="H108" s="182"/>
      <c r="I108" s="182"/>
    </row>
    <row r="109" spans="3:9" ht="15.75" hidden="1" customHeight="1" outlineLevel="1" x14ac:dyDescent="0.25">
      <c r="C109" s="105">
        <f t="shared" si="3"/>
        <v>2053</v>
      </c>
      <c r="D109" s="648">
        <f>_xlfn.XLOOKUP($C109,'Capital Cost + RCV'!$B$6:$B$41,'Capital Cost + RCV'!$C$6:$C$41)</f>
        <v>0</v>
      </c>
      <c r="E109" s="649">
        <f>D109*(1+0.07)^-($C109-Assumptions!$D$11)</f>
        <v>0</v>
      </c>
    </row>
    <row r="110" spans="3:9" ht="15.75" hidden="1" customHeight="1" outlineLevel="1" x14ac:dyDescent="0.25">
      <c r="C110" s="105">
        <f t="shared" si="3"/>
        <v>2054</v>
      </c>
      <c r="D110" s="648">
        <f>_xlfn.XLOOKUP($C110,'Capital Cost + RCV'!$B$6:$B$41,'Capital Cost + RCV'!$C$6:$C$41)</f>
        <v>0</v>
      </c>
      <c r="E110" s="649">
        <f>D110*(1+0.07)^-($C110-Assumptions!$D$11)</f>
        <v>0</v>
      </c>
    </row>
    <row r="111" spans="3:9" ht="15.75" hidden="1" customHeight="1" outlineLevel="1" x14ac:dyDescent="0.25">
      <c r="C111" s="105">
        <f t="shared" si="3"/>
        <v>2055</v>
      </c>
      <c r="D111" s="648">
        <f>_xlfn.XLOOKUP($C111,'Capital Cost + RCV'!$B$6:$B$41,'Capital Cost + RCV'!$C$6:$C$41)</f>
        <v>0</v>
      </c>
      <c r="E111" s="649">
        <f>D111*(1+0.07)^-($C111-Assumptions!$D$11)</f>
        <v>0</v>
      </c>
    </row>
    <row r="112" spans="3:9" ht="15.75" hidden="1" customHeight="1" outlineLevel="1" x14ac:dyDescent="0.25">
      <c r="C112" s="105">
        <f t="shared" si="3"/>
        <v>2056</v>
      </c>
      <c r="D112" s="648">
        <f>_xlfn.XLOOKUP($C112,'Capital Cost + RCV'!$B$6:$B$41,'Capital Cost + RCV'!$C$6:$C$41)</f>
        <v>0</v>
      </c>
      <c r="E112" s="649">
        <f>D112*(1+0.07)^-($C112-Assumptions!$D$11)</f>
        <v>0</v>
      </c>
    </row>
    <row r="113" spans="3:16" ht="15.75" hidden="1" customHeight="1" outlineLevel="1" thickBot="1" x14ac:dyDescent="0.3">
      <c r="C113" s="105">
        <f t="shared" si="3"/>
        <v>2057</v>
      </c>
      <c r="D113" s="648">
        <f>_xlfn.XLOOKUP($C113,'Capital Cost + RCV'!$B$6:$B$41,'Capital Cost + RCV'!$C$6:$C$41)</f>
        <v>0</v>
      </c>
      <c r="E113" s="649">
        <f>D113*(1+0.07)^-($C113-Assumptions!$D$11)</f>
        <v>0</v>
      </c>
    </row>
    <row r="114" spans="3:16" ht="15.75" collapsed="1" thickBot="1" x14ac:dyDescent="0.3">
      <c r="C114" s="36" t="s">
        <v>45</v>
      </c>
      <c r="D114" s="183">
        <f>SUM(D78:D113)</f>
        <v>3933447.2201901758</v>
      </c>
      <c r="E114" s="184">
        <f>SUM(E78:E113)</f>
        <v>3082292.9030887247</v>
      </c>
      <c r="I114" s="181"/>
      <c r="J114" s="185"/>
      <c r="K114" s="185"/>
    </row>
    <row r="115" spans="3:16" x14ac:dyDescent="0.25">
      <c r="D115" s="180" t="s">
        <v>805</v>
      </c>
      <c r="E115" s="46">
        <f>'Capital Cost + RCV'!$D$42</f>
        <v>3082292.9030887247</v>
      </c>
      <c r="F115" s="46"/>
      <c r="I115" s="181"/>
      <c r="J115" s="185"/>
      <c r="K115" s="185"/>
    </row>
    <row r="116" spans="3:16" ht="15.75" thickBot="1" x14ac:dyDescent="0.3">
      <c r="C116" s="33" t="s">
        <v>13</v>
      </c>
      <c r="E116" s="20"/>
      <c r="F116" s="20"/>
    </row>
    <row r="117" spans="3:16" ht="15.75" thickBot="1" x14ac:dyDescent="0.3">
      <c r="C117" s="186"/>
      <c r="D117" s="7">
        <v>7.0000000000000007E-2</v>
      </c>
      <c r="E117" s="20"/>
      <c r="F117" s="20"/>
    </row>
    <row r="118" spans="3:16" x14ac:dyDescent="0.25">
      <c r="C118" s="5" t="s">
        <v>10</v>
      </c>
      <c r="D118" s="187">
        <f>O69</f>
        <v>71256596.52256307</v>
      </c>
      <c r="E118" s="182"/>
      <c r="F118" s="182"/>
      <c r="I118" s="20"/>
      <c r="J118" s="20"/>
      <c r="K118" s="20"/>
      <c r="L118" s="20"/>
      <c r="M118" s="20"/>
      <c r="N118" s="20"/>
      <c r="O118" s="20"/>
      <c r="P118" s="20"/>
    </row>
    <row r="119" spans="3:16" ht="15.75" thickBot="1" x14ac:dyDescent="0.3">
      <c r="C119" s="6" t="s">
        <v>11</v>
      </c>
      <c r="D119" s="188">
        <f>E114</f>
        <v>3082292.9030887247</v>
      </c>
    </row>
    <row r="120" spans="3:16" ht="15.75" thickTop="1" x14ac:dyDescent="0.25">
      <c r="C120" s="21" t="s">
        <v>12</v>
      </c>
      <c r="D120" s="48">
        <f>D118/D119</f>
        <v>23.118048401940577</v>
      </c>
    </row>
    <row r="121" spans="3:16" ht="15.75" thickBot="1" x14ac:dyDescent="0.3">
      <c r="C121" s="22" t="s">
        <v>31</v>
      </c>
      <c r="D121" s="189">
        <f>D118-D119</f>
        <v>68174303.619474351</v>
      </c>
    </row>
    <row r="123" spans="3:16" x14ac:dyDescent="0.25">
      <c r="C123" s="180"/>
      <c r="D123" s="46"/>
    </row>
    <row r="124" spans="3:16" ht="15.75" thickBot="1" x14ac:dyDescent="0.3">
      <c r="C124" s="33" t="s">
        <v>130</v>
      </c>
    </row>
    <row r="125" spans="3:16" ht="15.75" thickBot="1" x14ac:dyDescent="0.3">
      <c r="C125" s="186"/>
      <c r="D125" s="7">
        <v>7.0000000000000007E-2</v>
      </c>
    </row>
    <row r="126" spans="3:16" x14ac:dyDescent="0.25">
      <c r="C126" s="5" t="s">
        <v>10</v>
      </c>
      <c r="D126" s="187">
        <f>MROUND(D118,50000)</f>
        <v>71250000</v>
      </c>
    </row>
    <row r="127" spans="3:16" ht="15.75" thickBot="1" x14ac:dyDescent="0.3">
      <c r="C127" s="6" t="s">
        <v>11</v>
      </c>
      <c r="D127" s="188">
        <f>MROUND(D119,50000)</f>
        <v>3100000</v>
      </c>
    </row>
    <row r="128" spans="3:16" ht="15.75" thickTop="1" x14ac:dyDescent="0.25">
      <c r="C128" s="21" t="s">
        <v>12</v>
      </c>
      <c r="D128" s="48">
        <f>D126/D127</f>
        <v>22.983870967741936</v>
      </c>
    </row>
    <row r="129" spans="3:4" ht="15.75" thickBot="1" x14ac:dyDescent="0.3">
      <c r="C129" s="22" t="s">
        <v>31</v>
      </c>
      <c r="D129" s="189">
        <f>D126-D127</f>
        <v>68150000</v>
      </c>
    </row>
  </sheetData>
  <mergeCells count="21">
    <mergeCell ref="N6:N7"/>
    <mergeCell ref="L5:M5"/>
    <mergeCell ref="O6:O7"/>
    <mergeCell ref="G5:I5"/>
    <mergeCell ref="D5:F5"/>
    <mergeCell ref="J5:K5"/>
    <mergeCell ref="E6:E7"/>
    <mergeCell ref="N5:O5"/>
    <mergeCell ref="C76:C77"/>
    <mergeCell ref="D76:D77"/>
    <mergeCell ref="E76:E77"/>
    <mergeCell ref="M6:M7"/>
    <mergeCell ref="J6:J7"/>
    <mergeCell ref="L6:L7"/>
    <mergeCell ref="I6:I7"/>
    <mergeCell ref="C6:C7"/>
    <mergeCell ref="D6:D7"/>
    <mergeCell ref="H6:H7"/>
    <mergeCell ref="G6:G7"/>
    <mergeCell ref="K6:K7"/>
    <mergeCell ref="F6:F7"/>
  </mergeCells>
  <pageMargins left="0.25" right="0.25" top="0.75" bottom="0.75" header="0.3" footer="0.3"/>
  <pageSetup paperSize="3" scale="7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6FED0-27EA-4F84-8245-FFFB4E37213C}">
  <sheetPr codeName="Sheet16">
    <tabColor theme="0" tint="-0.14999847407452621"/>
  </sheetPr>
  <dimension ref="A1:DC76"/>
  <sheetViews>
    <sheetView workbookViewId="0">
      <selection activeCell="P3" sqref="P3"/>
    </sheetView>
  </sheetViews>
  <sheetFormatPr defaultRowHeight="12.95" customHeight="1" x14ac:dyDescent="0.25"/>
  <cols>
    <col min="1" max="1" width="21.140625" bestFit="1" customWidth="1"/>
    <col min="2" max="2" width="23.42578125" bestFit="1" customWidth="1"/>
  </cols>
  <sheetData>
    <row r="1" spans="1:107" ht="12.95" customHeight="1" x14ac:dyDescent="0.25">
      <c r="A1" t="s">
        <v>403</v>
      </c>
      <c r="B1" t="s">
        <v>402</v>
      </c>
      <c r="C1" t="s">
        <v>401</v>
      </c>
      <c r="D1" t="s">
        <v>400</v>
      </c>
      <c r="E1" t="s">
        <v>399</v>
      </c>
      <c r="F1" t="s">
        <v>398</v>
      </c>
      <c r="G1" t="s">
        <v>397</v>
      </c>
      <c r="H1" t="s">
        <v>396</v>
      </c>
      <c r="I1" t="s">
        <v>395</v>
      </c>
      <c r="J1" t="s">
        <v>394</v>
      </c>
      <c r="K1" t="s">
        <v>393</v>
      </c>
      <c r="L1" t="s">
        <v>392</v>
      </c>
      <c r="M1" t="s">
        <v>391</v>
      </c>
      <c r="N1" t="s">
        <v>390</v>
      </c>
      <c r="O1" t="s">
        <v>389</v>
      </c>
      <c r="P1" t="s">
        <v>388</v>
      </c>
      <c r="Q1" t="s">
        <v>387</v>
      </c>
      <c r="R1" t="s">
        <v>386</v>
      </c>
      <c r="S1" t="s">
        <v>385</v>
      </c>
      <c r="T1" t="s">
        <v>384</v>
      </c>
      <c r="U1" t="s">
        <v>383</v>
      </c>
      <c r="V1" t="s">
        <v>382</v>
      </c>
      <c r="W1" t="s">
        <v>381</v>
      </c>
      <c r="X1" t="s">
        <v>380</v>
      </c>
      <c r="Y1" t="s">
        <v>379</v>
      </c>
      <c r="Z1" t="s">
        <v>378</v>
      </c>
      <c r="AA1" t="s">
        <v>377</v>
      </c>
      <c r="AB1" t="s">
        <v>376</v>
      </c>
      <c r="AC1" t="s">
        <v>375</v>
      </c>
      <c r="AD1" t="s">
        <v>374</v>
      </c>
      <c r="AE1" t="s">
        <v>373</v>
      </c>
      <c r="AF1" t="s">
        <v>372</v>
      </c>
      <c r="AG1" t="s">
        <v>371</v>
      </c>
      <c r="AH1" t="s">
        <v>370</v>
      </c>
      <c r="AI1" t="s">
        <v>369</v>
      </c>
      <c r="AJ1" t="s">
        <v>368</v>
      </c>
      <c r="AK1" t="s">
        <v>367</v>
      </c>
      <c r="AL1" t="s">
        <v>366</v>
      </c>
      <c r="AM1" t="s">
        <v>365</v>
      </c>
      <c r="AN1" t="s">
        <v>364</v>
      </c>
      <c r="AO1" t="s">
        <v>363</v>
      </c>
      <c r="AP1" t="s">
        <v>362</v>
      </c>
      <c r="AQ1" t="s">
        <v>361</v>
      </c>
      <c r="AR1" t="s">
        <v>360</v>
      </c>
      <c r="AS1" t="s">
        <v>359</v>
      </c>
      <c r="AT1" t="s">
        <v>358</v>
      </c>
      <c r="AU1" t="s">
        <v>357</v>
      </c>
      <c r="AV1" t="s">
        <v>356</v>
      </c>
      <c r="AW1" t="s">
        <v>355</v>
      </c>
      <c r="AX1" t="s">
        <v>354</v>
      </c>
      <c r="AY1" t="s">
        <v>353</v>
      </c>
      <c r="AZ1" t="s">
        <v>352</v>
      </c>
      <c r="BA1" t="s">
        <v>351</v>
      </c>
      <c r="BB1" t="s">
        <v>350</v>
      </c>
      <c r="BC1" t="s">
        <v>349</v>
      </c>
      <c r="BD1" t="s">
        <v>348</v>
      </c>
      <c r="BE1" t="s">
        <v>347</v>
      </c>
      <c r="BF1" t="s">
        <v>346</v>
      </c>
      <c r="BG1" t="s">
        <v>345</v>
      </c>
      <c r="BH1" t="s">
        <v>344</v>
      </c>
      <c r="BI1" t="s">
        <v>343</v>
      </c>
      <c r="BJ1" t="s">
        <v>342</v>
      </c>
      <c r="BK1" t="s">
        <v>341</v>
      </c>
      <c r="BL1" t="s">
        <v>340</v>
      </c>
      <c r="BM1" t="s">
        <v>339</v>
      </c>
      <c r="BN1" t="s">
        <v>338</v>
      </c>
      <c r="BO1" t="s">
        <v>337</v>
      </c>
      <c r="BP1" t="s">
        <v>336</v>
      </c>
      <c r="BQ1" t="s">
        <v>335</v>
      </c>
      <c r="BR1" t="s">
        <v>334</v>
      </c>
      <c r="BS1" t="s">
        <v>333</v>
      </c>
      <c r="BT1" t="s">
        <v>332</v>
      </c>
      <c r="BU1" t="s">
        <v>331</v>
      </c>
      <c r="BV1" t="s">
        <v>330</v>
      </c>
      <c r="BW1" t="s">
        <v>329</v>
      </c>
      <c r="BX1" t="s">
        <v>328</v>
      </c>
      <c r="BY1" t="s">
        <v>327</v>
      </c>
      <c r="BZ1" t="s">
        <v>326</v>
      </c>
      <c r="CA1" t="s">
        <v>325</v>
      </c>
      <c r="CB1" t="s">
        <v>324</v>
      </c>
      <c r="CC1" t="s">
        <v>323</v>
      </c>
      <c r="CD1" t="s">
        <v>322</v>
      </c>
      <c r="CE1" t="s">
        <v>321</v>
      </c>
      <c r="CF1" t="s">
        <v>320</v>
      </c>
      <c r="CG1" t="s">
        <v>319</v>
      </c>
      <c r="CH1" t="s">
        <v>318</v>
      </c>
      <c r="CI1" t="s">
        <v>317</v>
      </c>
      <c r="CJ1" t="s">
        <v>316</v>
      </c>
      <c r="CK1" t="s">
        <v>315</v>
      </c>
      <c r="CL1" t="s">
        <v>314</v>
      </c>
      <c r="CM1" t="s">
        <v>313</v>
      </c>
      <c r="CN1" t="s">
        <v>312</v>
      </c>
      <c r="CO1" t="s">
        <v>311</v>
      </c>
      <c r="CP1" t="s">
        <v>310</v>
      </c>
      <c r="CQ1" t="s">
        <v>309</v>
      </c>
      <c r="CR1" t="s">
        <v>308</v>
      </c>
      <c r="CS1" t="s">
        <v>307</v>
      </c>
      <c r="CT1" t="s">
        <v>306</v>
      </c>
      <c r="CU1" t="s">
        <v>305</v>
      </c>
      <c r="CV1" t="s">
        <v>304</v>
      </c>
      <c r="CW1" t="s">
        <v>303</v>
      </c>
      <c r="CX1" t="s">
        <v>302</v>
      </c>
      <c r="CY1" t="s">
        <v>301</v>
      </c>
      <c r="CZ1" t="s">
        <v>300</v>
      </c>
      <c r="DA1" t="s">
        <v>299</v>
      </c>
      <c r="DB1" t="s">
        <v>298</v>
      </c>
      <c r="DC1" t="s">
        <v>297</v>
      </c>
    </row>
    <row r="2" spans="1:107" ht="12.95" customHeight="1" x14ac:dyDescent="0.25">
      <c r="A2">
        <v>870189</v>
      </c>
      <c r="B2" t="s">
        <v>548</v>
      </c>
      <c r="C2">
        <v>71</v>
      </c>
      <c r="D2">
        <v>352.20499999999998</v>
      </c>
      <c r="E2" t="s">
        <v>272</v>
      </c>
      <c r="H2" t="s">
        <v>271</v>
      </c>
      <c r="I2" t="s">
        <v>270</v>
      </c>
      <c r="K2">
        <v>20311313</v>
      </c>
      <c r="L2">
        <v>203560185</v>
      </c>
      <c r="M2" s="237">
        <v>45272</v>
      </c>
      <c r="N2">
        <v>21</v>
      </c>
      <c r="O2">
        <v>2020</v>
      </c>
      <c r="P2" t="s">
        <v>424</v>
      </c>
      <c r="Q2">
        <v>8</v>
      </c>
      <c r="S2" t="s">
        <v>268</v>
      </c>
      <c r="T2">
        <v>0</v>
      </c>
      <c r="U2">
        <v>2</v>
      </c>
      <c r="W2" t="s">
        <v>559</v>
      </c>
      <c r="X2" t="s">
        <v>409</v>
      </c>
      <c r="Y2" t="s">
        <v>165</v>
      </c>
      <c r="Z2" t="s">
        <v>179</v>
      </c>
      <c r="AA2" t="s">
        <v>183</v>
      </c>
      <c r="AB2" t="s">
        <v>183</v>
      </c>
      <c r="AC2" t="s">
        <v>263</v>
      </c>
      <c r="AD2" t="s">
        <v>547</v>
      </c>
      <c r="AF2" t="s">
        <v>546</v>
      </c>
      <c r="AG2" t="s">
        <v>181</v>
      </c>
      <c r="AH2" t="s">
        <v>259</v>
      </c>
      <c r="AI2" t="s">
        <v>287</v>
      </c>
      <c r="AJ2" t="s">
        <v>258</v>
      </c>
      <c r="AK2" t="s">
        <v>174</v>
      </c>
      <c r="AL2">
        <v>77</v>
      </c>
      <c r="AM2" t="s">
        <v>286</v>
      </c>
      <c r="AN2" t="s">
        <v>255</v>
      </c>
      <c r="AO2" t="s">
        <v>254</v>
      </c>
      <c r="AS2" t="s">
        <v>253</v>
      </c>
      <c r="AT2" t="s">
        <v>252</v>
      </c>
      <c r="AU2">
        <v>55</v>
      </c>
      <c r="AV2" t="s">
        <v>283</v>
      </c>
      <c r="AW2" t="s">
        <v>250</v>
      </c>
      <c r="AX2" t="s">
        <v>259</v>
      </c>
      <c r="AY2" t="s">
        <v>181</v>
      </c>
      <c r="AZ2" t="s">
        <v>477</v>
      </c>
      <c r="BA2" t="s">
        <v>571</v>
      </c>
      <c r="BB2">
        <v>54</v>
      </c>
      <c r="BC2" t="s">
        <v>286</v>
      </c>
      <c r="BD2" t="s">
        <v>255</v>
      </c>
      <c r="BE2" t="s">
        <v>291</v>
      </c>
      <c r="BI2" t="s">
        <v>253</v>
      </c>
      <c r="BJ2" t="s">
        <v>170</v>
      </c>
      <c r="BK2">
        <v>55</v>
      </c>
      <c r="BL2" t="s">
        <v>283</v>
      </c>
      <c r="BM2" t="s">
        <v>250</v>
      </c>
      <c r="CT2">
        <v>399648.6862</v>
      </c>
      <c r="CU2">
        <v>5301143.7231999999</v>
      </c>
      <c r="CV2">
        <v>47.85580255</v>
      </c>
      <c r="CW2">
        <v>-94.341559119999999</v>
      </c>
      <c r="CX2" s="89">
        <v>44186.363194444442</v>
      </c>
      <c r="CY2" t="s">
        <v>249</v>
      </c>
      <c r="CZ2" t="s">
        <v>248</v>
      </c>
      <c r="DA2" t="s">
        <v>247</v>
      </c>
      <c r="DB2" t="s">
        <v>246</v>
      </c>
      <c r="DC2" t="s">
        <v>570</v>
      </c>
    </row>
    <row r="3" spans="1:107" ht="12.95" customHeight="1" x14ac:dyDescent="0.25">
      <c r="A3">
        <v>778555</v>
      </c>
      <c r="B3" t="s">
        <v>548</v>
      </c>
      <c r="C3">
        <v>71</v>
      </c>
      <c r="D3">
        <v>353.20499999999998</v>
      </c>
      <c r="E3" t="s">
        <v>272</v>
      </c>
      <c r="H3" t="s">
        <v>271</v>
      </c>
      <c r="I3" t="s">
        <v>270</v>
      </c>
      <c r="K3">
        <v>20310037</v>
      </c>
      <c r="L3">
        <v>200090218</v>
      </c>
      <c r="M3" s="237">
        <v>44927</v>
      </c>
      <c r="N3">
        <v>9</v>
      </c>
      <c r="O3">
        <v>2020</v>
      </c>
      <c r="P3" t="s">
        <v>281</v>
      </c>
      <c r="Q3">
        <v>9</v>
      </c>
      <c r="S3" t="s">
        <v>268</v>
      </c>
      <c r="T3">
        <v>0</v>
      </c>
      <c r="U3">
        <v>1</v>
      </c>
      <c r="W3" t="s">
        <v>433</v>
      </c>
      <c r="X3" t="s">
        <v>278</v>
      </c>
      <c r="Y3" t="s">
        <v>165</v>
      </c>
      <c r="Z3" t="s">
        <v>183</v>
      </c>
      <c r="AB3" t="s">
        <v>183</v>
      </c>
      <c r="AC3" t="s">
        <v>263</v>
      </c>
      <c r="AD3" t="s">
        <v>547</v>
      </c>
      <c r="AF3" t="s">
        <v>546</v>
      </c>
      <c r="AG3" t="s">
        <v>292</v>
      </c>
      <c r="AH3" t="s">
        <v>259</v>
      </c>
      <c r="AI3" t="s">
        <v>167</v>
      </c>
      <c r="AJ3" t="s">
        <v>477</v>
      </c>
      <c r="AK3" t="s">
        <v>257</v>
      </c>
      <c r="AL3">
        <v>23</v>
      </c>
      <c r="AM3" t="s">
        <v>286</v>
      </c>
      <c r="AN3" t="s">
        <v>255</v>
      </c>
      <c r="AO3" t="s">
        <v>291</v>
      </c>
      <c r="AS3" t="s">
        <v>253</v>
      </c>
      <c r="AT3" t="s">
        <v>252</v>
      </c>
      <c r="AU3">
        <v>60</v>
      </c>
      <c r="AV3" t="s">
        <v>283</v>
      </c>
      <c r="AW3" t="s">
        <v>250</v>
      </c>
      <c r="CT3">
        <v>401054.1237</v>
      </c>
      <c r="CU3">
        <v>5301922.1171000004</v>
      </c>
      <c r="CV3">
        <v>47.863022180000002</v>
      </c>
      <c r="CW3">
        <v>-94.322953830000003</v>
      </c>
      <c r="CX3" s="89">
        <v>43839.404166666667</v>
      </c>
      <c r="CY3" t="s">
        <v>249</v>
      </c>
      <c r="CZ3" t="s">
        <v>248</v>
      </c>
      <c r="DA3" t="s">
        <v>247</v>
      </c>
      <c r="DB3" t="s">
        <v>246</v>
      </c>
      <c r="DC3" t="s">
        <v>569</v>
      </c>
    </row>
    <row r="4" spans="1:107" ht="12.95" customHeight="1" x14ac:dyDescent="0.25">
      <c r="A4">
        <v>1014955</v>
      </c>
      <c r="B4" t="s">
        <v>548</v>
      </c>
      <c r="C4">
        <v>71</v>
      </c>
      <c r="D4">
        <v>353.33800000000002</v>
      </c>
      <c r="E4" t="s">
        <v>272</v>
      </c>
      <c r="H4" t="s">
        <v>271</v>
      </c>
      <c r="I4" t="s">
        <v>270</v>
      </c>
      <c r="K4">
        <v>22310485</v>
      </c>
      <c r="L4">
        <v>220890101</v>
      </c>
      <c r="M4" s="237">
        <v>44988</v>
      </c>
      <c r="N4">
        <v>30</v>
      </c>
      <c r="O4">
        <v>2022</v>
      </c>
      <c r="P4" t="s">
        <v>269</v>
      </c>
      <c r="Q4">
        <v>5</v>
      </c>
      <c r="R4" t="s">
        <v>168</v>
      </c>
      <c r="S4" t="s">
        <v>268</v>
      </c>
      <c r="T4">
        <v>0</v>
      </c>
      <c r="U4">
        <v>2</v>
      </c>
      <c r="V4" t="s">
        <v>493</v>
      </c>
      <c r="W4" t="s">
        <v>296</v>
      </c>
      <c r="X4" t="s">
        <v>278</v>
      </c>
      <c r="Y4" t="s">
        <v>277</v>
      </c>
      <c r="Z4" t="s">
        <v>183</v>
      </c>
      <c r="AA4" t="s">
        <v>295</v>
      </c>
      <c r="AB4" t="s">
        <v>183</v>
      </c>
      <c r="AC4" t="s">
        <v>263</v>
      </c>
      <c r="AD4" t="s">
        <v>547</v>
      </c>
      <c r="AF4" t="s">
        <v>546</v>
      </c>
      <c r="AG4" t="s">
        <v>492</v>
      </c>
      <c r="AH4" t="s">
        <v>509</v>
      </c>
      <c r="AJ4" t="s">
        <v>275</v>
      </c>
      <c r="AK4" t="s">
        <v>257</v>
      </c>
      <c r="AS4" t="s">
        <v>253</v>
      </c>
      <c r="AT4" t="s">
        <v>252</v>
      </c>
      <c r="AU4">
        <v>60</v>
      </c>
      <c r="AV4" t="s">
        <v>283</v>
      </c>
      <c r="AW4" t="s">
        <v>250</v>
      </c>
      <c r="AX4" t="s">
        <v>259</v>
      </c>
      <c r="AY4" t="s">
        <v>431</v>
      </c>
      <c r="AZ4" t="s">
        <v>275</v>
      </c>
      <c r="BA4" t="s">
        <v>181</v>
      </c>
      <c r="BB4">
        <v>58</v>
      </c>
      <c r="BC4" t="s">
        <v>286</v>
      </c>
      <c r="BD4" t="s">
        <v>255</v>
      </c>
      <c r="BE4" t="s">
        <v>291</v>
      </c>
      <c r="BI4" t="s">
        <v>253</v>
      </c>
      <c r="BJ4" t="s">
        <v>252</v>
      </c>
      <c r="BK4">
        <v>60</v>
      </c>
      <c r="BL4" t="s">
        <v>283</v>
      </c>
      <c r="BM4" t="s">
        <v>250</v>
      </c>
      <c r="CT4">
        <v>401221.76620000001</v>
      </c>
      <c r="CU4">
        <v>5302032.2414999995</v>
      </c>
      <c r="CV4">
        <v>47.864038559999997</v>
      </c>
      <c r="CW4">
        <v>-94.320738169999998</v>
      </c>
      <c r="CX4" s="89">
        <v>44650.21875</v>
      </c>
      <c r="CY4" t="s">
        <v>249</v>
      </c>
      <c r="CZ4" t="s">
        <v>248</v>
      </c>
      <c r="DA4" t="s">
        <v>247</v>
      </c>
      <c r="DB4" t="s">
        <v>246</v>
      </c>
      <c r="DC4" s="18" t="s">
        <v>568</v>
      </c>
    </row>
    <row r="5" spans="1:107" ht="12.95" customHeight="1" x14ac:dyDescent="0.25">
      <c r="A5">
        <v>816919</v>
      </c>
      <c r="B5" t="s">
        <v>548</v>
      </c>
      <c r="C5">
        <v>71</v>
      </c>
      <c r="D5">
        <v>353.75599999999997</v>
      </c>
      <c r="E5" t="s">
        <v>272</v>
      </c>
      <c r="H5" t="s">
        <v>271</v>
      </c>
      <c r="I5" t="s">
        <v>270</v>
      </c>
      <c r="K5">
        <v>20310637</v>
      </c>
      <c r="L5">
        <v>201790150</v>
      </c>
      <c r="M5" s="237">
        <v>45083</v>
      </c>
      <c r="N5">
        <v>27</v>
      </c>
      <c r="O5">
        <v>2020</v>
      </c>
      <c r="P5" t="s">
        <v>426</v>
      </c>
      <c r="Q5">
        <v>0</v>
      </c>
      <c r="S5" t="s">
        <v>184</v>
      </c>
      <c r="T5">
        <v>0</v>
      </c>
      <c r="U5">
        <v>1</v>
      </c>
      <c r="W5" t="s">
        <v>182</v>
      </c>
      <c r="X5" t="s">
        <v>278</v>
      </c>
      <c r="Y5" t="s">
        <v>277</v>
      </c>
      <c r="Z5" t="s">
        <v>171</v>
      </c>
      <c r="AB5" t="s">
        <v>166</v>
      </c>
      <c r="AC5" t="s">
        <v>263</v>
      </c>
      <c r="AD5" t="s">
        <v>547</v>
      </c>
      <c r="AF5" t="s">
        <v>546</v>
      </c>
      <c r="AG5" t="s">
        <v>260</v>
      </c>
      <c r="AH5" t="s">
        <v>259</v>
      </c>
      <c r="AI5" t="s">
        <v>167</v>
      </c>
      <c r="AJ5" t="s">
        <v>427</v>
      </c>
      <c r="AK5" t="s">
        <v>257</v>
      </c>
      <c r="AL5">
        <v>25</v>
      </c>
      <c r="AM5" t="s">
        <v>256</v>
      </c>
      <c r="AN5" t="s">
        <v>419</v>
      </c>
      <c r="AO5" t="s">
        <v>274</v>
      </c>
      <c r="AP5" t="s">
        <v>164</v>
      </c>
      <c r="AS5" t="s">
        <v>253</v>
      </c>
      <c r="AT5" t="s">
        <v>252</v>
      </c>
      <c r="AU5">
        <v>60</v>
      </c>
      <c r="AV5" t="s">
        <v>251</v>
      </c>
      <c r="AW5" t="s">
        <v>250</v>
      </c>
      <c r="CT5">
        <v>401784.12449999998</v>
      </c>
      <c r="CU5">
        <v>5302425.1310999999</v>
      </c>
      <c r="CV5">
        <v>47.867658849999998</v>
      </c>
      <c r="CW5">
        <v>-94.313310400000006</v>
      </c>
      <c r="CX5" s="89">
        <v>44009.01666666667</v>
      </c>
      <c r="CY5" t="s">
        <v>249</v>
      </c>
      <c r="CZ5" t="s">
        <v>248</v>
      </c>
      <c r="DA5" t="s">
        <v>247</v>
      </c>
      <c r="DB5" t="s">
        <v>246</v>
      </c>
      <c r="DC5" s="18" t="s">
        <v>567</v>
      </c>
    </row>
    <row r="6" spans="1:107" ht="12.95" customHeight="1" x14ac:dyDescent="0.25">
      <c r="A6">
        <v>869741</v>
      </c>
      <c r="B6" t="s">
        <v>548</v>
      </c>
      <c r="C6">
        <v>71</v>
      </c>
      <c r="D6">
        <v>358.536</v>
      </c>
      <c r="E6" t="s">
        <v>272</v>
      </c>
      <c r="H6" t="s">
        <v>271</v>
      </c>
      <c r="I6" t="s">
        <v>270</v>
      </c>
      <c r="K6">
        <v>20311328</v>
      </c>
      <c r="L6">
        <v>203580163</v>
      </c>
      <c r="M6" s="237">
        <v>45272</v>
      </c>
      <c r="N6">
        <v>23</v>
      </c>
      <c r="O6">
        <v>2020</v>
      </c>
      <c r="P6" t="s">
        <v>269</v>
      </c>
      <c r="Q6">
        <v>10</v>
      </c>
      <c r="R6" t="s">
        <v>122</v>
      </c>
      <c r="S6" t="s">
        <v>268</v>
      </c>
      <c r="T6">
        <v>0</v>
      </c>
      <c r="U6">
        <v>1</v>
      </c>
      <c r="W6" t="s">
        <v>176</v>
      </c>
      <c r="X6" t="s">
        <v>278</v>
      </c>
      <c r="Y6" t="s">
        <v>165</v>
      </c>
      <c r="Z6" t="s">
        <v>295</v>
      </c>
      <c r="AA6" t="s">
        <v>521</v>
      </c>
      <c r="AB6" t="s">
        <v>183</v>
      </c>
      <c r="AC6" t="s">
        <v>263</v>
      </c>
      <c r="AD6" t="s">
        <v>547</v>
      </c>
      <c r="AF6" t="s">
        <v>546</v>
      </c>
      <c r="AG6" t="s">
        <v>260</v>
      </c>
      <c r="AH6" t="s">
        <v>259</v>
      </c>
      <c r="AI6" t="s">
        <v>431</v>
      </c>
      <c r="AJ6" t="s">
        <v>427</v>
      </c>
      <c r="AK6" t="s">
        <v>257</v>
      </c>
      <c r="AL6">
        <v>28</v>
      </c>
      <c r="AM6" t="s">
        <v>286</v>
      </c>
      <c r="AN6" t="s">
        <v>255</v>
      </c>
      <c r="AO6" t="s">
        <v>285</v>
      </c>
      <c r="AS6" t="s">
        <v>253</v>
      </c>
      <c r="AT6" t="s">
        <v>252</v>
      </c>
      <c r="AU6">
        <v>60</v>
      </c>
      <c r="AV6" t="s">
        <v>283</v>
      </c>
      <c r="AW6" t="s">
        <v>250</v>
      </c>
      <c r="CT6">
        <v>407669.10450000002</v>
      </c>
      <c r="CU6">
        <v>5306971.7899000002</v>
      </c>
      <c r="CV6">
        <v>47.909430309999998</v>
      </c>
      <c r="CW6">
        <v>-94.235610930000007</v>
      </c>
      <c r="CX6" s="89">
        <v>44188.455555555556</v>
      </c>
      <c r="CY6" t="s">
        <v>249</v>
      </c>
      <c r="CZ6" t="s">
        <v>248</v>
      </c>
      <c r="DA6" t="s">
        <v>247</v>
      </c>
      <c r="DB6" t="s">
        <v>246</v>
      </c>
      <c r="DC6" t="s">
        <v>565</v>
      </c>
    </row>
    <row r="7" spans="1:107" ht="12.95" customHeight="1" x14ac:dyDescent="0.25">
      <c r="A7">
        <v>753004</v>
      </c>
      <c r="B7" t="s">
        <v>548</v>
      </c>
      <c r="C7">
        <v>71</v>
      </c>
      <c r="D7">
        <v>362.52600000000001</v>
      </c>
      <c r="E7" t="s">
        <v>272</v>
      </c>
      <c r="H7" t="s">
        <v>271</v>
      </c>
      <c r="I7" t="s">
        <v>270</v>
      </c>
      <c r="K7">
        <v>19311181</v>
      </c>
      <c r="L7">
        <v>192810072</v>
      </c>
      <c r="M7" s="237">
        <v>45209</v>
      </c>
      <c r="N7">
        <v>8</v>
      </c>
      <c r="O7">
        <v>2019</v>
      </c>
      <c r="P7" t="s">
        <v>463</v>
      </c>
      <c r="Q7">
        <v>9</v>
      </c>
      <c r="R7" t="s">
        <v>168</v>
      </c>
      <c r="S7" t="s">
        <v>280</v>
      </c>
      <c r="T7">
        <v>0</v>
      </c>
      <c r="U7">
        <v>2</v>
      </c>
      <c r="V7" t="s">
        <v>493</v>
      </c>
      <c r="W7" t="s">
        <v>296</v>
      </c>
      <c r="X7" t="s">
        <v>278</v>
      </c>
      <c r="Y7" t="s">
        <v>165</v>
      </c>
      <c r="Z7" t="s">
        <v>171</v>
      </c>
      <c r="AB7" t="s">
        <v>166</v>
      </c>
      <c r="AC7" t="s">
        <v>263</v>
      </c>
      <c r="AD7" t="s">
        <v>547</v>
      </c>
      <c r="AF7" t="s">
        <v>546</v>
      </c>
      <c r="AG7" t="s">
        <v>492</v>
      </c>
      <c r="AH7" t="s">
        <v>259</v>
      </c>
      <c r="AI7" t="s">
        <v>431</v>
      </c>
      <c r="AJ7" t="s">
        <v>427</v>
      </c>
      <c r="AK7" t="s">
        <v>257</v>
      </c>
      <c r="AL7">
        <v>35</v>
      </c>
      <c r="AM7" t="s">
        <v>286</v>
      </c>
      <c r="AN7" t="s">
        <v>255</v>
      </c>
      <c r="AO7" t="s">
        <v>291</v>
      </c>
      <c r="AS7" t="s">
        <v>253</v>
      </c>
      <c r="AT7" t="s">
        <v>252</v>
      </c>
      <c r="AU7">
        <v>60</v>
      </c>
      <c r="AV7" t="s">
        <v>283</v>
      </c>
      <c r="AW7" t="s">
        <v>250</v>
      </c>
      <c r="AX7" t="s">
        <v>259</v>
      </c>
      <c r="AY7" t="s">
        <v>287</v>
      </c>
      <c r="AZ7" t="s">
        <v>477</v>
      </c>
      <c r="BA7" t="s">
        <v>257</v>
      </c>
      <c r="BB7">
        <v>31</v>
      </c>
      <c r="BC7" t="s">
        <v>286</v>
      </c>
      <c r="BD7" t="s">
        <v>164</v>
      </c>
      <c r="BE7" t="s">
        <v>285</v>
      </c>
      <c r="BI7" t="s">
        <v>253</v>
      </c>
      <c r="BJ7" t="s">
        <v>252</v>
      </c>
      <c r="BK7">
        <v>60</v>
      </c>
      <c r="BL7" t="s">
        <v>283</v>
      </c>
      <c r="BM7" t="s">
        <v>250</v>
      </c>
      <c r="CT7">
        <v>412535.83769999997</v>
      </c>
      <c r="CU7">
        <v>5311081.8066999996</v>
      </c>
      <c r="CV7">
        <v>47.947083880000001</v>
      </c>
      <c r="CW7">
        <v>-94.171331760000001</v>
      </c>
      <c r="CX7" s="89">
        <v>43746.393750000003</v>
      </c>
      <c r="CY7" t="s">
        <v>249</v>
      </c>
      <c r="CZ7" t="s">
        <v>248</v>
      </c>
      <c r="DA7" t="s">
        <v>247</v>
      </c>
      <c r="DB7" t="s">
        <v>246</v>
      </c>
      <c r="DC7" s="18" t="s">
        <v>564</v>
      </c>
    </row>
    <row r="8" spans="1:107" ht="12.95" customHeight="1" x14ac:dyDescent="0.25">
      <c r="A8">
        <v>1023099</v>
      </c>
      <c r="B8" t="s">
        <v>548</v>
      </c>
      <c r="C8">
        <v>71</v>
      </c>
      <c r="D8">
        <v>394.68900000000002</v>
      </c>
      <c r="E8" t="s">
        <v>272</v>
      </c>
      <c r="H8" t="s">
        <v>464</v>
      </c>
      <c r="I8" t="s">
        <v>270</v>
      </c>
      <c r="K8">
        <v>22310668</v>
      </c>
      <c r="L8">
        <v>221350126</v>
      </c>
      <c r="M8" s="237">
        <v>45051</v>
      </c>
      <c r="N8">
        <v>15</v>
      </c>
      <c r="O8">
        <v>2022</v>
      </c>
      <c r="P8" t="s">
        <v>289</v>
      </c>
      <c r="Q8">
        <v>9</v>
      </c>
      <c r="R8" t="s">
        <v>122</v>
      </c>
      <c r="S8" t="s">
        <v>280</v>
      </c>
      <c r="T8">
        <v>0</v>
      </c>
      <c r="U8">
        <v>1</v>
      </c>
      <c r="W8" t="s">
        <v>279</v>
      </c>
      <c r="X8" t="s">
        <v>278</v>
      </c>
      <c r="Y8" t="s">
        <v>165</v>
      </c>
      <c r="Z8" t="s">
        <v>171</v>
      </c>
      <c r="AB8" t="s">
        <v>166</v>
      </c>
      <c r="AC8" t="s">
        <v>263</v>
      </c>
      <c r="AD8" t="s">
        <v>547</v>
      </c>
      <c r="AF8" t="s">
        <v>546</v>
      </c>
      <c r="AG8" t="s">
        <v>260</v>
      </c>
      <c r="AH8" t="s">
        <v>259</v>
      </c>
      <c r="AI8" t="s">
        <v>167</v>
      </c>
      <c r="AJ8" t="s">
        <v>477</v>
      </c>
      <c r="AK8" t="s">
        <v>257</v>
      </c>
      <c r="AL8">
        <v>18</v>
      </c>
      <c r="AM8" t="s">
        <v>256</v>
      </c>
      <c r="AN8" t="s">
        <v>255</v>
      </c>
      <c r="AO8" t="s">
        <v>285</v>
      </c>
      <c r="AP8" t="s">
        <v>274</v>
      </c>
      <c r="AS8" t="s">
        <v>253</v>
      </c>
      <c r="AT8" t="s">
        <v>252</v>
      </c>
      <c r="AU8">
        <v>60</v>
      </c>
      <c r="AV8" t="s">
        <v>283</v>
      </c>
      <c r="AW8" t="s">
        <v>250</v>
      </c>
      <c r="CT8">
        <v>445552.75679999997</v>
      </c>
      <c r="CU8">
        <v>5349358.6937999995</v>
      </c>
      <c r="CV8">
        <v>48.295091040000003</v>
      </c>
      <c r="CW8">
        <v>-93.734106560000001</v>
      </c>
      <c r="CX8" s="89">
        <v>44696.411111111112</v>
      </c>
      <c r="CY8" t="s">
        <v>249</v>
      </c>
      <c r="CZ8" t="s">
        <v>248</v>
      </c>
      <c r="DA8" t="s">
        <v>247</v>
      </c>
      <c r="DB8" t="s">
        <v>246</v>
      </c>
      <c r="DC8" t="s">
        <v>563</v>
      </c>
    </row>
    <row r="9" spans="1:107" ht="12.95" customHeight="1" x14ac:dyDescent="0.25">
      <c r="A9">
        <v>786847</v>
      </c>
      <c r="B9" t="s">
        <v>548</v>
      </c>
      <c r="C9">
        <v>71</v>
      </c>
      <c r="D9">
        <v>394.89800000000002</v>
      </c>
      <c r="E9" t="s">
        <v>272</v>
      </c>
      <c r="H9" t="s">
        <v>464</v>
      </c>
      <c r="I9" t="s">
        <v>270</v>
      </c>
      <c r="K9">
        <v>20310161</v>
      </c>
      <c r="L9">
        <v>200310282</v>
      </c>
      <c r="M9" s="237">
        <v>44927</v>
      </c>
      <c r="N9">
        <v>31</v>
      </c>
      <c r="O9">
        <v>2020</v>
      </c>
      <c r="P9" t="s">
        <v>293</v>
      </c>
      <c r="Q9">
        <v>14</v>
      </c>
      <c r="R9" t="s">
        <v>122</v>
      </c>
      <c r="S9" t="s">
        <v>268</v>
      </c>
      <c r="T9">
        <v>0</v>
      </c>
      <c r="U9">
        <v>1</v>
      </c>
      <c r="W9" t="s">
        <v>559</v>
      </c>
      <c r="X9" t="s">
        <v>278</v>
      </c>
      <c r="Y9" t="s">
        <v>165</v>
      </c>
      <c r="Z9" t="s">
        <v>179</v>
      </c>
      <c r="AB9" t="s">
        <v>166</v>
      </c>
      <c r="AC9" t="s">
        <v>263</v>
      </c>
      <c r="AD9" t="s">
        <v>547</v>
      </c>
      <c r="AF9" t="s">
        <v>546</v>
      </c>
      <c r="AG9" t="s">
        <v>292</v>
      </c>
      <c r="AH9" t="s">
        <v>259</v>
      </c>
      <c r="AI9" t="s">
        <v>276</v>
      </c>
      <c r="AJ9" t="s">
        <v>427</v>
      </c>
      <c r="AK9" t="s">
        <v>257</v>
      </c>
      <c r="AL9">
        <v>50</v>
      </c>
      <c r="AM9" t="s">
        <v>256</v>
      </c>
      <c r="AN9" t="s">
        <v>516</v>
      </c>
      <c r="AO9" t="s">
        <v>438</v>
      </c>
      <c r="AP9" t="s">
        <v>418</v>
      </c>
      <c r="AS9" t="s">
        <v>253</v>
      </c>
      <c r="AT9" t="s">
        <v>252</v>
      </c>
      <c r="AU9">
        <v>60</v>
      </c>
      <c r="AV9" t="s">
        <v>283</v>
      </c>
      <c r="AW9" t="s">
        <v>250</v>
      </c>
      <c r="CT9">
        <v>445597.66700000002</v>
      </c>
      <c r="CU9">
        <v>5349704.3931</v>
      </c>
      <c r="CV9">
        <v>48.298204810000001</v>
      </c>
      <c r="CW9">
        <v>-93.733545640000003</v>
      </c>
      <c r="CX9" s="89">
        <v>43861.588194444441</v>
      </c>
      <c r="CY9" t="s">
        <v>249</v>
      </c>
      <c r="CZ9" t="s">
        <v>248</v>
      </c>
      <c r="DA9" t="s">
        <v>247</v>
      </c>
      <c r="DB9" t="s">
        <v>246</v>
      </c>
      <c r="DC9" t="s">
        <v>562</v>
      </c>
    </row>
    <row r="10" spans="1:107" ht="12.95" customHeight="1" x14ac:dyDescent="0.25">
      <c r="A10">
        <v>723140</v>
      </c>
      <c r="B10" t="s">
        <v>548</v>
      </c>
      <c r="C10">
        <v>71</v>
      </c>
      <c r="D10">
        <v>396.858</v>
      </c>
      <c r="E10" t="s">
        <v>272</v>
      </c>
      <c r="H10" t="s">
        <v>464</v>
      </c>
      <c r="I10" t="s">
        <v>270</v>
      </c>
      <c r="K10">
        <v>19310645</v>
      </c>
      <c r="L10">
        <v>191490171</v>
      </c>
      <c r="M10" s="237">
        <v>45051</v>
      </c>
      <c r="N10">
        <v>29</v>
      </c>
      <c r="O10">
        <v>2019</v>
      </c>
      <c r="P10" t="s">
        <v>269</v>
      </c>
      <c r="Q10">
        <v>7</v>
      </c>
      <c r="R10" t="s">
        <v>123</v>
      </c>
      <c r="S10" t="s">
        <v>268</v>
      </c>
      <c r="T10">
        <v>0</v>
      </c>
      <c r="U10">
        <v>1</v>
      </c>
      <c r="W10" t="s">
        <v>279</v>
      </c>
      <c r="X10" t="s">
        <v>278</v>
      </c>
      <c r="Y10" t="s">
        <v>165</v>
      </c>
      <c r="Z10" t="s">
        <v>171</v>
      </c>
      <c r="AB10" t="s">
        <v>166</v>
      </c>
      <c r="AC10" t="s">
        <v>263</v>
      </c>
      <c r="AD10" t="s">
        <v>547</v>
      </c>
      <c r="AF10" t="s">
        <v>546</v>
      </c>
      <c r="AG10" t="s">
        <v>260</v>
      </c>
      <c r="AH10" t="s">
        <v>259</v>
      </c>
      <c r="AI10" t="s">
        <v>431</v>
      </c>
      <c r="AJ10" t="s">
        <v>258</v>
      </c>
      <c r="AK10" t="s">
        <v>412</v>
      </c>
      <c r="AL10">
        <v>29</v>
      </c>
      <c r="AM10" t="s">
        <v>286</v>
      </c>
      <c r="AN10" t="s">
        <v>255</v>
      </c>
      <c r="AO10" t="s">
        <v>291</v>
      </c>
      <c r="AS10" t="s">
        <v>253</v>
      </c>
      <c r="AT10" t="s">
        <v>252</v>
      </c>
      <c r="AU10">
        <v>60</v>
      </c>
      <c r="AV10" t="s">
        <v>283</v>
      </c>
      <c r="AW10" t="s">
        <v>250</v>
      </c>
      <c r="CT10">
        <v>446383.64899999998</v>
      </c>
      <c r="CU10">
        <v>5352685.5635000002</v>
      </c>
      <c r="CV10">
        <v>48.325090469999999</v>
      </c>
      <c r="CW10">
        <v>-93.723327639999994</v>
      </c>
      <c r="CX10" s="89">
        <v>43614.322916666664</v>
      </c>
      <c r="CY10" t="s">
        <v>249</v>
      </c>
      <c r="CZ10" t="s">
        <v>248</v>
      </c>
      <c r="DA10" t="s">
        <v>247</v>
      </c>
      <c r="DB10" t="s">
        <v>246</v>
      </c>
      <c r="DC10" t="s">
        <v>561</v>
      </c>
    </row>
    <row r="11" spans="1:107" ht="12.95" customHeight="1" x14ac:dyDescent="0.25">
      <c r="A11">
        <v>908955</v>
      </c>
      <c r="B11" t="s">
        <v>548</v>
      </c>
      <c r="C11">
        <v>71</v>
      </c>
      <c r="D11">
        <v>397.73599999999999</v>
      </c>
      <c r="E11" t="s">
        <v>272</v>
      </c>
      <c r="H11" t="s">
        <v>464</v>
      </c>
      <c r="I11" t="s">
        <v>270</v>
      </c>
      <c r="K11">
        <v>21310502</v>
      </c>
      <c r="L11">
        <v>211500111</v>
      </c>
      <c r="M11" s="237">
        <v>45051</v>
      </c>
      <c r="N11">
        <v>30</v>
      </c>
      <c r="O11">
        <v>2021</v>
      </c>
      <c r="P11" t="s">
        <v>289</v>
      </c>
      <c r="Q11">
        <v>22</v>
      </c>
      <c r="R11" t="s">
        <v>121</v>
      </c>
      <c r="S11" t="s">
        <v>280</v>
      </c>
      <c r="T11">
        <v>0</v>
      </c>
      <c r="U11">
        <v>1</v>
      </c>
      <c r="W11" t="s">
        <v>182</v>
      </c>
      <c r="X11" t="s">
        <v>278</v>
      </c>
      <c r="Y11" t="s">
        <v>277</v>
      </c>
      <c r="Z11" t="s">
        <v>171</v>
      </c>
      <c r="AA11" t="s">
        <v>519</v>
      </c>
      <c r="AB11" t="s">
        <v>166</v>
      </c>
      <c r="AC11" t="s">
        <v>263</v>
      </c>
      <c r="AD11" t="s">
        <v>547</v>
      </c>
      <c r="AF11" t="s">
        <v>546</v>
      </c>
      <c r="AG11" t="s">
        <v>260</v>
      </c>
      <c r="AH11" t="s">
        <v>259</v>
      </c>
      <c r="AI11" t="s">
        <v>167</v>
      </c>
      <c r="AJ11" t="s">
        <v>477</v>
      </c>
      <c r="AK11" t="s">
        <v>257</v>
      </c>
      <c r="AL11">
        <v>30</v>
      </c>
      <c r="AM11" t="s">
        <v>256</v>
      </c>
      <c r="AN11" t="s">
        <v>419</v>
      </c>
      <c r="AO11" t="s">
        <v>284</v>
      </c>
      <c r="AP11" t="s">
        <v>254</v>
      </c>
      <c r="AS11" t="s">
        <v>253</v>
      </c>
      <c r="AT11" t="s">
        <v>252</v>
      </c>
      <c r="AU11">
        <v>60</v>
      </c>
      <c r="AV11" t="s">
        <v>251</v>
      </c>
      <c r="AW11" t="s">
        <v>250</v>
      </c>
      <c r="CT11">
        <v>447292.37599999999</v>
      </c>
      <c r="CU11">
        <v>5353766.9990999997</v>
      </c>
      <c r="CV11">
        <v>48.334895469999999</v>
      </c>
      <c r="CW11">
        <v>-93.71120458</v>
      </c>
      <c r="CX11" s="89">
        <v>44346.945833333331</v>
      </c>
      <c r="CY11" t="s">
        <v>249</v>
      </c>
      <c r="CZ11" t="s">
        <v>248</v>
      </c>
      <c r="DA11" t="s">
        <v>247</v>
      </c>
      <c r="DB11" t="s">
        <v>246</v>
      </c>
      <c r="DC11" s="18" t="s">
        <v>560</v>
      </c>
    </row>
    <row r="12" spans="1:107" ht="12.95" customHeight="1" x14ac:dyDescent="0.25">
      <c r="A12">
        <v>771607</v>
      </c>
      <c r="B12" t="s">
        <v>548</v>
      </c>
      <c r="C12">
        <v>71</v>
      </c>
      <c r="D12">
        <v>400.339</v>
      </c>
      <c r="E12" t="s">
        <v>272</v>
      </c>
      <c r="H12" t="s">
        <v>464</v>
      </c>
      <c r="I12" t="s">
        <v>270</v>
      </c>
      <c r="K12">
        <v>19311508</v>
      </c>
      <c r="L12">
        <v>193460532</v>
      </c>
      <c r="M12" s="237">
        <v>45272</v>
      </c>
      <c r="N12">
        <v>12</v>
      </c>
      <c r="O12">
        <v>2019</v>
      </c>
      <c r="P12" t="s">
        <v>281</v>
      </c>
      <c r="Q12">
        <v>12</v>
      </c>
      <c r="R12" t="s">
        <v>121</v>
      </c>
      <c r="S12" t="s">
        <v>280</v>
      </c>
      <c r="T12">
        <v>0</v>
      </c>
      <c r="U12">
        <v>1</v>
      </c>
      <c r="W12" t="s">
        <v>279</v>
      </c>
      <c r="X12" t="s">
        <v>278</v>
      </c>
      <c r="Y12" t="s">
        <v>165</v>
      </c>
      <c r="Z12" t="s">
        <v>171</v>
      </c>
      <c r="AB12" t="s">
        <v>264</v>
      </c>
      <c r="AC12" t="s">
        <v>263</v>
      </c>
      <c r="AD12" t="s">
        <v>547</v>
      </c>
      <c r="AF12" t="s">
        <v>546</v>
      </c>
      <c r="AG12" t="s">
        <v>260</v>
      </c>
      <c r="AH12" t="s">
        <v>259</v>
      </c>
      <c r="AI12" t="s">
        <v>167</v>
      </c>
      <c r="AJ12" t="s">
        <v>477</v>
      </c>
      <c r="AK12" t="s">
        <v>257</v>
      </c>
      <c r="AL12">
        <v>65</v>
      </c>
      <c r="AM12" t="s">
        <v>256</v>
      </c>
      <c r="AN12" t="s">
        <v>255</v>
      </c>
      <c r="AO12" t="s">
        <v>284</v>
      </c>
      <c r="AP12" t="s">
        <v>429</v>
      </c>
      <c r="AS12" t="s">
        <v>253</v>
      </c>
      <c r="AT12" t="s">
        <v>252</v>
      </c>
      <c r="AU12">
        <v>60</v>
      </c>
      <c r="AV12" t="s">
        <v>283</v>
      </c>
      <c r="AW12" t="s">
        <v>250</v>
      </c>
      <c r="CT12">
        <v>450414.01459999999</v>
      </c>
      <c r="CU12">
        <v>5356537.6376999998</v>
      </c>
      <c r="CV12">
        <v>48.36007292</v>
      </c>
      <c r="CW12">
        <v>-93.66941301</v>
      </c>
      <c r="CX12" s="89">
        <v>43811.5</v>
      </c>
      <c r="CY12" t="s">
        <v>249</v>
      </c>
      <c r="CZ12" t="s">
        <v>248</v>
      </c>
      <c r="DA12" t="s">
        <v>247</v>
      </c>
      <c r="DB12" t="s">
        <v>246</v>
      </c>
      <c r="DC12" s="18" t="s">
        <v>558</v>
      </c>
    </row>
    <row r="13" spans="1:107" ht="12.95" customHeight="1" x14ac:dyDescent="0.25">
      <c r="A13">
        <v>698045</v>
      </c>
      <c r="B13" t="s">
        <v>548</v>
      </c>
      <c r="C13">
        <v>71</v>
      </c>
      <c r="D13">
        <v>402.55700000000002</v>
      </c>
      <c r="E13" t="s">
        <v>272</v>
      </c>
      <c r="H13" t="s">
        <v>464</v>
      </c>
      <c r="I13" t="s">
        <v>270</v>
      </c>
      <c r="K13">
        <v>19310356</v>
      </c>
      <c r="L13">
        <v>190680390</v>
      </c>
      <c r="M13" s="237">
        <v>44988</v>
      </c>
      <c r="N13">
        <v>9</v>
      </c>
      <c r="O13">
        <v>2019</v>
      </c>
      <c r="P13" t="s">
        <v>426</v>
      </c>
      <c r="Q13">
        <v>4</v>
      </c>
      <c r="R13" t="s">
        <v>168</v>
      </c>
      <c r="S13" t="s">
        <v>268</v>
      </c>
      <c r="T13">
        <v>0</v>
      </c>
      <c r="U13">
        <v>1</v>
      </c>
      <c r="W13" t="s">
        <v>279</v>
      </c>
      <c r="X13" t="s">
        <v>278</v>
      </c>
      <c r="Y13" t="s">
        <v>164</v>
      </c>
      <c r="Z13" t="s">
        <v>179</v>
      </c>
      <c r="AB13" t="s">
        <v>187</v>
      </c>
      <c r="AC13" t="s">
        <v>263</v>
      </c>
      <c r="AD13" t="s">
        <v>547</v>
      </c>
      <c r="AF13" t="s">
        <v>546</v>
      </c>
      <c r="AG13" t="s">
        <v>260</v>
      </c>
      <c r="AH13" t="s">
        <v>259</v>
      </c>
      <c r="AI13" t="s">
        <v>287</v>
      </c>
      <c r="AJ13" t="s">
        <v>477</v>
      </c>
      <c r="AK13" t="s">
        <v>257</v>
      </c>
      <c r="AL13">
        <v>40</v>
      </c>
      <c r="AM13" t="s">
        <v>256</v>
      </c>
      <c r="AN13" t="s">
        <v>164</v>
      </c>
      <c r="AO13" t="s">
        <v>254</v>
      </c>
      <c r="AP13" t="s">
        <v>274</v>
      </c>
      <c r="AS13" t="s">
        <v>253</v>
      </c>
      <c r="AT13" t="s">
        <v>252</v>
      </c>
      <c r="AU13">
        <v>60</v>
      </c>
      <c r="AV13" t="s">
        <v>283</v>
      </c>
      <c r="AW13" t="s">
        <v>250</v>
      </c>
      <c r="CT13">
        <v>453284.63549999997</v>
      </c>
      <c r="CU13">
        <v>5358638.0546000004</v>
      </c>
      <c r="CV13">
        <v>48.379187360000003</v>
      </c>
      <c r="CW13">
        <v>-93.630895859999995</v>
      </c>
      <c r="CX13" s="89">
        <v>43533.1875</v>
      </c>
      <c r="CY13" t="s">
        <v>249</v>
      </c>
      <c r="CZ13" t="s">
        <v>248</v>
      </c>
      <c r="DA13" t="s">
        <v>247</v>
      </c>
      <c r="DB13" t="s">
        <v>246</v>
      </c>
      <c r="DC13" s="18" t="s">
        <v>557</v>
      </c>
    </row>
    <row r="14" spans="1:107" ht="12.95" customHeight="1" x14ac:dyDescent="0.25">
      <c r="A14">
        <v>773126</v>
      </c>
      <c r="B14" t="s">
        <v>548</v>
      </c>
      <c r="C14">
        <v>71</v>
      </c>
      <c r="D14">
        <v>405.70600000000002</v>
      </c>
      <c r="E14" t="s">
        <v>272</v>
      </c>
      <c r="H14" t="s">
        <v>464</v>
      </c>
      <c r="I14" t="s">
        <v>270</v>
      </c>
      <c r="K14">
        <v>19311552</v>
      </c>
      <c r="L14">
        <v>193530259</v>
      </c>
      <c r="M14" s="237">
        <v>45272</v>
      </c>
      <c r="N14">
        <v>19</v>
      </c>
      <c r="O14">
        <v>2019</v>
      </c>
      <c r="P14" t="s">
        <v>281</v>
      </c>
      <c r="Q14">
        <v>15</v>
      </c>
      <c r="R14" t="s">
        <v>122</v>
      </c>
      <c r="S14" t="s">
        <v>268</v>
      </c>
      <c r="T14">
        <v>0</v>
      </c>
      <c r="U14">
        <v>2</v>
      </c>
      <c r="V14" t="s">
        <v>493</v>
      </c>
      <c r="W14" t="s">
        <v>296</v>
      </c>
      <c r="X14" t="s">
        <v>169</v>
      </c>
      <c r="Y14" t="s">
        <v>165</v>
      </c>
      <c r="Z14" t="s">
        <v>171</v>
      </c>
      <c r="AB14" t="s">
        <v>187</v>
      </c>
      <c r="AC14" t="s">
        <v>263</v>
      </c>
      <c r="AD14" t="s">
        <v>547</v>
      </c>
      <c r="AF14" t="s">
        <v>546</v>
      </c>
      <c r="AG14" t="s">
        <v>492</v>
      </c>
      <c r="AH14" t="s">
        <v>259</v>
      </c>
      <c r="AI14" t="s">
        <v>431</v>
      </c>
      <c r="AJ14" t="s">
        <v>427</v>
      </c>
      <c r="AK14" t="s">
        <v>257</v>
      </c>
      <c r="AL14">
        <v>68</v>
      </c>
      <c r="AM14" t="s">
        <v>286</v>
      </c>
      <c r="AN14" t="s">
        <v>255</v>
      </c>
      <c r="AO14" t="s">
        <v>254</v>
      </c>
      <c r="AS14" t="s">
        <v>253</v>
      </c>
      <c r="AT14" t="s">
        <v>170</v>
      </c>
      <c r="AU14">
        <v>60</v>
      </c>
      <c r="AV14" t="s">
        <v>283</v>
      </c>
      <c r="AW14" t="s">
        <v>250</v>
      </c>
      <c r="AX14" t="s">
        <v>259</v>
      </c>
      <c r="AY14" t="s">
        <v>431</v>
      </c>
      <c r="AZ14" t="s">
        <v>477</v>
      </c>
      <c r="BA14" t="s">
        <v>257</v>
      </c>
      <c r="BB14">
        <v>57</v>
      </c>
      <c r="BC14" t="s">
        <v>286</v>
      </c>
      <c r="BD14" t="s">
        <v>255</v>
      </c>
      <c r="BE14" t="s">
        <v>291</v>
      </c>
      <c r="BI14" t="s">
        <v>253</v>
      </c>
      <c r="BJ14" t="s">
        <v>252</v>
      </c>
      <c r="BK14">
        <v>60</v>
      </c>
      <c r="BL14" t="s">
        <v>283</v>
      </c>
      <c r="BM14" t="s">
        <v>250</v>
      </c>
      <c r="CT14">
        <v>457540.86369999999</v>
      </c>
      <c r="CU14">
        <v>5361027.6785000004</v>
      </c>
      <c r="CV14">
        <v>48.400985550000001</v>
      </c>
      <c r="CW14">
        <v>-93.573660529999998</v>
      </c>
      <c r="CX14" s="89">
        <v>43818.645138888889</v>
      </c>
      <c r="CY14" t="s">
        <v>249</v>
      </c>
      <c r="CZ14" t="s">
        <v>248</v>
      </c>
      <c r="DA14" t="s">
        <v>247</v>
      </c>
      <c r="DB14" t="s">
        <v>246</v>
      </c>
      <c r="DC14" s="18" t="s">
        <v>556</v>
      </c>
    </row>
    <row r="15" spans="1:107" ht="12.95" customHeight="1" x14ac:dyDescent="0.25">
      <c r="A15">
        <v>1031471</v>
      </c>
      <c r="B15" t="s">
        <v>548</v>
      </c>
      <c r="C15">
        <v>71</v>
      </c>
      <c r="D15">
        <v>406.11</v>
      </c>
      <c r="E15" t="s">
        <v>272</v>
      </c>
      <c r="H15" t="s">
        <v>464</v>
      </c>
      <c r="I15" t="s">
        <v>270</v>
      </c>
      <c r="K15">
        <v>22310833</v>
      </c>
      <c r="L15">
        <v>221800164</v>
      </c>
      <c r="M15" s="237">
        <v>45083</v>
      </c>
      <c r="N15">
        <v>29</v>
      </c>
      <c r="O15">
        <v>2022</v>
      </c>
      <c r="P15" t="s">
        <v>269</v>
      </c>
      <c r="Q15">
        <v>14</v>
      </c>
      <c r="S15" t="s">
        <v>268</v>
      </c>
      <c r="T15">
        <v>0</v>
      </c>
      <c r="U15">
        <v>2</v>
      </c>
      <c r="V15" t="s">
        <v>479</v>
      </c>
      <c r="W15" t="s">
        <v>296</v>
      </c>
      <c r="X15" t="s">
        <v>278</v>
      </c>
      <c r="Y15" t="s">
        <v>165</v>
      </c>
      <c r="Z15" t="s">
        <v>188</v>
      </c>
      <c r="AB15" t="s">
        <v>187</v>
      </c>
      <c r="AC15" t="s">
        <v>263</v>
      </c>
      <c r="AD15" t="s">
        <v>547</v>
      </c>
      <c r="AF15" t="s">
        <v>546</v>
      </c>
      <c r="AG15" t="s">
        <v>478</v>
      </c>
      <c r="AH15" t="s">
        <v>259</v>
      </c>
      <c r="AI15" t="s">
        <v>431</v>
      </c>
      <c r="AJ15" t="s">
        <v>427</v>
      </c>
      <c r="AK15" t="s">
        <v>177</v>
      </c>
      <c r="AL15">
        <v>19</v>
      </c>
      <c r="AM15" t="s">
        <v>286</v>
      </c>
      <c r="AN15" t="s">
        <v>255</v>
      </c>
      <c r="AO15" t="s">
        <v>460</v>
      </c>
      <c r="AS15" t="s">
        <v>253</v>
      </c>
      <c r="AT15" t="s">
        <v>252</v>
      </c>
      <c r="AU15">
        <v>60</v>
      </c>
      <c r="AV15" t="s">
        <v>283</v>
      </c>
      <c r="AW15" t="s">
        <v>250</v>
      </c>
      <c r="AX15" t="s">
        <v>259</v>
      </c>
      <c r="AY15" t="s">
        <v>431</v>
      </c>
      <c r="AZ15" t="s">
        <v>427</v>
      </c>
      <c r="BA15" t="s">
        <v>257</v>
      </c>
      <c r="BB15">
        <v>66</v>
      </c>
      <c r="BC15" t="s">
        <v>286</v>
      </c>
      <c r="BD15" t="s">
        <v>255</v>
      </c>
      <c r="BE15" t="s">
        <v>520</v>
      </c>
      <c r="BI15" t="s">
        <v>253</v>
      </c>
      <c r="BJ15" t="s">
        <v>252</v>
      </c>
      <c r="BK15">
        <v>60</v>
      </c>
      <c r="BL15" t="s">
        <v>283</v>
      </c>
      <c r="BM15" t="s">
        <v>437</v>
      </c>
      <c r="CT15">
        <v>457763.49910000002</v>
      </c>
      <c r="CU15">
        <v>5361612.2307000002</v>
      </c>
      <c r="CV15">
        <v>48.406259200000001</v>
      </c>
      <c r="CW15">
        <v>-93.570711560000007</v>
      </c>
      <c r="CX15" s="89">
        <v>44741.611111111109</v>
      </c>
      <c r="CY15" t="s">
        <v>249</v>
      </c>
      <c r="CZ15" t="s">
        <v>248</v>
      </c>
      <c r="DA15" t="s">
        <v>247</v>
      </c>
      <c r="DB15" t="s">
        <v>246</v>
      </c>
      <c r="DC15" s="18" t="s">
        <v>555</v>
      </c>
    </row>
    <row r="16" spans="1:107" ht="12.95" customHeight="1" x14ac:dyDescent="0.25">
      <c r="A16">
        <v>731915</v>
      </c>
      <c r="B16" t="s">
        <v>548</v>
      </c>
      <c r="C16">
        <v>71</v>
      </c>
      <c r="D16">
        <v>407.26600000000002</v>
      </c>
      <c r="E16" t="s">
        <v>272</v>
      </c>
      <c r="H16" t="s">
        <v>464</v>
      </c>
      <c r="I16" t="s">
        <v>270</v>
      </c>
      <c r="K16">
        <v>19310761</v>
      </c>
      <c r="L16">
        <v>191810202</v>
      </c>
      <c r="M16" s="237">
        <v>45083</v>
      </c>
      <c r="N16">
        <v>30</v>
      </c>
      <c r="O16">
        <v>2019</v>
      </c>
      <c r="P16" t="s">
        <v>289</v>
      </c>
      <c r="Q16">
        <v>22</v>
      </c>
      <c r="R16" t="s">
        <v>121</v>
      </c>
      <c r="S16" t="s">
        <v>185</v>
      </c>
      <c r="T16">
        <v>1</v>
      </c>
      <c r="U16">
        <v>1</v>
      </c>
      <c r="W16" t="s">
        <v>554</v>
      </c>
      <c r="X16" t="s">
        <v>278</v>
      </c>
      <c r="Y16" t="s">
        <v>277</v>
      </c>
      <c r="Z16" t="s">
        <v>171</v>
      </c>
      <c r="AB16" t="s">
        <v>166</v>
      </c>
      <c r="AC16" t="s">
        <v>263</v>
      </c>
      <c r="AD16" t="s">
        <v>547</v>
      </c>
      <c r="AF16" t="s">
        <v>546</v>
      </c>
      <c r="AG16" t="s">
        <v>554</v>
      </c>
      <c r="AH16" t="s">
        <v>259</v>
      </c>
      <c r="AI16" t="s">
        <v>167</v>
      </c>
      <c r="AJ16" t="s">
        <v>477</v>
      </c>
      <c r="AK16" t="s">
        <v>412</v>
      </c>
      <c r="AL16">
        <v>38</v>
      </c>
      <c r="AM16" t="s">
        <v>286</v>
      </c>
      <c r="AN16" t="s">
        <v>255</v>
      </c>
      <c r="AO16" t="s">
        <v>284</v>
      </c>
      <c r="AP16" t="s">
        <v>429</v>
      </c>
      <c r="AS16" t="s">
        <v>253</v>
      </c>
      <c r="AT16" t="s">
        <v>252</v>
      </c>
      <c r="AU16">
        <v>60</v>
      </c>
      <c r="AV16" t="s">
        <v>283</v>
      </c>
      <c r="AW16" t="s">
        <v>250</v>
      </c>
      <c r="AX16" t="s">
        <v>554</v>
      </c>
      <c r="BB16">
        <v>18</v>
      </c>
      <c r="BC16" t="s">
        <v>256</v>
      </c>
      <c r="BD16" t="s">
        <v>164</v>
      </c>
      <c r="BE16" t="s">
        <v>254</v>
      </c>
      <c r="BG16" t="s">
        <v>553</v>
      </c>
      <c r="BH16" t="s">
        <v>552</v>
      </c>
      <c r="CT16">
        <v>457838.73639999999</v>
      </c>
      <c r="CU16">
        <v>5363479.8881999999</v>
      </c>
      <c r="CV16">
        <v>48.423065860000001</v>
      </c>
      <c r="CW16">
        <v>-93.569882739999997</v>
      </c>
      <c r="CX16" s="89">
        <v>43646.931944444441</v>
      </c>
      <c r="CY16" t="s">
        <v>249</v>
      </c>
      <c r="CZ16" t="s">
        <v>248</v>
      </c>
      <c r="DA16" t="s">
        <v>247</v>
      </c>
      <c r="DB16" t="s">
        <v>246</v>
      </c>
      <c r="DC16" t="s">
        <v>551</v>
      </c>
    </row>
    <row r="17" spans="1:107" ht="12.95" customHeight="1" x14ac:dyDescent="0.25">
      <c r="A17">
        <v>731666</v>
      </c>
      <c r="B17" t="s">
        <v>548</v>
      </c>
      <c r="C17">
        <v>71</v>
      </c>
      <c r="D17">
        <v>407.72300000000001</v>
      </c>
      <c r="E17" t="s">
        <v>272</v>
      </c>
      <c r="H17" t="s">
        <v>464</v>
      </c>
      <c r="I17" t="s">
        <v>270</v>
      </c>
      <c r="K17">
        <v>19310777</v>
      </c>
      <c r="L17">
        <v>191840219</v>
      </c>
      <c r="M17" s="237">
        <v>45114</v>
      </c>
      <c r="N17">
        <v>3</v>
      </c>
      <c r="O17">
        <v>2019</v>
      </c>
      <c r="P17" t="s">
        <v>269</v>
      </c>
      <c r="Q17">
        <v>16</v>
      </c>
      <c r="R17" t="s">
        <v>121</v>
      </c>
      <c r="S17" t="s">
        <v>280</v>
      </c>
      <c r="T17">
        <v>0</v>
      </c>
      <c r="U17">
        <v>2</v>
      </c>
      <c r="V17" t="s">
        <v>406</v>
      </c>
      <c r="W17" t="s">
        <v>296</v>
      </c>
      <c r="X17" t="s">
        <v>409</v>
      </c>
      <c r="Y17" t="s">
        <v>165</v>
      </c>
      <c r="Z17" t="s">
        <v>171</v>
      </c>
      <c r="AB17" t="s">
        <v>166</v>
      </c>
      <c r="AC17" t="s">
        <v>263</v>
      </c>
      <c r="AD17" t="s">
        <v>547</v>
      </c>
      <c r="AF17" t="s">
        <v>546</v>
      </c>
      <c r="AG17" t="s">
        <v>406</v>
      </c>
      <c r="AH17" t="s">
        <v>259</v>
      </c>
      <c r="AI17" t="s">
        <v>287</v>
      </c>
      <c r="AJ17" t="s">
        <v>477</v>
      </c>
      <c r="AK17" t="s">
        <v>257</v>
      </c>
      <c r="AL17">
        <v>61</v>
      </c>
      <c r="AM17" t="s">
        <v>286</v>
      </c>
      <c r="AN17" t="s">
        <v>255</v>
      </c>
      <c r="AO17" t="s">
        <v>291</v>
      </c>
      <c r="AS17" t="s">
        <v>253</v>
      </c>
      <c r="AT17" t="s">
        <v>252</v>
      </c>
      <c r="AU17">
        <v>55</v>
      </c>
      <c r="AV17" t="s">
        <v>283</v>
      </c>
      <c r="AW17" t="s">
        <v>250</v>
      </c>
      <c r="AX17" t="s">
        <v>259</v>
      </c>
      <c r="AY17" t="s">
        <v>276</v>
      </c>
      <c r="AZ17" t="s">
        <v>258</v>
      </c>
      <c r="BA17" t="s">
        <v>257</v>
      </c>
      <c r="BB17">
        <v>82</v>
      </c>
      <c r="BC17" t="s">
        <v>286</v>
      </c>
      <c r="BD17" t="s">
        <v>255</v>
      </c>
      <c r="BE17" t="s">
        <v>476</v>
      </c>
      <c r="BI17" t="s">
        <v>253</v>
      </c>
      <c r="BJ17" t="s">
        <v>170</v>
      </c>
      <c r="BK17">
        <v>55</v>
      </c>
      <c r="BL17" t="s">
        <v>283</v>
      </c>
      <c r="BM17" t="s">
        <v>250</v>
      </c>
      <c r="CT17">
        <v>457822.2794</v>
      </c>
      <c r="CU17">
        <v>5364216.4057</v>
      </c>
      <c r="CV17">
        <v>48.429690520000001</v>
      </c>
      <c r="CW17">
        <v>-93.570179280000005</v>
      </c>
      <c r="CX17" s="89">
        <v>43649.696527777778</v>
      </c>
      <c r="CY17" t="s">
        <v>249</v>
      </c>
      <c r="CZ17" t="s">
        <v>248</v>
      </c>
      <c r="DA17" t="s">
        <v>247</v>
      </c>
      <c r="DB17" t="s">
        <v>246</v>
      </c>
      <c r="DC17" s="18" t="s">
        <v>550</v>
      </c>
    </row>
    <row r="18" spans="1:107" ht="12.95" customHeight="1" x14ac:dyDescent="0.25">
      <c r="A18">
        <v>870580</v>
      </c>
      <c r="B18" t="s">
        <v>548</v>
      </c>
      <c r="C18">
        <v>71</v>
      </c>
      <c r="D18">
        <v>409.29599999999999</v>
      </c>
      <c r="E18" t="s">
        <v>272</v>
      </c>
      <c r="H18" t="s">
        <v>464</v>
      </c>
      <c r="I18" t="s">
        <v>270</v>
      </c>
      <c r="K18">
        <v>20311303</v>
      </c>
      <c r="L18">
        <v>203530246</v>
      </c>
      <c r="M18" s="237">
        <v>45272</v>
      </c>
      <c r="N18">
        <v>18</v>
      </c>
      <c r="O18">
        <v>2020</v>
      </c>
      <c r="P18" t="s">
        <v>293</v>
      </c>
      <c r="Q18">
        <v>16</v>
      </c>
      <c r="R18" t="s">
        <v>122</v>
      </c>
      <c r="S18" t="s">
        <v>268</v>
      </c>
      <c r="T18">
        <v>0</v>
      </c>
      <c r="U18">
        <v>1</v>
      </c>
      <c r="W18" t="s">
        <v>182</v>
      </c>
      <c r="X18" t="s">
        <v>278</v>
      </c>
      <c r="Y18" t="s">
        <v>481</v>
      </c>
      <c r="Z18" t="s">
        <v>183</v>
      </c>
      <c r="AB18" t="s">
        <v>183</v>
      </c>
      <c r="AC18" t="s">
        <v>263</v>
      </c>
      <c r="AD18" t="s">
        <v>547</v>
      </c>
      <c r="AF18" t="s">
        <v>546</v>
      </c>
      <c r="AG18" t="s">
        <v>260</v>
      </c>
      <c r="AH18" t="s">
        <v>259</v>
      </c>
      <c r="AI18" t="s">
        <v>287</v>
      </c>
      <c r="AJ18" t="s">
        <v>427</v>
      </c>
      <c r="AK18" t="s">
        <v>257</v>
      </c>
      <c r="AL18">
        <v>21</v>
      </c>
      <c r="AM18" t="s">
        <v>286</v>
      </c>
      <c r="AN18" t="s">
        <v>255</v>
      </c>
      <c r="AO18" t="s">
        <v>490</v>
      </c>
      <c r="AS18" t="s">
        <v>253</v>
      </c>
      <c r="AT18" t="s">
        <v>252</v>
      </c>
      <c r="AU18">
        <v>60</v>
      </c>
      <c r="AV18" t="s">
        <v>283</v>
      </c>
      <c r="AW18" t="s">
        <v>250</v>
      </c>
      <c r="CT18">
        <v>457190.7941</v>
      </c>
      <c r="CU18">
        <v>5366613.6557</v>
      </c>
      <c r="CV18">
        <v>48.45121365</v>
      </c>
      <c r="CW18">
        <v>-93.578960460000005</v>
      </c>
      <c r="CX18" s="89">
        <v>44183.693749999999</v>
      </c>
      <c r="CY18" t="s">
        <v>249</v>
      </c>
      <c r="CZ18" t="s">
        <v>248</v>
      </c>
      <c r="DA18" t="s">
        <v>247</v>
      </c>
      <c r="DB18" t="s">
        <v>246</v>
      </c>
      <c r="DC18" s="18" t="s">
        <v>549</v>
      </c>
    </row>
    <row r="19" spans="1:107" ht="12.95" customHeight="1" x14ac:dyDescent="0.25">
      <c r="A19">
        <v>779975</v>
      </c>
      <c r="B19" t="s">
        <v>273</v>
      </c>
      <c r="C19">
        <v>1</v>
      </c>
      <c r="D19">
        <v>146.512</v>
      </c>
      <c r="E19" t="s">
        <v>449</v>
      </c>
      <c r="G19" t="s">
        <v>537</v>
      </c>
      <c r="H19" t="s">
        <v>271</v>
      </c>
      <c r="I19" t="s">
        <v>447</v>
      </c>
      <c r="K19">
        <v>20320081</v>
      </c>
      <c r="L19">
        <v>200150284</v>
      </c>
      <c r="M19" s="237">
        <v>44927</v>
      </c>
      <c r="N19">
        <v>15</v>
      </c>
      <c r="O19">
        <v>2020</v>
      </c>
      <c r="P19" t="s">
        <v>269</v>
      </c>
      <c r="Q19">
        <v>14</v>
      </c>
      <c r="R19" t="s">
        <v>168</v>
      </c>
      <c r="S19" t="s">
        <v>268</v>
      </c>
      <c r="T19">
        <v>0</v>
      </c>
      <c r="U19">
        <v>2</v>
      </c>
      <c r="W19" t="s">
        <v>186</v>
      </c>
      <c r="X19" t="s">
        <v>169</v>
      </c>
      <c r="Y19" t="s">
        <v>165</v>
      </c>
      <c r="Z19" t="s">
        <v>171</v>
      </c>
      <c r="AB19" t="s">
        <v>264</v>
      </c>
      <c r="AC19" t="s">
        <v>263</v>
      </c>
      <c r="AD19" t="s">
        <v>543</v>
      </c>
      <c r="AF19" t="s">
        <v>542</v>
      </c>
      <c r="AG19" t="s">
        <v>181</v>
      </c>
      <c r="AH19" t="s">
        <v>259</v>
      </c>
      <c r="AI19" t="s">
        <v>287</v>
      </c>
      <c r="AJ19" t="s">
        <v>477</v>
      </c>
      <c r="AK19" t="s">
        <v>294</v>
      </c>
      <c r="AL19">
        <v>56</v>
      </c>
      <c r="AM19" t="s">
        <v>286</v>
      </c>
      <c r="AN19" t="s">
        <v>255</v>
      </c>
      <c r="AO19" t="s">
        <v>467</v>
      </c>
      <c r="AS19" t="s">
        <v>253</v>
      </c>
      <c r="AT19" t="s">
        <v>170</v>
      </c>
      <c r="AU19">
        <v>55</v>
      </c>
      <c r="AV19" t="s">
        <v>283</v>
      </c>
      <c r="AW19" t="s">
        <v>250</v>
      </c>
      <c r="AX19" t="s">
        <v>259</v>
      </c>
      <c r="AY19" t="s">
        <v>287</v>
      </c>
      <c r="AZ19" t="s">
        <v>477</v>
      </c>
      <c r="BA19" t="s">
        <v>500</v>
      </c>
      <c r="BB19">
        <v>59</v>
      </c>
      <c r="BC19" t="s">
        <v>286</v>
      </c>
      <c r="BD19" t="s">
        <v>255</v>
      </c>
      <c r="BE19" t="s">
        <v>291</v>
      </c>
      <c r="BI19" t="s">
        <v>181</v>
      </c>
      <c r="BJ19" t="s">
        <v>252</v>
      </c>
      <c r="BK19">
        <v>55</v>
      </c>
      <c r="BL19" t="s">
        <v>283</v>
      </c>
      <c r="BM19" t="s">
        <v>250</v>
      </c>
      <c r="CT19">
        <v>392461.36200000002</v>
      </c>
      <c r="CU19">
        <v>5303320.6226000004</v>
      </c>
      <c r="CV19">
        <v>47.874220049999998</v>
      </c>
      <c r="CW19">
        <v>-94.438154569999995</v>
      </c>
      <c r="CX19" s="89">
        <v>43845.620138888888</v>
      </c>
      <c r="CY19" t="s">
        <v>249</v>
      </c>
      <c r="CZ19" t="s">
        <v>248</v>
      </c>
      <c r="DA19" t="s">
        <v>483</v>
      </c>
      <c r="DB19" t="s">
        <v>246</v>
      </c>
      <c r="DC19" t="s">
        <v>545</v>
      </c>
    </row>
    <row r="20" spans="1:107" ht="12.95" customHeight="1" x14ac:dyDescent="0.25">
      <c r="A20">
        <v>1000453</v>
      </c>
      <c r="B20" t="s">
        <v>273</v>
      </c>
      <c r="C20">
        <v>1</v>
      </c>
      <c r="D20">
        <v>146.54400000000001</v>
      </c>
      <c r="E20" t="s">
        <v>449</v>
      </c>
      <c r="G20" t="s">
        <v>537</v>
      </c>
      <c r="H20" t="s">
        <v>271</v>
      </c>
      <c r="I20" t="s">
        <v>447</v>
      </c>
      <c r="K20">
        <v>22320119</v>
      </c>
      <c r="L20">
        <v>220210136</v>
      </c>
      <c r="M20" s="237">
        <v>44927</v>
      </c>
      <c r="N20">
        <v>21</v>
      </c>
      <c r="O20">
        <v>2022</v>
      </c>
      <c r="P20" t="s">
        <v>293</v>
      </c>
      <c r="Q20">
        <v>16</v>
      </c>
      <c r="R20" t="s">
        <v>168</v>
      </c>
      <c r="S20" t="s">
        <v>280</v>
      </c>
      <c r="T20">
        <v>0</v>
      </c>
      <c r="U20">
        <v>2</v>
      </c>
      <c r="V20" t="s">
        <v>432</v>
      </c>
      <c r="W20" t="s">
        <v>296</v>
      </c>
      <c r="X20" t="s">
        <v>169</v>
      </c>
      <c r="Y20" t="s">
        <v>481</v>
      </c>
      <c r="Z20" t="s">
        <v>265</v>
      </c>
      <c r="AA20" t="s">
        <v>295</v>
      </c>
      <c r="AB20" t="s">
        <v>264</v>
      </c>
      <c r="AC20" t="s">
        <v>263</v>
      </c>
      <c r="AD20" t="s">
        <v>543</v>
      </c>
      <c r="AE20">
        <v>72</v>
      </c>
      <c r="AF20" t="s">
        <v>542</v>
      </c>
      <c r="AG20" t="s">
        <v>178</v>
      </c>
      <c r="AH20" t="s">
        <v>259</v>
      </c>
      <c r="AI20" t="s">
        <v>167</v>
      </c>
      <c r="AJ20" t="s">
        <v>258</v>
      </c>
      <c r="AK20" t="s">
        <v>257</v>
      </c>
      <c r="AL20">
        <v>20</v>
      </c>
      <c r="AM20" t="s">
        <v>286</v>
      </c>
      <c r="AN20" t="s">
        <v>255</v>
      </c>
      <c r="AO20" t="s">
        <v>284</v>
      </c>
      <c r="AP20" t="s">
        <v>430</v>
      </c>
      <c r="AS20" t="s">
        <v>253</v>
      </c>
      <c r="AT20" t="s">
        <v>252</v>
      </c>
      <c r="AU20">
        <v>60</v>
      </c>
      <c r="AV20" t="s">
        <v>283</v>
      </c>
      <c r="AW20" t="s">
        <v>250</v>
      </c>
      <c r="AX20" t="s">
        <v>259</v>
      </c>
      <c r="AY20" t="s">
        <v>431</v>
      </c>
      <c r="AZ20" t="s">
        <v>258</v>
      </c>
      <c r="BA20" t="s">
        <v>294</v>
      </c>
      <c r="BB20">
        <v>62</v>
      </c>
      <c r="BC20" t="s">
        <v>286</v>
      </c>
      <c r="BD20" t="s">
        <v>255</v>
      </c>
      <c r="BE20" t="s">
        <v>291</v>
      </c>
      <c r="BI20" t="s">
        <v>253</v>
      </c>
      <c r="BJ20" t="s">
        <v>252</v>
      </c>
      <c r="BK20">
        <v>60</v>
      </c>
      <c r="BL20" t="s">
        <v>283</v>
      </c>
      <c r="BM20" t="s">
        <v>250</v>
      </c>
      <c r="CT20">
        <v>392511.73580000002</v>
      </c>
      <c r="CU20">
        <v>5303323.5003000004</v>
      </c>
      <c r="CV20">
        <v>47.874254370000003</v>
      </c>
      <c r="CW20">
        <v>-94.437481849999998</v>
      </c>
      <c r="CX20" s="89">
        <v>44582.679861111108</v>
      </c>
      <c r="CY20" t="s">
        <v>249</v>
      </c>
      <c r="CZ20" t="s">
        <v>248</v>
      </c>
      <c r="DA20" t="s">
        <v>483</v>
      </c>
      <c r="DB20" t="s">
        <v>246</v>
      </c>
      <c r="DC20" t="s">
        <v>544</v>
      </c>
    </row>
    <row r="21" spans="1:107" ht="12.95" customHeight="1" x14ac:dyDescent="0.25">
      <c r="A21">
        <v>892627</v>
      </c>
      <c r="B21" t="s">
        <v>273</v>
      </c>
      <c r="C21">
        <v>72</v>
      </c>
      <c r="D21">
        <v>14.922000000000001</v>
      </c>
      <c r="E21" t="s">
        <v>449</v>
      </c>
      <c r="G21" t="s">
        <v>537</v>
      </c>
      <c r="H21" t="s">
        <v>271</v>
      </c>
      <c r="I21" t="s">
        <v>447</v>
      </c>
      <c r="K21">
        <v>21320235</v>
      </c>
      <c r="L21">
        <v>210400457</v>
      </c>
      <c r="M21" s="237">
        <v>44959</v>
      </c>
      <c r="N21">
        <v>9</v>
      </c>
      <c r="O21">
        <v>2021</v>
      </c>
      <c r="P21" t="s">
        <v>463</v>
      </c>
      <c r="Q21">
        <v>17</v>
      </c>
      <c r="R21" t="s">
        <v>121</v>
      </c>
      <c r="S21" t="s">
        <v>184</v>
      </c>
      <c r="T21">
        <v>0</v>
      </c>
      <c r="U21">
        <v>1</v>
      </c>
      <c r="W21" t="s">
        <v>541</v>
      </c>
      <c r="X21" t="s">
        <v>169</v>
      </c>
      <c r="Y21" t="s">
        <v>481</v>
      </c>
      <c r="Z21" t="s">
        <v>295</v>
      </c>
      <c r="AB21" t="s">
        <v>166</v>
      </c>
      <c r="AC21" t="s">
        <v>263</v>
      </c>
      <c r="AD21" t="s">
        <v>484</v>
      </c>
      <c r="AF21" t="s">
        <v>480</v>
      </c>
      <c r="AG21" t="s">
        <v>260</v>
      </c>
      <c r="AH21" t="s">
        <v>259</v>
      </c>
      <c r="AI21" t="s">
        <v>431</v>
      </c>
      <c r="AJ21" t="s">
        <v>477</v>
      </c>
      <c r="AK21" t="s">
        <v>257</v>
      </c>
      <c r="AL21">
        <v>64</v>
      </c>
      <c r="AM21" t="s">
        <v>286</v>
      </c>
      <c r="AN21" t="s">
        <v>255</v>
      </c>
      <c r="AO21" t="s">
        <v>473</v>
      </c>
      <c r="AS21" t="s">
        <v>253</v>
      </c>
      <c r="AT21" t="s">
        <v>170</v>
      </c>
      <c r="AU21">
        <v>60</v>
      </c>
      <c r="AV21" t="s">
        <v>283</v>
      </c>
      <c r="AW21" t="s">
        <v>250</v>
      </c>
      <c r="CT21">
        <v>392399.72720000002</v>
      </c>
      <c r="CU21">
        <v>5303340.8684999999</v>
      </c>
      <c r="CV21">
        <v>47.87439183</v>
      </c>
      <c r="CW21">
        <v>-94.438983609999994</v>
      </c>
      <c r="CX21" s="89">
        <v>44236.740277777775</v>
      </c>
      <c r="CY21" t="s">
        <v>249</v>
      </c>
      <c r="CZ21" t="s">
        <v>248</v>
      </c>
      <c r="DA21" t="s">
        <v>483</v>
      </c>
      <c r="DB21" t="s">
        <v>246</v>
      </c>
      <c r="DC21" t="s">
        <v>540</v>
      </c>
    </row>
    <row r="22" spans="1:107" ht="12.95" customHeight="1" x14ac:dyDescent="0.25">
      <c r="A22">
        <v>984373</v>
      </c>
      <c r="B22" t="s">
        <v>273</v>
      </c>
      <c r="C22">
        <v>72</v>
      </c>
      <c r="D22">
        <v>16.222999999999999</v>
      </c>
      <c r="E22" t="s">
        <v>449</v>
      </c>
      <c r="G22" t="s">
        <v>537</v>
      </c>
      <c r="H22" t="s">
        <v>271</v>
      </c>
      <c r="I22" t="s">
        <v>447</v>
      </c>
      <c r="K22">
        <v>21322110</v>
      </c>
      <c r="L22">
        <v>213610358</v>
      </c>
      <c r="M22" s="237">
        <v>45272</v>
      </c>
      <c r="N22">
        <v>27</v>
      </c>
      <c r="O22">
        <v>2021</v>
      </c>
      <c r="P22" t="s">
        <v>424</v>
      </c>
      <c r="Q22">
        <v>11</v>
      </c>
      <c r="R22" t="s">
        <v>168</v>
      </c>
      <c r="S22" t="s">
        <v>268</v>
      </c>
      <c r="T22">
        <v>0</v>
      </c>
      <c r="U22">
        <v>2</v>
      </c>
      <c r="V22" t="s">
        <v>479</v>
      </c>
      <c r="W22" t="s">
        <v>296</v>
      </c>
      <c r="X22" t="s">
        <v>278</v>
      </c>
      <c r="Y22" t="s">
        <v>165</v>
      </c>
      <c r="Z22" t="s">
        <v>183</v>
      </c>
      <c r="AA22" t="s">
        <v>179</v>
      </c>
      <c r="AB22" t="s">
        <v>183</v>
      </c>
      <c r="AC22" t="s">
        <v>263</v>
      </c>
      <c r="AD22" t="s">
        <v>484</v>
      </c>
      <c r="AF22" t="s">
        <v>480</v>
      </c>
      <c r="AG22" t="s">
        <v>478</v>
      </c>
      <c r="AH22" t="s">
        <v>259</v>
      </c>
      <c r="AI22" t="s">
        <v>276</v>
      </c>
      <c r="AJ22" t="s">
        <v>427</v>
      </c>
      <c r="AK22" t="s">
        <v>257</v>
      </c>
      <c r="AL22">
        <v>49</v>
      </c>
      <c r="AM22" t="s">
        <v>286</v>
      </c>
      <c r="AN22" t="s">
        <v>255</v>
      </c>
      <c r="AO22" t="s">
        <v>254</v>
      </c>
      <c r="AS22" t="s">
        <v>253</v>
      </c>
      <c r="AT22" t="s">
        <v>252</v>
      </c>
      <c r="AU22">
        <v>55</v>
      </c>
      <c r="AV22" t="s">
        <v>283</v>
      </c>
      <c r="AW22" t="s">
        <v>250</v>
      </c>
      <c r="AX22" t="s">
        <v>259</v>
      </c>
      <c r="AY22" t="s">
        <v>287</v>
      </c>
      <c r="AZ22" t="s">
        <v>427</v>
      </c>
      <c r="BA22" t="s">
        <v>177</v>
      </c>
      <c r="BB22">
        <v>21</v>
      </c>
      <c r="BC22" t="s">
        <v>286</v>
      </c>
      <c r="BD22" t="s">
        <v>255</v>
      </c>
      <c r="BE22" t="s">
        <v>291</v>
      </c>
      <c r="BI22" t="s">
        <v>253</v>
      </c>
      <c r="BJ22" t="s">
        <v>252</v>
      </c>
      <c r="BK22">
        <v>55</v>
      </c>
      <c r="BL22" t="s">
        <v>283</v>
      </c>
      <c r="BM22" t="s">
        <v>250</v>
      </c>
      <c r="CT22">
        <v>392323.25439999998</v>
      </c>
      <c r="CU22">
        <v>5305432.4483000003</v>
      </c>
      <c r="CV22">
        <v>47.893191780000002</v>
      </c>
      <c r="CW22">
        <v>-94.440527579999994</v>
      </c>
      <c r="CX22" s="89">
        <v>44557.458333333336</v>
      </c>
      <c r="CY22" t="s">
        <v>249</v>
      </c>
      <c r="CZ22" t="s">
        <v>248</v>
      </c>
      <c r="DA22" t="s">
        <v>483</v>
      </c>
      <c r="DB22" t="s">
        <v>246</v>
      </c>
      <c r="DC22" t="s">
        <v>539</v>
      </c>
    </row>
    <row r="23" spans="1:107" ht="12.95" customHeight="1" x14ac:dyDescent="0.25">
      <c r="A23">
        <v>974721</v>
      </c>
      <c r="B23" t="s">
        <v>273</v>
      </c>
      <c r="C23">
        <v>72</v>
      </c>
      <c r="D23">
        <v>17.864999999999998</v>
      </c>
      <c r="E23" t="s">
        <v>449</v>
      </c>
      <c r="G23" t="s">
        <v>537</v>
      </c>
      <c r="H23" t="s">
        <v>271</v>
      </c>
      <c r="I23" t="s">
        <v>447</v>
      </c>
      <c r="K23">
        <v>21020612</v>
      </c>
      <c r="L23">
        <v>213230161</v>
      </c>
      <c r="M23" s="237">
        <v>45241</v>
      </c>
      <c r="N23">
        <v>19</v>
      </c>
      <c r="O23">
        <v>2021</v>
      </c>
      <c r="P23" t="s">
        <v>293</v>
      </c>
      <c r="Q23">
        <v>17</v>
      </c>
      <c r="R23" t="s">
        <v>168</v>
      </c>
      <c r="S23" t="s">
        <v>268</v>
      </c>
      <c r="T23">
        <v>0</v>
      </c>
      <c r="U23">
        <v>1</v>
      </c>
      <c r="W23" t="s">
        <v>175</v>
      </c>
      <c r="X23" t="s">
        <v>278</v>
      </c>
      <c r="Y23" t="s">
        <v>277</v>
      </c>
      <c r="Z23" t="s">
        <v>171</v>
      </c>
      <c r="AB23" t="s">
        <v>166</v>
      </c>
      <c r="AC23" t="s">
        <v>263</v>
      </c>
      <c r="AD23" t="s">
        <v>484</v>
      </c>
      <c r="AF23" t="s">
        <v>480</v>
      </c>
      <c r="AG23" t="s">
        <v>292</v>
      </c>
      <c r="AH23" t="s">
        <v>259</v>
      </c>
      <c r="AI23" t="s">
        <v>167</v>
      </c>
      <c r="AJ23" t="s">
        <v>477</v>
      </c>
      <c r="AK23" t="s">
        <v>257</v>
      </c>
      <c r="AL23">
        <v>53</v>
      </c>
      <c r="AM23" t="s">
        <v>286</v>
      </c>
      <c r="AN23" t="s">
        <v>255</v>
      </c>
      <c r="AO23" t="s">
        <v>291</v>
      </c>
      <c r="AS23" t="s">
        <v>253</v>
      </c>
      <c r="AT23" t="s">
        <v>252</v>
      </c>
      <c r="AU23">
        <v>55</v>
      </c>
      <c r="AV23" t="s">
        <v>283</v>
      </c>
      <c r="AW23" t="s">
        <v>250</v>
      </c>
      <c r="CT23">
        <v>392189.95539999998</v>
      </c>
      <c r="CU23">
        <v>5308071.9315999998</v>
      </c>
      <c r="CV23">
        <v>47.916910180000002</v>
      </c>
      <c r="CW23">
        <v>-94.442970110000005</v>
      </c>
      <c r="CX23" s="89">
        <v>44519.738888888889</v>
      </c>
      <c r="CY23" t="s">
        <v>249</v>
      </c>
      <c r="CZ23" t="s">
        <v>248</v>
      </c>
      <c r="DA23" t="s">
        <v>451</v>
      </c>
      <c r="DB23" t="s">
        <v>415</v>
      </c>
      <c r="DC23" t="s">
        <v>538</v>
      </c>
    </row>
    <row r="24" spans="1:107" ht="12.95" customHeight="1" x14ac:dyDescent="0.25">
      <c r="A24">
        <v>985696</v>
      </c>
      <c r="B24" t="s">
        <v>273</v>
      </c>
      <c r="C24">
        <v>72</v>
      </c>
      <c r="D24">
        <v>19.533999999999999</v>
      </c>
      <c r="E24" t="s">
        <v>449</v>
      </c>
      <c r="F24" t="s">
        <v>448</v>
      </c>
      <c r="H24" t="s">
        <v>271</v>
      </c>
      <c r="I24" t="s">
        <v>447</v>
      </c>
      <c r="K24">
        <v>21000602</v>
      </c>
      <c r="L24">
        <v>213620588</v>
      </c>
      <c r="M24" s="237">
        <v>45272</v>
      </c>
      <c r="N24">
        <v>28</v>
      </c>
      <c r="O24">
        <v>2021</v>
      </c>
      <c r="P24" t="s">
        <v>463</v>
      </c>
      <c r="Q24">
        <v>12</v>
      </c>
      <c r="R24" t="s">
        <v>168</v>
      </c>
      <c r="S24" t="s">
        <v>268</v>
      </c>
      <c r="T24">
        <v>0</v>
      </c>
      <c r="U24">
        <v>2</v>
      </c>
      <c r="V24" t="s">
        <v>432</v>
      </c>
      <c r="W24" t="s">
        <v>296</v>
      </c>
      <c r="X24" t="s">
        <v>278</v>
      </c>
      <c r="Y24" t="s">
        <v>165</v>
      </c>
      <c r="Z24" t="s">
        <v>295</v>
      </c>
      <c r="AA24" t="s">
        <v>183</v>
      </c>
      <c r="AB24" t="s">
        <v>183</v>
      </c>
      <c r="AC24" t="s">
        <v>263</v>
      </c>
      <c r="AD24" t="s">
        <v>536</v>
      </c>
      <c r="AE24" t="s">
        <v>535</v>
      </c>
      <c r="AF24" t="s">
        <v>480</v>
      </c>
      <c r="AG24" t="s">
        <v>178</v>
      </c>
      <c r="AH24" t="s">
        <v>259</v>
      </c>
      <c r="AI24" t="s">
        <v>167</v>
      </c>
      <c r="AJ24" t="s">
        <v>427</v>
      </c>
      <c r="AK24" t="s">
        <v>257</v>
      </c>
      <c r="AL24">
        <v>43</v>
      </c>
      <c r="AM24" t="s">
        <v>286</v>
      </c>
      <c r="AN24" t="s">
        <v>255</v>
      </c>
      <c r="AO24" t="s">
        <v>430</v>
      </c>
      <c r="AS24" t="s">
        <v>253</v>
      </c>
      <c r="AT24" t="s">
        <v>252</v>
      </c>
      <c r="AU24">
        <v>30</v>
      </c>
      <c r="AV24" t="s">
        <v>283</v>
      </c>
      <c r="AW24" t="s">
        <v>250</v>
      </c>
      <c r="AX24" t="s">
        <v>259</v>
      </c>
      <c r="AY24" t="s">
        <v>431</v>
      </c>
      <c r="AZ24" t="s">
        <v>427</v>
      </c>
      <c r="BA24" t="s">
        <v>257</v>
      </c>
      <c r="BB24">
        <v>51</v>
      </c>
      <c r="BC24" t="s">
        <v>286</v>
      </c>
      <c r="BD24" t="s">
        <v>255</v>
      </c>
      <c r="BE24" t="s">
        <v>291</v>
      </c>
      <c r="BI24" t="s">
        <v>253</v>
      </c>
      <c r="BJ24" t="s">
        <v>252</v>
      </c>
      <c r="BK24">
        <v>30</v>
      </c>
      <c r="BL24" t="s">
        <v>283</v>
      </c>
      <c r="BM24" t="s">
        <v>250</v>
      </c>
      <c r="CT24">
        <v>391825.09629999998</v>
      </c>
      <c r="CU24">
        <v>5310704.7143000001</v>
      </c>
      <c r="CV24">
        <v>47.940529089999998</v>
      </c>
      <c r="CW24">
        <v>-94.4485131</v>
      </c>
      <c r="CX24" s="89">
        <v>44558.510416666664</v>
      </c>
      <c r="CY24" t="s">
        <v>249</v>
      </c>
      <c r="CZ24" t="s">
        <v>248</v>
      </c>
      <c r="DA24" t="s">
        <v>534</v>
      </c>
      <c r="DB24" t="s">
        <v>533</v>
      </c>
      <c r="DC24" t="s">
        <v>532</v>
      </c>
    </row>
    <row r="25" spans="1:107" ht="12.95" customHeight="1" x14ac:dyDescent="0.25">
      <c r="A25">
        <v>975872</v>
      </c>
      <c r="B25" t="s">
        <v>273</v>
      </c>
      <c r="C25">
        <v>72</v>
      </c>
      <c r="D25">
        <v>20.495999999999999</v>
      </c>
      <c r="E25" t="s">
        <v>449</v>
      </c>
      <c r="F25" t="s">
        <v>448</v>
      </c>
      <c r="H25" t="s">
        <v>271</v>
      </c>
      <c r="I25" t="s">
        <v>447</v>
      </c>
      <c r="K25">
        <v>21321914</v>
      </c>
      <c r="L25">
        <v>213300037</v>
      </c>
      <c r="M25" s="237">
        <v>45241</v>
      </c>
      <c r="N25">
        <v>26</v>
      </c>
      <c r="O25">
        <v>2021</v>
      </c>
      <c r="P25" t="s">
        <v>293</v>
      </c>
      <c r="Q25">
        <v>11</v>
      </c>
      <c r="R25" t="s">
        <v>168</v>
      </c>
      <c r="S25" t="s">
        <v>268</v>
      </c>
      <c r="T25">
        <v>0</v>
      </c>
      <c r="U25">
        <v>2</v>
      </c>
      <c r="V25" t="s">
        <v>432</v>
      </c>
      <c r="W25" t="s">
        <v>296</v>
      </c>
      <c r="X25" t="s">
        <v>278</v>
      </c>
      <c r="Y25" t="s">
        <v>165</v>
      </c>
      <c r="Z25" t="s">
        <v>171</v>
      </c>
      <c r="AB25" t="s">
        <v>166</v>
      </c>
      <c r="AC25" t="s">
        <v>263</v>
      </c>
      <c r="AD25" t="s">
        <v>484</v>
      </c>
      <c r="AF25" t="s">
        <v>480</v>
      </c>
      <c r="AG25" t="s">
        <v>178</v>
      </c>
      <c r="AH25" t="s">
        <v>259</v>
      </c>
      <c r="AI25" t="s">
        <v>167</v>
      </c>
      <c r="AJ25" t="s">
        <v>427</v>
      </c>
      <c r="AK25" t="s">
        <v>257</v>
      </c>
      <c r="AL25">
        <v>18</v>
      </c>
      <c r="AM25" t="s">
        <v>286</v>
      </c>
      <c r="AN25" t="s">
        <v>255</v>
      </c>
      <c r="AO25" t="s">
        <v>490</v>
      </c>
      <c r="AP25" t="s">
        <v>284</v>
      </c>
      <c r="AS25" t="s">
        <v>253</v>
      </c>
      <c r="AT25" t="s">
        <v>252</v>
      </c>
      <c r="AU25">
        <v>55</v>
      </c>
      <c r="AV25" t="s">
        <v>283</v>
      </c>
      <c r="AW25" t="s">
        <v>250</v>
      </c>
      <c r="AX25" t="s">
        <v>259</v>
      </c>
      <c r="AY25" t="s">
        <v>287</v>
      </c>
      <c r="AZ25" t="s">
        <v>427</v>
      </c>
      <c r="BA25" t="s">
        <v>257</v>
      </c>
      <c r="BB25">
        <v>21</v>
      </c>
      <c r="BC25" t="s">
        <v>286</v>
      </c>
      <c r="BD25" t="s">
        <v>255</v>
      </c>
      <c r="BE25" t="s">
        <v>291</v>
      </c>
      <c r="BI25" t="s">
        <v>253</v>
      </c>
      <c r="BJ25" t="s">
        <v>252</v>
      </c>
      <c r="BK25">
        <v>55</v>
      </c>
      <c r="BL25" t="s">
        <v>283</v>
      </c>
      <c r="BM25" t="s">
        <v>250</v>
      </c>
      <c r="CT25">
        <v>391748.3812</v>
      </c>
      <c r="CU25">
        <v>5312247.8148999996</v>
      </c>
      <c r="CV25">
        <v>47.95439537</v>
      </c>
      <c r="CW25">
        <v>-94.449928229999998</v>
      </c>
      <c r="CX25" s="89">
        <v>44526.489583333336</v>
      </c>
      <c r="CY25" t="s">
        <v>249</v>
      </c>
      <c r="CZ25" t="s">
        <v>248</v>
      </c>
      <c r="DA25" t="s">
        <v>483</v>
      </c>
      <c r="DB25" t="s">
        <v>246</v>
      </c>
      <c r="DC25" t="s">
        <v>531</v>
      </c>
    </row>
    <row r="26" spans="1:107" ht="12.95" customHeight="1" x14ac:dyDescent="0.25">
      <c r="A26">
        <v>822703</v>
      </c>
      <c r="B26" t="s">
        <v>273</v>
      </c>
      <c r="C26">
        <v>72</v>
      </c>
      <c r="D26">
        <v>24.994</v>
      </c>
      <c r="E26" t="s">
        <v>449</v>
      </c>
      <c r="G26" t="s">
        <v>448</v>
      </c>
      <c r="H26" t="s">
        <v>271</v>
      </c>
      <c r="I26" t="s">
        <v>447</v>
      </c>
      <c r="K26">
        <v>20013867</v>
      </c>
      <c r="L26">
        <v>202130010</v>
      </c>
      <c r="M26" s="237">
        <v>45114</v>
      </c>
      <c r="N26">
        <v>31</v>
      </c>
      <c r="O26">
        <v>2020</v>
      </c>
      <c r="P26" t="s">
        <v>293</v>
      </c>
      <c r="Q26">
        <v>3</v>
      </c>
      <c r="R26" t="s">
        <v>122</v>
      </c>
      <c r="S26" t="s">
        <v>268</v>
      </c>
      <c r="T26">
        <v>0</v>
      </c>
      <c r="U26">
        <v>1</v>
      </c>
      <c r="W26" t="s">
        <v>506</v>
      </c>
      <c r="X26" t="s">
        <v>278</v>
      </c>
      <c r="Y26" t="s">
        <v>277</v>
      </c>
      <c r="Z26" t="s">
        <v>171</v>
      </c>
      <c r="AB26" t="s">
        <v>166</v>
      </c>
      <c r="AC26" t="s">
        <v>263</v>
      </c>
      <c r="AD26" t="s">
        <v>484</v>
      </c>
      <c r="AF26" t="s">
        <v>480</v>
      </c>
      <c r="AG26" t="s">
        <v>260</v>
      </c>
      <c r="AH26" t="s">
        <v>259</v>
      </c>
      <c r="AI26" t="s">
        <v>167</v>
      </c>
      <c r="AJ26" t="s">
        <v>427</v>
      </c>
      <c r="AK26" t="s">
        <v>257</v>
      </c>
      <c r="AL26">
        <v>18</v>
      </c>
      <c r="AM26" t="s">
        <v>286</v>
      </c>
      <c r="AN26" t="s">
        <v>255</v>
      </c>
      <c r="AO26" t="s">
        <v>254</v>
      </c>
      <c r="AS26" t="s">
        <v>253</v>
      </c>
      <c r="AT26" t="s">
        <v>168</v>
      </c>
      <c r="AU26">
        <v>55</v>
      </c>
      <c r="AV26" t="s">
        <v>283</v>
      </c>
      <c r="AW26" t="s">
        <v>250</v>
      </c>
      <c r="CT26">
        <v>391856.41720000003</v>
      </c>
      <c r="CU26">
        <v>5319485.2175000003</v>
      </c>
      <c r="CV26">
        <v>48.019509190000001</v>
      </c>
      <c r="CW26">
        <v>-94.45030457</v>
      </c>
      <c r="CX26" s="89">
        <v>44043.164583333331</v>
      </c>
      <c r="CY26" t="s">
        <v>249</v>
      </c>
      <c r="CZ26" t="s">
        <v>248</v>
      </c>
      <c r="DA26" t="s">
        <v>451</v>
      </c>
      <c r="DB26" t="s">
        <v>415</v>
      </c>
      <c r="DC26" t="s">
        <v>530</v>
      </c>
    </row>
    <row r="27" spans="1:107" ht="12.95" customHeight="1" x14ac:dyDescent="0.25">
      <c r="A27">
        <v>534252</v>
      </c>
      <c r="B27" t="s">
        <v>273</v>
      </c>
      <c r="C27">
        <v>72</v>
      </c>
      <c r="D27">
        <v>29.317</v>
      </c>
      <c r="E27" t="s">
        <v>449</v>
      </c>
      <c r="H27" t="s">
        <v>271</v>
      </c>
      <c r="I27" t="s">
        <v>447</v>
      </c>
      <c r="K27">
        <v>18320037</v>
      </c>
      <c r="L27">
        <v>180080264</v>
      </c>
      <c r="M27" s="237">
        <v>44927</v>
      </c>
      <c r="N27">
        <v>8</v>
      </c>
      <c r="O27">
        <v>2018</v>
      </c>
      <c r="P27" t="s">
        <v>424</v>
      </c>
      <c r="Q27">
        <v>11</v>
      </c>
      <c r="R27" t="s">
        <v>168</v>
      </c>
      <c r="S27" t="s">
        <v>268</v>
      </c>
      <c r="T27">
        <v>0</v>
      </c>
      <c r="U27">
        <v>2</v>
      </c>
      <c r="W27" t="s">
        <v>529</v>
      </c>
      <c r="X27" t="s">
        <v>278</v>
      </c>
      <c r="Y27" t="s">
        <v>165</v>
      </c>
      <c r="Z27" t="s">
        <v>171</v>
      </c>
      <c r="AB27" t="s">
        <v>187</v>
      </c>
      <c r="AC27" t="s">
        <v>263</v>
      </c>
      <c r="AD27" t="s">
        <v>484</v>
      </c>
      <c r="AF27" t="s">
        <v>480</v>
      </c>
      <c r="AG27" t="s">
        <v>181</v>
      </c>
      <c r="AH27" t="s">
        <v>259</v>
      </c>
      <c r="AI27" t="s">
        <v>431</v>
      </c>
      <c r="AJ27" t="s">
        <v>427</v>
      </c>
      <c r="AK27" t="s">
        <v>257</v>
      </c>
      <c r="AL27">
        <v>43</v>
      </c>
      <c r="AM27" t="s">
        <v>286</v>
      </c>
      <c r="AN27" t="s">
        <v>255</v>
      </c>
      <c r="AO27" t="s">
        <v>291</v>
      </c>
      <c r="AS27" t="s">
        <v>253</v>
      </c>
      <c r="AT27" t="s">
        <v>252</v>
      </c>
      <c r="AU27">
        <v>55</v>
      </c>
      <c r="AV27" t="s">
        <v>283</v>
      </c>
      <c r="AW27" t="s">
        <v>250</v>
      </c>
      <c r="AX27" t="s">
        <v>259</v>
      </c>
      <c r="AY27" t="s">
        <v>276</v>
      </c>
      <c r="AZ27" t="s">
        <v>477</v>
      </c>
      <c r="BA27" t="s">
        <v>257</v>
      </c>
      <c r="BB27">
        <v>40</v>
      </c>
      <c r="BC27" t="s">
        <v>286</v>
      </c>
      <c r="BD27" t="s">
        <v>255</v>
      </c>
      <c r="BE27" t="s">
        <v>291</v>
      </c>
      <c r="BI27" t="s">
        <v>253</v>
      </c>
      <c r="BJ27" t="s">
        <v>252</v>
      </c>
      <c r="BK27">
        <v>55</v>
      </c>
      <c r="BL27" t="s">
        <v>283</v>
      </c>
      <c r="BM27" t="s">
        <v>250</v>
      </c>
      <c r="CT27">
        <v>388718.5969</v>
      </c>
      <c r="CU27">
        <v>5325487.4276999999</v>
      </c>
      <c r="CV27">
        <v>48.072954549999999</v>
      </c>
      <c r="CW27">
        <v>-94.493931450000005</v>
      </c>
      <c r="CX27" s="89">
        <v>43108.460416666669</v>
      </c>
      <c r="CY27" t="s">
        <v>249</v>
      </c>
      <c r="CZ27" t="s">
        <v>248</v>
      </c>
      <c r="DA27" t="s">
        <v>483</v>
      </c>
      <c r="DB27" t="s">
        <v>246</v>
      </c>
      <c r="DC27" t="s">
        <v>528</v>
      </c>
    </row>
    <row r="28" spans="1:107" ht="12.95" customHeight="1" x14ac:dyDescent="0.25">
      <c r="A28">
        <v>696925</v>
      </c>
      <c r="B28" t="s">
        <v>273</v>
      </c>
      <c r="C28">
        <v>72</v>
      </c>
      <c r="D28">
        <v>31.69</v>
      </c>
      <c r="E28" t="s">
        <v>449</v>
      </c>
      <c r="H28" t="s">
        <v>271</v>
      </c>
      <c r="I28" t="s">
        <v>447</v>
      </c>
      <c r="K28">
        <v>19320403</v>
      </c>
      <c r="L28">
        <v>190700078</v>
      </c>
      <c r="M28" s="237">
        <v>44988</v>
      </c>
      <c r="N28">
        <v>11</v>
      </c>
      <c r="O28">
        <v>2019</v>
      </c>
      <c r="P28" t="s">
        <v>424</v>
      </c>
      <c r="Q28">
        <v>12</v>
      </c>
      <c r="R28" t="s">
        <v>122</v>
      </c>
      <c r="S28" t="s">
        <v>268</v>
      </c>
      <c r="T28">
        <v>0</v>
      </c>
      <c r="U28">
        <v>1</v>
      </c>
      <c r="W28" t="s">
        <v>279</v>
      </c>
      <c r="X28" t="s">
        <v>278</v>
      </c>
      <c r="Y28" t="s">
        <v>165</v>
      </c>
      <c r="Z28" t="s">
        <v>171</v>
      </c>
      <c r="AB28" t="s">
        <v>496</v>
      </c>
      <c r="AC28" t="s">
        <v>263</v>
      </c>
      <c r="AD28" t="s">
        <v>484</v>
      </c>
      <c r="AF28" t="s">
        <v>480</v>
      </c>
      <c r="AG28" t="s">
        <v>260</v>
      </c>
      <c r="AH28" t="s">
        <v>259</v>
      </c>
      <c r="AI28" t="s">
        <v>287</v>
      </c>
      <c r="AJ28" t="s">
        <v>427</v>
      </c>
      <c r="AK28" t="s">
        <v>257</v>
      </c>
      <c r="AL28">
        <v>62</v>
      </c>
      <c r="AM28" t="s">
        <v>286</v>
      </c>
      <c r="AN28" t="s">
        <v>255</v>
      </c>
      <c r="AO28" t="s">
        <v>291</v>
      </c>
      <c r="AS28" t="s">
        <v>253</v>
      </c>
      <c r="AT28" t="s">
        <v>252</v>
      </c>
      <c r="AU28">
        <v>55</v>
      </c>
      <c r="AV28" t="s">
        <v>283</v>
      </c>
      <c r="AW28" t="s">
        <v>250</v>
      </c>
      <c r="CT28">
        <v>387581.6263</v>
      </c>
      <c r="CU28">
        <v>5329087.7666999996</v>
      </c>
      <c r="CV28">
        <v>48.105136280000004</v>
      </c>
      <c r="CW28">
        <v>-94.510137420000007</v>
      </c>
      <c r="CX28" s="89">
        <v>43535.515277777777</v>
      </c>
      <c r="CY28" t="s">
        <v>249</v>
      </c>
      <c r="CZ28" t="s">
        <v>248</v>
      </c>
      <c r="DA28" t="s">
        <v>483</v>
      </c>
      <c r="DB28" t="s">
        <v>246</v>
      </c>
      <c r="DC28" t="s">
        <v>527</v>
      </c>
    </row>
    <row r="29" spans="1:107" ht="12.95" customHeight="1" x14ac:dyDescent="0.25">
      <c r="A29">
        <v>909336</v>
      </c>
      <c r="B29" t="s">
        <v>273</v>
      </c>
      <c r="C29">
        <v>72</v>
      </c>
      <c r="D29">
        <v>31.843</v>
      </c>
      <c r="E29" t="s">
        <v>449</v>
      </c>
      <c r="G29" t="s">
        <v>457</v>
      </c>
      <c r="H29" t="s">
        <v>271</v>
      </c>
      <c r="I29" t="s">
        <v>447</v>
      </c>
      <c r="K29">
        <v>21320726</v>
      </c>
      <c r="L29">
        <v>211510144</v>
      </c>
      <c r="M29" s="237">
        <v>45051</v>
      </c>
      <c r="N29">
        <v>31</v>
      </c>
      <c r="O29">
        <v>2021</v>
      </c>
      <c r="P29" t="s">
        <v>424</v>
      </c>
      <c r="Q29">
        <v>6</v>
      </c>
      <c r="R29" t="s">
        <v>121</v>
      </c>
      <c r="S29" t="s">
        <v>185</v>
      </c>
      <c r="T29">
        <v>1</v>
      </c>
      <c r="U29">
        <v>2</v>
      </c>
      <c r="V29" t="s">
        <v>432</v>
      </c>
      <c r="W29" t="s">
        <v>296</v>
      </c>
      <c r="X29" t="s">
        <v>278</v>
      </c>
      <c r="Y29" t="s">
        <v>165</v>
      </c>
      <c r="Z29" t="s">
        <v>171</v>
      </c>
      <c r="AB29" t="s">
        <v>166</v>
      </c>
      <c r="AC29" t="s">
        <v>263</v>
      </c>
      <c r="AD29" t="s">
        <v>484</v>
      </c>
      <c r="AF29" t="s">
        <v>480</v>
      </c>
      <c r="AG29" t="s">
        <v>178</v>
      </c>
      <c r="AH29" t="s">
        <v>259</v>
      </c>
      <c r="AI29" t="s">
        <v>276</v>
      </c>
      <c r="AJ29" t="s">
        <v>477</v>
      </c>
      <c r="AK29" t="s">
        <v>257</v>
      </c>
      <c r="AL29">
        <v>58</v>
      </c>
      <c r="AM29" t="s">
        <v>286</v>
      </c>
      <c r="AN29" t="s">
        <v>255</v>
      </c>
      <c r="AO29" t="s">
        <v>291</v>
      </c>
      <c r="AS29" t="s">
        <v>253</v>
      </c>
      <c r="AT29" t="s">
        <v>252</v>
      </c>
      <c r="AU29">
        <v>60</v>
      </c>
      <c r="AV29" t="s">
        <v>283</v>
      </c>
      <c r="AW29" t="s">
        <v>250</v>
      </c>
      <c r="AX29" t="s">
        <v>509</v>
      </c>
      <c r="AY29" t="s">
        <v>167</v>
      </c>
      <c r="AZ29" t="s">
        <v>477</v>
      </c>
      <c r="BA29" t="s">
        <v>257</v>
      </c>
      <c r="BB29">
        <v>44</v>
      </c>
      <c r="BC29" t="s">
        <v>286</v>
      </c>
      <c r="BD29" t="s">
        <v>164</v>
      </c>
      <c r="BE29" t="s">
        <v>164</v>
      </c>
      <c r="BI29" t="s">
        <v>253</v>
      </c>
      <c r="BJ29" t="s">
        <v>252</v>
      </c>
      <c r="BK29">
        <v>60</v>
      </c>
      <c r="BL29" t="s">
        <v>283</v>
      </c>
      <c r="BM29" t="s">
        <v>250</v>
      </c>
      <c r="CT29">
        <v>387585.40840000001</v>
      </c>
      <c r="CU29">
        <v>5329333.6352000004</v>
      </c>
      <c r="CV29">
        <v>48.107348260000002</v>
      </c>
      <c r="CW29">
        <v>-94.510151429999993</v>
      </c>
      <c r="CX29" s="89">
        <v>44347.284722222219</v>
      </c>
      <c r="CY29" t="s">
        <v>249</v>
      </c>
      <c r="CZ29" t="s">
        <v>248</v>
      </c>
      <c r="DA29" t="s">
        <v>483</v>
      </c>
      <c r="DB29" t="s">
        <v>246</v>
      </c>
      <c r="DC29" s="18" t="s">
        <v>526</v>
      </c>
    </row>
    <row r="30" spans="1:107" ht="12.95" customHeight="1" x14ac:dyDescent="0.25">
      <c r="A30">
        <v>778003</v>
      </c>
      <c r="B30" t="s">
        <v>273</v>
      </c>
      <c r="C30">
        <v>72</v>
      </c>
      <c r="D30">
        <v>31.994</v>
      </c>
      <c r="E30" t="s">
        <v>449</v>
      </c>
      <c r="G30" t="s">
        <v>457</v>
      </c>
      <c r="H30" t="s">
        <v>271</v>
      </c>
      <c r="I30" t="s">
        <v>447</v>
      </c>
      <c r="K30">
        <v>19021867</v>
      </c>
      <c r="L30">
        <v>193570286</v>
      </c>
      <c r="M30" s="237">
        <v>45272</v>
      </c>
      <c r="N30">
        <v>23</v>
      </c>
      <c r="O30">
        <v>2019</v>
      </c>
      <c r="P30" t="s">
        <v>424</v>
      </c>
      <c r="Q30">
        <v>0</v>
      </c>
      <c r="R30" t="s">
        <v>121</v>
      </c>
      <c r="S30" t="s">
        <v>268</v>
      </c>
      <c r="T30">
        <v>0</v>
      </c>
      <c r="U30">
        <v>1</v>
      </c>
      <c r="W30" t="s">
        <v>279</v>
      </c>
      <c r="X30" t="s">
        <v>278</v>
      </c>
      <c r="Y30" t="s">
        <v>277</v>
      </c>
      <c r="Z30" t="s">
        <v>171</v>
      </c>
      <c r="AA30" t="s">
        <v>183</v>
      </c>
      <c r="AB30" t="s">
        <v>264</v>
      </c>
      <c r="AC30" t="s">
        <v>263</v>
      </c>
      <c r="AD30" t="s">
        <v>484</v>
      </c>
      <c r="AF30" t="s">
        <v>480</v>
      </c>
      <c r="AG30" t="s">
        <v>260</v>
      </c>
      <c r="AH30" t="s">
        <v>259</v>
      </c>
      <c r="AI30" t="s">
        <v>287</v>
      </c>
      <c r="AJ30" t="s">
        <v>477</v>
      </c>
      <c r="AK30" t="s">
        <v>257</v>
      </c>
      <c r="AL30">
        <v>26</v>
      </c>
      <c r="AM30" t="s">
        <v>286</v>
      </c>
      <c r="AN30" t="s">
        <v>419</v>
      </c>
      <c r="AO30" t="s">
        <v>418</v>
      </c>
      <c r="AS30" t="s">
        <v>253</v>
      </c>
      <c r="AT30" t="s">
        <v>252</v>
      </c>
      <c r="AU30">
        <v>55</v>
      </c>
      <c r="AV30" t="s">
        <v>283</v>
      </c>
      <c r="AW30" t="s">
        <v>250</v>
      </c>
      <c r="CT30">
        <v>387589.13770000002</v>
      </c>
      <c r="CU30">
        <v>5329576.1492999997</v>
      </c>
      <c r="CV30">
        <v>48.109530069999998</v>
      </c>
      <c r="CW30">
        <v>-94.510165259999994</v>
      </c>
      <c r="CX30" s="89">
        <v>43822.006944444445</v>
      </c>
      <c r="CY30" t="s">
        <v>249</v>
      </c>
      <c r="CZ30" t="s">
        <v>248</v>
      </c>
      <c r="DA30" t="s">
        <v>451</v>
      </c>
      <c r="DB30" t="s">
        <v>415</v>
      </c>
      <c r="DC30" t="s">
        <v>525</v>
      </c>
    </row>
    <row r="31" spans="1:107" ht="12.95" customHeight="1" x14ac:dyDescent="0.25">
      <c r="A31">
        <v>1008850</v>
      </c>
      <c r="B31" t="s">
        <v>273</v>
      </c>
      <c r="C31">
        <v>72</v>
      </c>
      <c r="D31">
        <v>33.648000000000003</v>
      </c>
      <c r="E31" t="s">
        <v>449</v>
      </c>
      <c r="G31" t="s">
        <v>457</v>
      </c>
      <c r="H31" t="s">
        <v>271</v>
      </c>
      <c r="I31" t="s">
        <v>447</v>
      </c>
      <c r="K31">
        <v>22320031</v>
      </c>
      <c r="L31">
        <v>220050713</v>
      </c>
      <c r="M31" s="237">
        <v>44927</v>
      </c>
      <c r="N31">
        <v>5</v>
      </c>
      <c r="O31">
        <v>2022</v>
      </c>
      <c r="P31" t="s">
        <v>269</v>
      </c>
      <c r="Q31">
        <v>13</v>
      </c>
      <c r="S31" t="s">
        <v>288</v>
      </c>
      <c r="T31">
        <v>0</v>
      </c>
      <c r="U31">
        <v>2</v>
      </c>
      <c r="V31" t="s">
        <v>524</v>
      </c>
      <c r="W31" t="s">
        <v>296</v>
      </c>
      <c r="X31" t="s">
        <v>278</v>
      </c>
      <c r="Y31" t="s">
        <v>165</v>
      </c>
      <c r="Z31" t="s">
        <v>179</v>
      </c>
      <c r="AB31" t="s">
        <v>166</v>
      </c>
      <c r="AC31" t="s">
        <v>263</v>
      </c>
      <c r="AD31" t="s">
        <v>484</v>
      </c>
      <c r="AF31" t="s">
        <v>480</v>
      </c>
      <c r="AG31" t="s">
        <v>173</v>
      </c>
      <c r="AH31" t="s">
        <v>259</v>
      </c>
      <c r="AI31" t="s">
        <v>287</v>
      </c>
      <c r="AJ31" t="s">
        <v>427</v>
      </c>
      <c r="AK31" t="s">
        <v>257</v>
      </c>
      <c r="AL31">
        <v>19</v>
      </c>
      <c r="AM31" t="s">
        <v>286</v>
      </c>
      <c r="AN31" t="s">
        <v>255</v>
      </c>
      <c r="AO31" t="s">
        <v>520</v>
      </c>
      <c r="AS31" t="s">
        <v>253</v>
      </c>
      <c r="AT31" t="s">
        <v>252</v>
      </c>
      <c r="AU31">
        <v>60</v>
      </c>
      <c r="AV31" t="s">
        <v>283</v>
      </c>
      <c r="AW31" t="s">
        <v>250</v>
      </c>
      <c r="AX31" t="s">
        <v>259</v>
      </c>
      <c r="AY31" t="s">
        <v>287</v>
      </c>
      <c r="AZ31" t="s">
        <v>477</v>
      </c>
      <c r="BA31" t="s">
        <v>257</v>
      </c>
      <c r="BB31">
        <v>39</v>
      </c>
      <c r="BC31" t="s">
        <v>256</v>
      </c>
      <c r="BD31" t="s">
        <v>255</v>
      </c>
      <c r="BE31" t="s">
        <v>291</v>
      </c>
      <c r="BI31" t="s">
        <v>253</v>
      </c>
      <c r="BJ31" t="s">
        <v>252</v>
      </c>
      <c r="BK31">
        <v>60</v>
      </c>
      <c r="BL31" t="s">
        <v>283</v>
      </c>
      <c r="BM31" t="s">
        <v>250</v>
      </c>
      <c r="CT31">
        <v>387631.87329999998</v>
      </c>
      <c r="CU31">
        <v>5332237.8485000003</v>
      </c>
      <c r="CV31">
        <v>48.13347658</v>
      </c>
      <c r="CW31">
        <v>-94.510293059999995</v>
      </c>
      <c r="CX31" s="89">
        <v>44566.570138888892</v>
      </c>
      <c r="CY31" t="s">
        <v>249</v>
      </c>
      <c r="CZ31" t="s">
        <v>248</v>
      </c>
      <c r="DA31" t="s">
        <v>483</v>
      </c>
      <c r="DB31" t="s">
        <v>246</v>
      </c>
      <c r="DC31" t="s">
        <v>523</v>
      </c>
    </row>
    <row r="32" spans="1:107" ht="12.95" customHeight="1" x14ac:dyDescent="0.25">
      <c r="A32">
        <v>1035843</v>
      </c>
      <c r="B32" t="s">
        <v>273</v>
      </c>
      <c r="C32">
        <v>72</v>
      </c>
      <c r="D32">
        <v>34.826000000000001</v>
      </c>
      <c r="E32" t="s">
        <v>449</v>
      </c>
      <c r="G32" t="s">
        <v>457</v>
      </c>
      <c r="H32" t="s">
        <v>271</v>
      </c>
      <c r="I32" t="s">
        <v>447</v>
      </c>
      <c r="K32">
        <v>22321178</v>
      </c>
      <c r="L32">
        <v>222020198</v>
      </c>
      <c r="M32" s="237">
        <v>45114</v>
      </c>
      <c r="N32">
        <v>21</v>
      </c>
      <c r="O32">
        <v>2022</v>
      </c>
      <c r="P32" t="s">
        <v>281</v>
      </c>
      <c r="Q32">
        <v>22</v>
      </c>
      <c r="S32" t="s">
        <v>280</v>
      </c>
      <c r="T32">
        <v>0</v>
      </c>
      <c r="U32">
        <v>1</v>
      </c>
      <c r="W32" t="s">
        <v>175</v>
      </c>
      <c r="X32" t="s">
        <v>278</v>
      </c>
      <c r="Y32" t="s">
        <v>277</v>
      </c>
      <c r="Z32" t="s">
        <v>171</v>
      </c>
      <c r="AB32" t="s">
        <v>166</v>
      </c>
      <c r="AC32" t="s">
        <v>263</v>
      </c>
      <c r="AD32" t="s">
        <v>484</v>
      </c>
      <c r="AF32" t="s">
        <v>480</v>
      </c>
      <c r="AG32" t="s">
        <v>292</v>
      </c>
      <c r="AH32" t="s">
        <v>259</v>
      </c>
      <c r="AI32" t="s">
        <v>35</v>
      </c>
      <c r="AJ32" t="s">
        <v>427</v>
      </c>
      <c r="AK32" t="s">
        <v>257</v>
      </c>
      <c r="AL32">
        <v>56</v>
      </c>
      <c r="AM32" t="s">
        <v>286</v>
      </c>
      <c r="AN32" t="s">
        <v>255</v>
      </c>
      <c r="AO32" t="s">
        <v>291</v>
      </c>
      <c r="AS32" t="s">
        <v>253</v>
      </c>
      <c r="AT32" t="s">
        <v>168</v>
      </c>
      <c r="AU32">
        <v>60</v>
      </c>
      <c r="AV32" t="s">
        <v>283</v>
      </c>
      <c r="AW32" t="s">
        <v>250</v>
      </c>
      <c r="CT32">
        <v>387666.65059999999</v>
      </c>
      <c r="CU32">
        <v>5334134.0694000004</v>
      </c>
      <c r="CV32">
        <v>48.150537020000002</v>
      </c>
      <c r="CW32">
        <v>-94.510326109999994</v>
      </c>
      <c r="CX32" s="89">
        <v>44763.939583333333</v>
      </c>
      <c r="CY32" t="s">
        <v>249</v>
      </c>
      <c r="CZ32" t="s">
        <v>248</v>
      </c>
      <c r="DA32" t="s">
        <v>483</v>
      </c>
      <c r="DB32" t="s">
        <v>246</v>
      </c>
      <c r="DC32" t="s">
        <v>522</v>
      </c>
    </row>
    <row r="33" spans="1:107" ht="12.95" customHeight="1" x14ac:dyDescent="0.25">
      <c r="A33">
        <v>981064</v>
      </c>
      <c r="B33" t="s">
        <v>273</v>
      </c>
      <c r="C33">
        <v>72</v>
      </c>
      <c r="D33">
        <v>37.951000000000001</v>
      </c>
      <c r="E33" t="s">
        <v>449</v>
      </c>
      <c r="G33" t="s">
        <v>457</v>
      </c>
      <c r="H33" t="s">
        <v>271</v>
      </c>
      <c r="I33" t="s">
        <v>447</v>
      </c>
      <c r="K33">
        <v>21322036</v>
      </c>
      <c r="L33">
        <v>213490250</v>
      </c>
      <c r="M33" s="237">
        <v>45272</v>
      </c>
      <c r="N33">
        <v>15</v>
      </c>
      <c r="O33">
        <v>2021</v>
      </c>
      <c r="P33" t="s">
        <v>269</v>
      </c>
      <c r="Q33">
        <v>17</v>
      </c>
      <c r="S33" t="s">
        <v>268</v>
      </c>
      <c r="T33">
        <v>0</v>
      </c>
      <c r="U33">
        <v>1</v>
      </c>
      <c r="W33" t="s">
        <v>182</v>
      </c>
      <c r="X33" t="s">
        <v>278</v>
      </c>
      <c r="Y33" t="s">
        <v>277</v>
      </c>
      <c r="Z33" t="s">
        <v>519</v>
      </c>
      <c r="AA33" t="s">
        <v>188</v>
      </c>
      <c r="AB33" t="s">
        <v>187</v>
      </c>
      <c r="AC33" t="s">
        <v>263</v>
      </c>
      <c r="AD33" t="s">
        <v>484</v>
      </c>
      <c r="AF33" t="s">
        <v>480</v>
      </c>
      <c r="AG33" t="s">
        <v>260</v>
      </c>
      <c r="AH33" t="s">
        <v>259</v>
      </c>
      <c r="AI33" t="s">
        <v>287</v>
      </c>
      <c r="AJ33" t="s">
        <v>427</v>
      </c>
      <c r="AK33" t="s">
        <v>257</v>
      </c>
      <c r="AL33">
        <v>22</v>
      </c>
      <c r="AM33" t="s">
        <v>256</v>
      </c>
      <c r="AN33" t="s">
        <v>255</v>
      </c>
      <c r="AO33" t="s">
        <v>438</v>
      </c>
      <c r="AP33" t="s">
        <v>274</v>
      </c>
      <c r="AS33" t="s">
        <v>253</v>
      </c>
      <c r="AT33" t="s">
        <v>252</v>
      </c>
      <c r="AU33">
        <v>60</v>
      </c>
      <c r="AV33" t="s">
        <v>251</v>
      </c>
      <c r="AW33" t="s">
        <v>250</v>
      </c>
      <c r="CT33">
        <v>386853.86440000002</v>
      </c>
      <c r="CU33">
        <v>5338998.1993000004</v>
      </c>
      <c r="CV33">
        <v>48.194139649999997</v>
      </c>
      <c r="CW33">
        <v>-94.522544800000006</v>
      </c>
      <c r="CX33" s="89">
        <v>44545.73333333333</v>
      </c>
      <c r="CY33" t="s">
        <v>249</v>
      </c>
      <c r="CZ33" t="s">
        <v>248</v>
      </c>
      <c r="DA33" t="s">
        <v>483</v>
      </c>
      <c r="DB33" t="s">
        <v>246</v>
      </c>
      <c r="DC33" t="s">
        <v>518</v>
      </c>
    </row>
    <row r="34" spans="1:107" ht="12.95" customHeight="1" x14ac:dyDescent="0.25">
      <c r="A34">
        <v>818656</v>
      </c>
      <c r="B34" t="s">
        <v>273</v>
      </c>
      <c r="C34">
        <v>72</v>
      </c>
      <c r="D34">
        <v>38.807000000000002</v>
      </c>
      <c r="E34" t="s">
        <v>449</v>
      </c>
      <c r="G34" t="s">
        <v>457</v>
      </c>
      <c r="H34" t="s">
        <v>271</v>
      </c>
      <c r="I34" t="s">
        <v>447</v>
      </c>
      <c r="K34">
        <v>20320889</v>
      </c>
      <c r="L34">
        <v>201900128</v>
      </c>
      <c r="M34" s="237">
        <v>45114</v>
      </c>
      <c r="N34">
        <v>8</v>
      </c>
      <c r="O34">
        <v>2020</v>
      </c>
      <c r="P34" t="s">
        <v>269</v>
      </c>
      <c r="Q34">
        <v>9</v>
      </c>
      <c r="S34" t="s">
        <v>268</v>
      </c>
      <c r="T34">
        <v>0</v>
      </c>
      <c r="U34">
        <v>1</v>
      </c>
      <c r="W34" t="s">
        <v>279</v>
      </c>
      <c r="X34" t="s">
        <v>278</v>
      </c>
      <c r="Y34" t="s">
        <v>277</v>
      </c>
      <c r="Z34" t="s">
        <v>164</v>
      </c>
      <c r="AB34" t="s">
        <v>164</v>
      </c>
      <c r="AC34" t="s">
        <v>263</v>
      </c>
      <c r="AD34" t="s">
        <v>484</v>
      </c>
      <c r="AF34" t="s">
        <v>480</v>
      </c>
      <c r="AG34" t="s">
        <v>260</v>
      </c>
      <c r="AH34" t="s">
        <v>259</v>
      </c>
      <c r="AI34" t="s">
        <v>167</v>
      </c>
      <c r="AJ34" t="s">
        <v>477</v>
      </c>
      <c r="AK34" t="s">
        <v>257</v>
      </c>
      <c r="AL34">
        <v>19</v>
      </c>
      <c r="AM34" t="s">
        <v>256</v>
      </c>
      <c r="AN34" t="s">
        <v>255</v>
      </c>
      <c r="AO34" t="s">
        <v>429</v>
      </c>
      <c r="AS34" t="s">
        <v>253</v>
      </c>
      <c r="AT34" t="s">
        <v>252</v>
      </c>
      <c r="AU34">
        <v>60</v>
      </c>
      <c r="AV34" t="s">
        <v>283</v>
      </c>
      <c r="AW34" t="s">
        <v>250</v>
      </c>
      <c r="CT34">
        <v>385672.28090000001</v>
      </c>
      <c r="CU34">
        <v>5339693.3825000003</v>
      </c>
      <c r="CV34">
        <v>48.200180230000001</v>
      </c>
      <c r="CW34">
        <v>-94.538625949999997</v>
      </c>
      <c r="CX34" s="89">
        <v>44020.394444444442</v>
      </c>
      <c r="CY34" t="s">
        <v>249</v>
      </c>
      <c r="CZ34" t="s">
        <v>248</v>
      </c>
      <c r="DA34" t="s">
        <v>483</v>
      </c>
      <c r="DB34" t="s">
        <v>246</v>
      </c>
      <c r="DC34" s="18" t="s">
        <v>517</v>
      </c>
    </row>
    <row r="35" spans="1:107" ht="12.95" customHeight="1" x14ac:dyDescent="0.25">
      <c r="A35">
        <v>764150</v>
      </c>
      <c r="B35" t="s">
        <v>273</v>
      </c>
      <c r="C35">
        <v>72</v>
      </c>
      <c r="D35">
        <v>39.613999999999997</v>
      </c>
      <c r="E35" t="s">
        <v>449</v>
      </c>
      <c r="G35" t="s">
        <v>457</v>
      </c>
      <c r="H35" t="s">
        <v>271</v>
      </c>
      <c r="I35" t="s">
        <v>447</v>
      </c>
      <c r="K35">
        <v>19321880</v>
      </c>
      <c r="L35">
        <v>193240198</v>
      </c>
      <c r="M35" s="237">
        <v>45241</v>
      </c>
      <c r="N35">
        <v>20</v>
      </c>
      <c r="O35">
        <v>2019</v>
      </c>
      <c r="P35" t="s">
        <v>269</v>
      </c>
      <c r="Q35">
        <v>1</v>
      </c>
      <c r="R35" t="s">
        <v>121</v>
      </c>
      <c r="S35" t="s">
        <v>280</v>
      </c>
      <c r="T35">
        <v>0</v>
      </c>
      <c r="U35">
        <v>1</v>
      </c>
      <c r="W35" t="s">
        <v>176</v>
      </c>
      <c r="X35" t="s">
        <v>278</v>
      </c>
      <c r="Y35" t="s">
        <v>277</v>
      </c>
      <c r="Z35" t="s">
        <v>179</v>
      </c>
      <c r="AB35" t="s">
        <v>166</v>
      </c>
      <c r="AC35" t="s">
        <v>263</v>
      </c>
      <c r="AD35" t="s">
        <v>484</v>
      </c>
      <c r="AF35" t="s">
        <v>480</v>
      </c>
      <c r="AG35" t="s">
        <v>260</v>
      </c>
      <c r="AH35" t="s">
        <v>259</v>
      </c>
      <c r="AI35" t="s">
        <v>167</v>
      </c>
      <c r="AJ35" t="s">
        <v>477</v>
      </c>
      <c r="AK35" t="s">
        <v>257</v>
      </c>
      <c r="AL35">
        <v>59</v>
      </c>
      <c r="AM35" t="s">
        <v>286</v>
      </c>
      <c r="AN35" t="s">
        <v>255</v>
      </c>
      <c r="AO35" t="s">
        <v>274</v>
      </c>
      <c r="AS35" t="s">
        <v>253</v>
      </c>
      <c r="AT35" t="s">
        <v>252</v>
      </c>
      <c r="AU35">
        <v>60</v>
      </c>
      <c r="AV35" t="s">
        <v>251</v>
      </c>
      <c r="AW35" t="s">
        <v>250</v>
      </c>
      <c r="CT35">
        <v>384615.41529999999</v>
      </c>
      <c r="CU35">
        <v>5340406.1476999996</v>
      </c>
      <c r="CV35">
        <v>48.206399320000003</v>
      </c>
      <c r="CW35">
        <v>-94.553037619999998</v>
      </c>
      <c r="CX35" s="89">
        <v>43789.041666666664</v>
      </c>
      <c r="CY35" t="s">
        <v>249</v>
      </c>
      <c r="CZ35" t="s">
        <v>248</v>
      </c>
      <c r="DA35" t="s">
        <v>483</v>
      </c>
      <c r="DB35" t="s">
        <v>246</v>
      </c>
      <c r="DC35" s="18" t="s">
        <v>515</v>
      </c>
    </row>
    <row r="36" spans="1:107" ht="12.95" customHeight="1" x14ac:dyDescent="0.25">
      <c r="A36">
        <v>1021048</v>
      </c>
      <c r="B36" t="s">
        <v>273</v>
      </c>
      <c r="C36">
        <v>72</v>
      </c>
      <c r="D36">
        <v>40.701000000000001</v>
      </c>
      <c r="E36" t="s">
        <v>449</v>
      </c>
      <c r="H36" t="s">
        <v>271</v>
      </c>
      <c r="I36" t="s">
        <v>447</v>
      </c>
      <c r="K36">
        <v>22320762</v>
      </c>
      <c r="L36">
        <v>221230186</v>
      </c>
      <c r="M36" s="237">
        <v>45051</v>
      </c>
      <c r="N36">
        <v>3</v>
      </c>
      <c r="O36">
        <v>2022</v>
      </c>
      <c r="P36" t="s">
        <v>463</v>
      </c>
      <c r="Q36">
        <v>13</v>
      </c>
      <c r="R36" t="s">
        <v>168</v>
      </c>
      <c r="S36" t="s">
        <v>288</v>
      </c>
      <c r="T36">
        <v>0</v>
      </c>
      <c r="U36">
        <v>2</v>
      </c>
      <c r="V36" t="s">
        <v>406</v>
      </c>
      <c r="W36" t="s">
        <v>296</v>
      </c>
      <c r="X36" t="s">
        <v>169</v>
      </c>
      <c r="Y36" t="s">
        <v>165</v>
      </c>
      <c r="Z36" t="s">
        <v>171</v>
      </c>
      <c r="AB36" t="s">
        <v>166</v>
      </c>
      <c r="AC36" t="s">
        <v>263</v>
      </c>
      <c r="AD36" t="s">
        <v>484</v>
      </c>
      <c r="AE36" t="s">
        <v>514</v>
      </c>
      <c r="AF36" t="s">
        <v>480</v>
      </c>
      <c r="AG36" t="s">
        <v>406</v>
      </c>
      <c r="AH36" t="s">
        <v>259</v>
      </c>
      <c r="AI36" t="s">
        <v>167</v>
      </c>
      <c r="AJ36" t="s">
        <v>477</v>
      </c>
      <c r="AK36" t="s">
        <v>257</v>
      </c>
      <c r="AL36">
        <v>29</v>
      </c>
      <c r="AM36" t="s">
        <v>256</v>
      </c>
      <c r="AN36" t="s">
        <v>513</v>
      </c>
      <c r="AO36" t="s">
        <v>285</v>
      </c>
      <c r="AS36" t="s">
        <v>253</v>
      </c>
      <c r="AT36" t="s">
        <v>252</v>
      </c>
      <c r="AU36">
        <v>60</v>
      </c>
      <c r="AV36" t="s">
        <v>283</v>
      </c>
      <c r="AW36" t="s">
        <v>250</v>
      </c>
      <c r="AX36" t="s">
        <v>259</v>
      </c>
      <c r="AY36" t="s">
        <v>167</v>
      </c>
      <c r="AZ36" t="s">
        <v>427</v>
      </c>
      <c r="BA36" t="s">
        <v>257</v>
      </c>
      <c r="BB36">
        <v>50</v>
      </c>
      <c r="BC36" t="s">
        <v>256</v>
      </c>
      <c r="BD36" t="s">
        <v>255</v>
      </c>
      <c r="BE36" t="s">
        <v>291</v>
      </c>
      <c r="BI36" t="s">
        <v>253</v>
      </c>
      <c r="BJ36" t="s">
        <v>252</v>
      </c>
      <c r="BK36">
        <v>60</v>
      </c>
      <c r="BL36" t="s">
        <v>283</v>
      </c>
      <c r="BM36" t="s">
        <v>250</v>
      </c>
      <c r="CT36">
        <v>384601.38569999998</v>
      </c>
      <c r="CU36">
        <v>5342143.7418</v>
      </c>
      <c r="CV36">
        <v>48.222023890000003</v>
      </c>
      <c r="CW36">
        <v>-94.553699199999997</v>
      </c>
      <c r="CX36" s="89">
        <v>44684.578472222223</v>
      </c>
      <c r="CY36" t="s">
        <v>249</v>
      </c>
      <c r="CZ36" t="s">
        <v>248</v>
      </c>
      <c r="DA36" t="s">
        <v>483</v>
      </c>
      <c r="DB36" t="s">
        <v>246</v>
      </c>
      <c r="DC36" t="s">
        <v>512</v>
      </c>
    </row>
    <row r="37" spans="1:107" ht="12.95" customHeight="1" x14ac:dyDescent="0.25">
      <c r="A37">
        <v>762316</v>
      </c>
      <c r="B37" t="s">
        <v>273</v>
      </c>
      <c r="C37">
        <v>72</v>
      </c>
      <c r="D37">
        <v>40.874000000000002</v>
      </c>
      <c r="E37" t="s">
        <v>449</v>
      </c>
      <c r="H37" t="s">
        <v>271</v>
      </c>
      <c r="I37" t="s">
        <v>447</v>
      </c>
      <c r="K37">
        <v>19019238</v>
      </c>
      <c r="L37">
        <v>193150178</v>
      </c>
      <c r="M37" s="237">
        <v>45241</v>
      </c>
      <c r="N37">
        <v>11</v>
      </c>
      <c r="O37">
        <v>2019</v>
      </c>
      <c r="P37" t="s">
        <v>424</v>
      </c>
      <c r="Q37">
        <v>5</v>
      </c>
      <c r="R37" t="s">
        <v>168</v>
      </c>
      <c r="S37" t="s">
        <v>268</v>
      </c>
      <c r="T37">
        <v>0</v>
      </c>
      <c r="U37">
        <v>1</v>
      </c>
      <c r="W37" t="s">
        <v>279</v>
      </c>
      <c r="X37" t="s">
        <v>278</v>
      </c>
      <c r="Y37" t="s">
        <v>277</v>
      </c>
      <c r="Z37" t="s">
        <v>171</v>
      </c>
      <c r="AB37" t="s">
        <v>264</v>
      </c>
      <c r="AC37" t="s">
        <v>263</v>
      </c>
      <c r="AD37" t="s">
        <v>484</v>
      </c>
      <c r="AF37" t="s">
        <v>480</v>
      </c>
      <c r="AG37" t="s">
        <v>260</v>
      </c>
      <c r="AH37" t="s">
        <v>259</v>
      </c>
      <c r="AI37" t="s">
        <v>276</v>
      </c>
      <c r="AJ37" t="s">
        <v>427</v>
      </c>
      <c r="AK37" t="s">
        <v>257</v>
      </c>
      <c r="AL37">
        <v>36</v>
      </c>
      <c r="AM37" t="s">
        <v>286</v>
      </c>
      <c r="AN37" t="s">
        <v>411</v>
      </c>
      <c r="AO37" t="s">
        <v>254</v>
      </c>
      <c r="AS37" t="s">
        <v>253</v>
      </c>
      <c r="AT37" t="s">
        <v>252</v>
      </c>
      <c r="AU37">
        <v>55</v>
      </c>
      <c r="AV37" t="s">
        <v>283</v>
      </c>
      <c r="AW37" t="s">
        <v>250</v>
      </c>
      <c r="CT37">
        <v>384608.95010000002</v>
      </c>
      <c r="CU37">
        <v>5342422.0273000002</v>
      </c>
      <c r="CV37">
        <v>48.224528030000002</v>
      </c>
      <c r="CW37">
        <v>-94.553673149999995</v>
      </c>
      <c r="CX37" s="89">
        <v>43780.215277777781</v>
      </c>
      <c r="CY37" t="s">
        <v>249</v>
      </c>
      <c r="CZ37" t="s">
        <v>248</v>
      </c>
      <c r="DA37" t="s">
        <v>451</v>
      </c>
      <c r="DB37" t="s">
        <v>415</v>
      </c>
      <c r="DC37" t="s">
        <v>511</v>
      </c>
    </row>
    <row r="38" spans="1:107" ht="12.95" customHeight="1" x14ac:dyDescent="0.25">
      <c r="A38">
        <v>844519</v>
      </c>
      <c r="B38" t="s">
        <v>273</v>
      </c>
      <c r="C38">
        <v>72</v>
      </c>
      <c r="D38">
        <v>41.048000000000002</v>
      </c>
      <c r="E38" t="s">
        <v>449</v>
      </c>
      <c r="H38" t="s">
        <v>271</v>
      </c>
      <c r="I38" t="s">
        <v>447</v>
      </c>
      <c r="K38">
        <v>20321445</v>
      </c>
      <c r="L38">
        <v>202780120</v>
      </c>
      <c r="M38" s="237">
        <v>45209</v>
      </c>
      <c r="N38">
        <v>4</v>
      </c>
      <c r="O38">
        <v>2020</v>
      </c>
      <c r="P38" t="s">
        <v>289</v>
      </c>
      <c r="Q38">
        <v>13</v>
      </c>
      <c r="S38" t="s">
        <v>268</v>
      </c>
      <c r="T38">
        <v>0</v>
      </c>
      <c r="U38">
        <v>1</v>
      </c>
      <c r="W38" t="s">
        <v>413</v>
      </c>
      <c r="X38" t="s">
        <v>278</v>
      </c>
      <c r="Y38" t="s">
        <v>165</v>
      </c>
      <c r="Z38" t="s">
        <v>171</v>
      </c>
      <c r="AB38" t="s">
        <v>166</v>
      </c>
      <c r="AC38" t="s">
        <v>263</v>
      </c>
      <c r="AD38" t="s">
        <v>484</v>
      </c>
      <c r="AF38" t="s">
        <v>480</v>
      </c>
      <c r="AG38" t="s">
        <v>260</v>
      </c>
      <c r="AH38" t="s">
        <v>259</v>
      </c>
      <c r="AI38" t="s">
        <v>287</v>
      </c>
      <c r="AJ38" t="s">
        <v>477</v>
      </c>
      <c r="AK38" t="s">
        <v>257</v>
      </c>
      <c r="AL38">
        <v>48</v>
      </c>
      <c r="AM38" t="s">
        <v>256</v>
      </c>
      <c r="AN38" t="s">
        <v>411</v>
      </c>
      <c r="AO38" t="s">
        <v>254</v>
      </c>
      <c r="AS38" t="s">
        <v>253</v>
      </c>
      <c r="AT38" t="s">
        <v>252</v>
      </c>
      <c r="AU38">
        <v>60</v>
      </c>
      <c r="AV38" t="s">
        <v>283</v>
      </c>
      <c r="AW38" t="s">
        <v>250</v>
      </c>
      <c r="CT38">
        <v>384616.5649</v>
      </c>
      <c r="CU38">
        <v>5342702.3817999996</v>
      </c>
      <c r="CV38">
        <v>48.22705079</v>
      </c>
      <c r="CW38">
        <v>-94.553646979999996</v>
      </c>
      <c r="CX38" s="89">
        <v>44108.574999999997</v>
      </c>
      <c r="CY38" t="s">
        <v>249</v>
      </c>
      <c r="CZ38" t="s">
        <v>248</v>
      </c>
      <c r="DA38" t="s">
        <v>483</v>
      </c>
      <c r="DB38" t="s">
        <v>246</v>
      </c>
      <c r="DC38" t="s">
        <v>510</v>
      </c>
    </row>
    <row r="39" spans="1:107" ht="12.95" customHeight="1" x14ac:dyDescent="0.25">
      <c r="A39">
        <v>887508</v>
      </c>
      <c r="B39" t="s">
        <v>273</v>
      </c>
      <c r="C39">
        <v>72</v>
      </c>
      <c r="D39">
        <v>43.384999999999998</v>
      </c>
      <c r="E39" t="s">
        <v>449</v>
      </c>
      <c r="H39" t="s">
        <v>271</v>
      </c>
      <c r="I39" t="s">
        <v>447</v>
      </c>
      <c r="K39">
        <v>21320190</v>
      </c>
      <c r="L39">
        <v>210310079</v>
      </c>
      <c r="M39" s="237">
        <v>44927</v>
      </c>
      <c r="N39">
        <v>31</v>
      </c>
      <c r="O39">
        <v>2021</v>
      </c>
      <c r="P39" t="s">
        <v>289</v>
      </c>
      <c r="Q39">
        <v>13</v>
      </c>
      <c r="R39" t="s">
        <v>168</v>
      </c>
      <c r="S39" t="s">
        <v>268</v>
      </c>
      <c r="T39">
        <v>0</v>
      </c>
      <c r="U39">
        <v>1</v>
      </c>
      <c r="W39" t="s">
        <v>279</v>
      </c>
      <c r="X39" t="s">
        <v>278</v>
      </c>
      <c r="Y39" t="s">
        <v>165</v>
      </c>
      <c r="Z39" t="s">
        <v>179</v>
      </c>
      <c r="AA39" t="s">
        <v>265</v>
      </c>
      <c r="AB39" t="s">
        <v>264</v>
      </c>
      <c r="AC39" t="s">
        <v>263</v>
      </c>
      <c r="AD39" t="s">
        <v>484</v>
      </c>
      <c r="AF39" t="s">
        <v>480</v>
      </c>
      <c r="AG39" t="s">
        <v>260</v>
      </c>
      <c r="AH39" t="s">
        <v>259</v>
      </c>
      <c r="AI39" t="s">
        <v>287</v>
      </c>
      <c r="AJ39" t="s">
        <v>477</v>
      </c>
      <c r="AK39" t="s">
        <v>257</v>
      </c>
      <c r="AL39">
        <v>37</v>
      </c>
      <c r="AM39" t="s">
        <v>286</v>
      </c>
      <c r="AN39" t="s">
        <v>255</v>
      </c>
      <c r="AO39" t="s">
        <v>291</v>
      </c>
      <c r="AS39" t="s">
        <v>253</v>
      </c>
      <c r="AT39" t="s">
        <v>252</v>
      </c>
      <c r="AU39">
        <v>60</v>
      </c>
      <c r="AV39" t="s">
        <v>283</v>
      </c>
      <c r="AW39" t="s">
        <v>250</v>
      </c>
      <c r="CT39">
        <v>384706.51929999999</v>
      </c>
      <c r="CU39">
        <v>5346462.0442000004</v>
      </c>
      <c r="CV39">
        <v>48.260879660000001</v>
      </c>
      <c r="CW39">
        <v>-94.553459989999993</v>
      </c>
      <c r="CX39" s="89">
        <v>44227.541666666664</v>
      </c>
      <c r="CY39" t="s">
        <v>249</v>
      </c>
      <c r="CZ39" t="s">
        <v>248</v>
      </c>
      <c r="DA39" t="s">
        <v>483</v>
      </c>
      <c r="DB39" t="s">
        <v>246</v>
      </c>
      <c r="DC39" t="s">
        <v>508</v>
      </c>
    </row>
    <row r="40" spans="1:107" ht="12.95" customHeight="1" x14ac:dyDescent="0.25">
      <c r="A40">
        <v>1038896</v>
      </c>
      <c r="B40" t="s">
        <v>273</v>
      </c>
      <c r="C40">
        <v>72</v>
      </c>
      <c r="D40">
        <v>43.442</v>
      </c>
      <c r="E40" t="s">
        <v>449</v>
      </c>
      <c r="H40" t="s">
        <v>271</v>
      </c>
      <c r="I40" t="s">
        <v>447</v>
      </c>
      <c r="K40">
        <v>22321266</v>
      </c>
      <c r="L40">
        <v>222180158</v>
      </c>
      <c r="M40" s="237">
        <v>45146</v>
      </c>
      <c r="N40">
        <v>6</v>
      </c>
      <c r="O40">
        <v>2022</v>
      </c>
      <c r="P40" t="s">
        <v>426</v>
      </c>
      <c r="Q40">
        <v>18</v>
      </c>
      <c r="S40" t="s">
        <v>288</v>
      </c>
      <c r="T40">
        <v>0</v>
      </c>
      <c r="U40">
        <v>1</v>
      </c>
      <c r="W40" t="s">
        <v>279</v>
      </c>
      <c r="X40" t="s">
        <v>278</v>
      </c>
      <c r="Y40" t="s">
        <v>165</v>
      </c>
      <c r="Z40" t="s">
        <v>179</v>
      </c>
      <c r="AB40" t="s">
        <v>166</v>
      </c>
      <c r="AC40" t="s">
        <v>263</v>
      </c>
      <c r="AD40" t="s">
        <v>484</v>
      </c>
      <c r="AF40" t="s">
        <v>480</v>
      </c>
      <c r="AG40" t="s">
        <v>260</v>
      </c>
      <c r="AH40" t="s">
        <v>259</v>
      </c>
      <c r="AI40" t="s">
        <v>167</v>
      </c>
      <c r="AJ40" t="s">
        <v>427</v>
      </c>
      <c r="AK40" t="s">
        <v>257</v>
      </c>
      <c r="AL40">
        <v>47</v>
      </c>
      <c r="AM40" t="s">
        <v>286</v>
      </c>
      <c r="AN40" t="s">
        <v>419</v>
      </c>
      <c r="AO40" t="s">
        <v>490</v>
      </c>
      <c r="AP40" t="s">
        <v>254</v>
      </c>
      <c r="AS40" t="s">
        <v>253</v>
      </c>
      <c r="AT40" t="s">
        <v>252</v>
      </c>
      <c r="AU40">
        <v>60</v>
      </c>
      <c r="AV40" t="s">
        <v>283</v>
      </c>
      <c r="AW40" t="s">
        <v>250</v>
      </c>
      <c r="CT40">
        <v>384708.61660000001</v>
      </c>
      <c r="CU40">
        <v>5346554.7471000003</v>
      </c>
      <c r="CV40">
        <v>48.261713759999999</v>
      </c>
      <c r="CW40">
        <v>-94.553457010000002</v>
      </c>
      <c r="CX40" s="89">
        <v>44779.771527777775</v>
      </c>
      <c r="CY40" t="s">
        <v>249</v>
      </c>
      <c r="CZ40" t="s">
        <v>248</v>
      </c>
      <c r="DA40" t="s">
        <v>483</v>
      </c>
      <c r="DB40" t="s">
        <v>246</v>
      </c>
      <c r="DC40" t="s">
        <v>507</v>
      </c>
    </row>
    <row r="41" spans="1:107" ht="12.95" customHeight="1" x14ac:dyDescent="0.25">
      <c r="A41">
        <v>888905</v>
      </c>
      <c r="B41" t="s">
        <v>273</v>
      </c>
      <c r="C41">
        <v>72</v>
      </c>
      <c r="D41">
        <v>50.142000000000003</v>
      </c>
      <c r="E41" t="s">
        <v>449</v>
      </c>
      <c r="H41" t="s">
        <v>271</v>
      </c>
      <c r="I41" t="s">
        <v>447</v>
      </c>
      <c r="K41">
        <v>21320223</v>
      </c>
      <c r="L41">
        <v>210370136</v>
      </c>
      <c r="M41" s="237">
        <v>44959</v>
      </c>
      <c r="N41">
        <v>6</v>
      </c>
      <c r="O41">
        <v>2021</v>
      </c>
      <c r="P41" t="s">
        <v>426</v>
      </c>
      <c r="Q41">
        <v>4</v>
      </c>
      <c r="R41" t="s">
        <v>168</v>
      </c>
      <c r="S41" t="s">
        <v>280</v>
      </c>
      <c r="T41">
        <v>0</v>
      </c>
      <c r="U41">
        <v>1</v>
      </c>
      <c r="W41" t="s">
        <v>279</v>
      </c>
      <c r="X41" t="s">
        <v>278</v>
      </c>
      <c r="Y41" t="s">
        <v>277</v>
      </c>
      <c r="Z41" t="s">
        <v>171</v>
      </c>
      <c r="AB41" t="s">
        <v>166</v>
      </c>
      <c r="AC41" t="s">
        <v>263</v>
      </c>
      <c r="AD41" t="s">
        <v>484</v>
      </c>
      <c r="AF41" t="s">
        <v>480</v>
      </c>
      <c r="AG41" t="s">
        <v>260</v>
      </c>
      <c r="AH41" t="s">
        <v>259</v>
      </c>
      <c r="AI41" t="s">
        <v>276</v>
      </c>
      <c r="AJ41" t="s">
        <v>427</v>
      </c>
      <c r="AK41" t="s">
        <v>505</v>
      </c>
      <c r="AL41">
        <v>25</v>
      </c>
      <c r="AM41" t="s">
        <v>286</v>
      </c>
      <c r="AN41" t="s">
        <v>419</v>
      </c>
      <c r="AO41" t="s">
        <v>418</v>
      </c>
      <c r="AS41" t="s">
        <v>253</v>
      </c>
      <c r="AT41" t="s">
        <v>252</v>
      </c>
      <c r="AU41">
        <v>60</v>
      </c>
      <c r="AV41" t="s">
        <v>251</v>
      </c>
      <c r="AW41" t="s">
        <v>250</v>
      </c>
      <c r="CT41">
        <v>384885.29950000002</v>
      </c>
      <c r="CU41">
        <v>5357333.4151999997</v>
      </c>
      <c r="CV41">
        <v>48.358682690000002</v>
      </c>
      <c r="CW41">
        <v>-94.554018429999999</v>
      </c>
      <c r="CX41" s="89">
        <v>44233.166666666664</v>
      </c>
      <c r="CY41" t="s">
        <v>249</v>
      </c>
      <c r="CZ41" t="s">
        <v>248</v>
      </c>
      <c r="DA41" t="s">
        <v>483</v>
      </c>
      <c r="DB41" t="s">
        <v>246</v>
      </c>
      <c r="DC41" t="s">
        <v>504</v>
      </c>
    </row>
    <row r="42" spans="1:107" ht="12.95" customHeight="1" x14ac:dyDescent="0.25">
      <c r="A42">
        <v>898652</v>
      </c>
      <c r="B42" t="s">
        <v>273</v>
      </c>
      <c r="C42">
        <v>72</v>
      </c>
      <c r="D42">
        <v>53.951000000000001</v>
      </c>
      <c r="E42" t="s">
        <v>470</v>
      </c>
      <c r="H42" t="s">
        <v>271</v>
      </c>
      <c r="I42" t="s">
        <v>447</v>
      </c>
      <c r="K42">
        <v>21320460</v>
      </c>
      <c r="L42">
        <v>210840163</v>
      </c>
      <c r="M42" s="237">
        <v>44988</v>
      </c>
      <c r="N42">
        <v>25</v>
      </c>
      <c r="O42">
        <v>2021</v>
      </c>
      <c r="P42" t="s">
        <v>281</v>
      </c>
      <c r="Q42">
        <v>10</v>
      </c>
      <c r="R42" t="s">
        <v>121</v>
      </c>
      <c r="S42" t="s">
        <v>184</v>
      </c>
      <c r="T42">
        <v>0</v>
      </c>
      <c r="U42">
        <v>2</v>
      </c>
      <c r="W42" t="s">
        <v>186</v>
      </c>
      <c r="X42" t="s">
        <v>278</v>
      </c>
      <c r="Y42" t="s">
        <v>165</v>
      </c>
      <c r="Z42" t="s">
        <v>171</v>
      </c>
      <c r="AB42" t="s">
        <v>166</v>
      </c>
      <c r="AC42" t="s">
        <v>503</v>
      </c>
      <c r="AD42" t="s">
        <v>484</v>
      </c>
      <c r="AF42" t="s">
        <v>480</v>
      </c>
      <c r="AG42" t="s">
        <v>181</v>
      </c>
      <c r="AH42" t="s">
        <v>259</v>
      </c>
      <c r="AI42" t="s">
        <v>287</v>
      </c>
      <c r="AJ42" t="s">
        <v>477</v>
      </c>
      <c r="AK42" t="s">
        <v>257</v>
      </c>
      <c r="AL42">
        <v>84</v>
      </c>
      <c r="AM42" t="s">
        <v>286</v>
      </c>
      <c r="AN42" t="s">
        <v>255</v>
      </c>
      <c r="AO42" t="s">
        <v>502</v>
      </c>
      <c r="AS42" t="s">
        <v>253</v>
      </c>
      <c r="AT42" t="s">
        <v>499</v>
      </c>
      <c r="AU42">
        <v>60</v>
      </c>
      <c r="AV42" t="s">
        <v>283</v>
      </c>
      <c r="AW42" t="s">
        <v>250</v>
      </c>
      <c r="AX42" t="s">
        <v>501</v>
      </c>
      <c r="AY42" t="s">
        <v>431</v>
      </c>
      <c r="AZ42" t="s">
        <v>477</v>
      </c>
      <c r="BA42" t="s">
        <v>500</v>
      </c>
      <c r="BB42">
        <v>36</v>
      </c>
      <c r="BC42" t="s">
        <v>286</v>
      </c>
      <c r="BD42" t="s">
        <v>255</v>
      </c>
      <c r="BE42" t="s">
        <v>291</v>
      </c>
      <c r="BI42" t="s">
        <v>253</v>
      </c>
      <c r="BJ42" t="s">
        <v>499</v>
      </c>
      <c r="BK42">
        <v>60</v>
      </c>
      <c r="BL42" t="s">
        <v>283</v>
      </c>
      <c r="BM42" t="s">
        <v>250</v>
      </c>
      <c r="CT42">
        <v>384605.52679999999</v>
      </c>
      <c r="CU42">
        <v>5363378.0817999998</v>
      </c>
      <c r="CV42">
        <v>48.412992809999999</v>
      </c>
      <c r="CW42">
        <v>-94.559454070000001</v>
      </c>
      <c r="CX42" s="89">
        <v>44280.430555555555</v>
      </c>
      <c r="CY42" t="s">
        <v>249</v>
      </c>
      <c r="CZ42" t="s">
        <v>248</v>
      </c>
      <c r="DA42" t="s">
        <v>483</v>
      </c>
      <c r="DB42" t="s">
        <v>246</v>
      </c>
      <c r="DC42" t="s">
        <v>498</v>
      </c>
    </row>
    <row r="43" spans="1:107" ht="12.95" customHeight="1" x14ac:dyDescent="0.25">
      <c r="A43">
        <v>1018620</v>
      </c>
      <c r="B43" t="s">
        <v>273</v>
      </c>
      <c r="C43">
        <v>72</v>
      </c>
      <c r="D43">
        <v>54.134999999999998</v>
      </c>
      <c r="E43" t="s">
        <v>470</v>
      </c>
      <c r="H43" t="s">
        <v>271</v>
      </c>
      <c r="I43" t="s">
        <v>447</v>
      </c>
      <c r="K43">
        <v>22320692</v>
      </c>
      <c r="L43">
        <v>221100133</v>
      </c>
      <c r="M43" s="237">
        <v>45020</v>
      </c>
      <c r="N43">
        <v>20</v>
      </c>
      <c r="O43">
        <v>2022</v>
      </c>
      <c r="P43" t="s">
        <v>269</v>
      </c>
      <c r="Q43">
        <v>14</v>
      </c>
      <c r="S43" t="s">
        <v>268</v>
      </c>
      <c r="T43">
        <v>0</v>
      </c>
      <c r="U43">
        <v>1</v>
      </c>
      <c r="W43" t="s">
        <v>497</v>
      </c>
      <c r="X43" t="s">
        <v>278</v>
      </c>
      <c r="Y43" t="s">
        <v>165</v>
      </c>
      <c r="Z43" t="s">
        <v>179</v>
      </c>
      <c r="AB43" t="s">
        <v>496</v>
      </c>
      <c r="AC43" t="s">
        <v>263</v>
      </c>
      <c r="AD43" t="s">
        <v>484</v>
      </c>
      <c r="AF43" t="s">
        <v>480</v>
      </c>
      <c r="AG43" t="s">
        <v>292</v>
      </c>
      <c r="AH43" t="s">
        <v>259</v>
      </c>
      <c r="AI43" t="s">
        <v>431</v>
      </c>
      <c r="AJ43" t="s">
        <v>477</v>
      </c>
      <c r="AK43" t="s">
        <v>257</v>
      </c>
      <c r="AL43">
        <v>31</v>
      </c>
      <c r="AM43" t="s">
        <v>286</v>
      </c>
      <c r="AN43" t="s">
        <v>255</v>
      </c>
      <c r="AO43" t="s">
        <v>254</v>
      </c>
      <c r="AS43" t="s">
        <v>253</v>
      </c>
      <c r="AT43" t="s">
        <v>252</v>
      </c>
      <c r="AU43">
        <v>60</v>
      </c>
      <c r="AV43" t="s">
        <v>283</v>
      </c>
      <c r="AW43" t="s">
        <v>250</v>
      </c>
      <c r="CT43">
        <v>384610.08500000002</v>
      </c>
      <c r="CU43">
        <v>5363674.3607999999</v>
      </c>
      <c r="CV43">
        <v>48.415658139999998</v>
      </c>
      <c r="CW43">
        <v>-94.559473999999994</v>
      </c>
      <c r="CX43" s="89">
        <v>44671.603472222225</v>
      </c>
      <c r="CY43" t="s">
        <v>249</v>
      </c>
      <c r="CZ43" t="s">
        <v>248</v>
      </c>
      <c r="DA43" t="s">
        <v>483</v>
      </c>
      <c r="DB43" t="s">
        <v>246</v>
      </c>
      <c r="DC43" t="s">
        <v>495</v>
      </c>
    </row>
    <row r="44" spans="1:107" ht="12.95" customHeight="1" x14ac:dyDescent="0.25">
      <c r="A44">
        <v>622694</v>
      </c>
      <c r="B44" t="s">
        <v>273</v>
      </c>
      <c r="C44">
        <v>72</v>
      </c>
      <c r="D44">
        <v>54.908999999999999</v>
      </c>
      <c r="E44" t="s">
        <v>470</v>
      </c>
      <c r="H44" t="s">
        <v>271</v>
      </c>
      <c r="I44" t="s">
        <v>447</v>
      </c>
      <c r="K44">
        <v>18000723</v>
      </c>
      <c r="L44">
        <v>182030099</v>
      </c>
      <c r="M44" s="237">
        <v>45114</v>
      </c>
      <c r="N44">
        <v>17</v>
      </c>
      <c r="O44">
        <v>2018</v>
      </c>
      <c r="P44" t="s">
        <v>463</v>
      </c>
      <c r="Q44">
        <v>16</v>
      </c>
      <c r="R44" t="s">
        <v>122</v>
      </c>
      <c r="S44" t="s">
        <v>268</v>
      </c>
      <c r="T44">
        <v>0</v>
      </c>
      <c r="U44">
        <v>1</v>
      </c>
      <c r="W44" t="s">
        <v>182</v>
      </c>
      <c r="X44" t="s">
        <v>278</v>
      </c>
      <c r="Y44" t="s">
        <v>165</v>
      </c>
      <c r="Z44" t="s">
        <v>171</v>
      </c>
      <c r="AB44" t="s">
        <v>166</v>
      </c>
      <c r="AC44" t="s">
        <v>263</v>
      </c>
      <c r="AD44" t="s">
        <v>484</v>
      </c>
      <c r="AF44" t="s">
        <v>480</v>
      </c>
      <c r="AG44" t="s">
        <v>260</v>
      </c>
      <c r="AH44" t="s">
        <v>259</v>
      </c>
      <c r="AI44" t="s">
        <v>167</v>
      </c>
      <c r="AJ44" t="s">
        <v>427</v>
      </c>
      <c r="AK44" t="s">
        <v>257</v>
      </c>
      <c r="AL44">
        <v>75</v>
      </c>
      <c r="AM44" t="s">
        <v>286</v>
      </c>
      <c r="AN44" t="s">
        <v>411</v>
      </c>
      <c r="AO44" t="s">
        <v>438</v>
      </c>
      <c r="AS44" t="s">
        <v>253</v>
      </c>
      <c r="AT44" t="s">
        <v>252</v>
      </c>
      <c r="AU44">
        <v>55</v>
      </c>
      <c r="AV44" t="s">
        <v>283</v>
      </c>
      <c r="AW44" t="s">
        <v>250</v>
      </c>
      <c r="CT44">
        <v>384647.12819999998</v>
      </c>
      <c r="CU44">
        <v>5364919.5384</v>
      </c>
      <c r="CV44">
        <v>48.426863040000001</v>
      </c>
      <c r="CW44">
        <v>-94.559316109999997</v>
      </c>
      <c r="CX44" s="89">
        <v>43298.677083333336</v>
      </c>
      <c r="CY44" t="s">
        <v>249</v>
      </c>
      <c r="CZ44" t="s">
        <v>248</v>
      </c>
      <c r="DA44" t="s">
        <v>466</v>
      </c>
      <c r="DB44" t="s">
        <v>415</v>
      </c>
      <c r="DC44" t="s">
        <v>494</v>
      </c>
    </row>
    <row r="45" spans="1:107" ht="12.95" customHeight="1" x14ac:dyDescent="0.25">
      <c r="A45">
        <v>747760</v>
      </c>
      <c r="B45" t="s">
        <v>273</v>
      </c>
      <c r="C45">
        <v>72</v>
      </c>
      <c r="D45">
        <v>55.411000000000001</v>
      </c>
      <c r="E45" t="s">
        <v>470</v>
      </c>
      <c r="H45" t="s">
        <v>271</v>
      </c>
      <c r="I45" t="s">
        <v>447</v>
      </c>
      <c r="K45">
        <v>19321481</v>
      </c>
      <c r="L45">
        <v>192590085</v>
      </c>
      <c r="M45" s="237">
        <v>45178</v>
      </c>
      <c r="N45">
        <v>16</v>
      </c>
      <c r="O45">
        <v>2019</v>
      </c>
      <c r="P45" t="s">
        <v>424</v>
      </c>
      <c r="Q45">
        <v>6</v>
      </c>
      <c r="S45" t="s">
        <v>288</v>
      </c>
      <c r="T45">
        <v>0</v>
      </c>
      <c r="U45">
        <v>2</v>
      </c>
      <c r="V45" t="s">
        <v>493</v>
      </c>
      <c r="W45" t="s">
        <v>296</v>
      </c>
      <c r="X45" t="s">
        <v>278</v>
      </c>
      <c r="Y45" t="s">
        <v>439</v>
      </c>
      <c r="Z45" t="s">
        <v>171</v>
      </c>
      <c r="AB45" t="s">
        <v>166</v>
      </c>
      <c r="AC45" t="s">
        <v>263</v>
      </c>
      <c r="AD45" t="s">
        <v>484</v>
      </c>
      <c r="AF45" t="s">
        <v>480</v>
      </c>
      <c r="AG45" t="s">
        <v>492</v>
      </c>
      <c r="AH45" t="s">
        <v>259</v>
      </c>
      <c r="AI45" t="s">
        <v>167</v>
      </c>
      <c r="AJ45" t="s">
        <v>427</v>
      </c>
      <c r="AK45" t="s">
        <v>257</v>
      </c>
      <c r="AL45">
        <v>39</v>
      </c>
      <c r="AM45" t="s">
        <v>286</v>
      </c>
      <c r="AN45" t="s">
        <v>411</v>
      </c>
      <c r="AO45" t="s">
        <v>285</v>
      </c>
      <c r="AS45" t="s">
        <v>253</v>
      </c>
      <c r="AT45" t="s">
        <v>252</v>
      </c>
      <c r="AU45">
        <v>60</v>
      </c>
      <c r="AV45" t="s">
        <v>283</v>
      </c>
      <c r="AW45" t="s">
        <v>250</v>
      </c>
      <c r="AX45" t="s">
        <v>259</v>
      </c>
      <c r="AY45" t="s">
        <v>167</v>
      </c>
      <c r="AZ45" t="s">
        <v>477</v>
      </c>
      <c r="BA45" t="s">
        <v>257</v>
      </c>
      <c r="BB45">
        <v>59</v>
      </c>
      <c r="BC45" t="s">
        <v>286</v>
      </c>
      <c r="BD45" t="s">
        <v>255</v>
      </c>
      <c r="BE45" t="s">
        <v>291</v>
      </c>
      <c r="BI45" t="s">
        <v>253</v>
      </c>
      <c r="BJ45" t="s">
        <v>252</v>
      </c>
      <c r="BK45">
        <v>60</v>
      </c>
      <c r="BL45" t="s">
        <v>283</v>
      </c>
      <c r="BM45" t="s">
        <v>250</v>
      </c>
      <c r="CT45">
        <v>384660.77389999997</v>
      </c>
      <c r="CU45">
        <v>5365727.7172999997</v>
      </c>
      <c r="CV45">
        <v>48.434133639999999</v>
      </c>
      <c r="CW45">
        <v>-94.559354130000003</v>
      </c>
      <c r="CX45" s="89">
        <v>43724.28402777778</v>
      </c>
      <c r="CY45" t="s">
        <v>249</v>
      </c>
      <c r="CZ45" t="s">
        <v>248</v>
      </c>
      <c r="DA45" t="s">
        <v>483</v>
      </c>
      <c r="DB45" t="s">
        <v>246</v>
      </c>
      <c r="DC45" t="s">
        <v>491</v>
      </c>
    </row>
    <row r="46" spans="1:107" ht="12.95" customHeight="1" x14ac:dyDescent="0.25">
      <c r="A46">
        <v>769916</v>
      </c>
      <c r="B46" t="s">
        <v>273</v>
      </c>
      <c r="C46">
        <v>72</v>
      </c>
      <c r="D46">
        <v>59.564</v>
      </c>
      <c r="E46" t="s">
        <v>470</v>
      </c>
      <c r="H46" t="s">
        <v>271</v>
      </c>
      <c r="I46" t="s">
        <v>447</v>
      </c>
      <c r="K46">
        <v>19001260</v>
      </c>
      <c r="L46">
        <v>193430535</v>
      </c>
      <c r="M46" s="237">
        <v>45272</v>
      </c>
      <c r="N46">
        <v>9</v>
      </c>
      <c r="O46">
        <v>2019</v>
      </c>
      <c r="P46" t="s">
        <v>424</v>
      </c>
      <c r="Q46">
        <v>22</v>
      </c>
      <c r="R46" t="s">
        <v>122</v>
      </c>
      <c r="S46" t="s">
        <v>268</v>
      </c>
      <c r="T46">
        <v>0</v>
      </c>
      <c r="U46">
        <v>1</v>
      </c>
      <c r="W46" t="s">
        <v>279</v>
      </c>
      <c r="X46" t="s">
        <v>181</v>
      </c>
      <c r="Y46" t="s">
        <v>277</v>
      </c>
      <c r="Z46" t="s">
        <v>171</v>
      </c>
      <c r="AB46" t="s">
        <v>264</v>
      </c>
      <c r="AC46" t="s">
        <v>263</v>
      </c>
      <c r="AD46" t="s">
        <v>484</v>
      </c>
      <c r="AF46" t="s">
        <v>480</v>
      </c>
      <c r="AG46" t="s">
        <v>260</v>
      </c>
      <c r="AH46" t="s">
        <v>259</v>
      </c>
      <c r="AI46" t="s">
        <v>276</v>
      </c>
      <c r="AJ46" t="s">
        <v>427</v>
      </c>
      <c r="AK46" t="s">
        <v>257</v>
      </c>
      <c r="AL46">
        <v>22</v>
      </c>
      <c r="AM46" t="s">
        <v>256</v>
      </c>
      <c r="AN46" t="s">
        <v>411</v>
      </c>
      <c r="AO46" t="s">
        <v>490</v>
      </c>
      <c r="AS46" t="s">
        <v>489</v>
      </c>
      <c r="AT46" t="s">
        <v>252</v>
      </c>
      <c r="AU46">
        <v>60</v>
      </c>
      <c r="AV46" t="s">
        <v>283</v>
      </c>
      <c r="AW46" t="s">
        <v>250</v>
      </c>
      <c r="CT46">
        <v>384716.5625</v>
      </c>
      <c r="CU46">
        <v>5372408.0628000004</v>
      </c>
      <c r="CV46">
        <v>48.494221009999997</v>
      </c>
      <c r="CW46">
        <v>-94.560441150000003</v>
      </c>
      <c r="CX46" s="89">
        <v>43808.917361111111</v>
      </c>
      <c r="CY46" t="s">
        <v>249</v>
      </c>
      <c r="CZ46" t="s">
        <v>248</v>
      </c>
      <c r="DA46" t="s">
        <v>466</v>
      </c>
      <c r="DB46" t="s">
        <v>415</v>
      </c>
      <c r="DC46" t="s">
        <v>488</v>
      </c>
    </row>
    <row r="47" spans="1:107" ht="12.95" customHeight="1" x14ac:dyDescent="0.25">
      <c r="A47">
        <v>707205</v>
      </c>
      <c r="B47" t="s">
        <v>273</v>
      </c>
      <c r="C47">
        <v>72</v>
      </c>
      <c r="D47">
        <v>65.356999999999999</v>
      </c>
      <c r="E47" t="s">
        <v>470</v>
      </c>
      <c r="H47" t="s">
        <v>271</v>
      </c>
      <c r="I47" t="s">
        <v>447</v>
      </c>
      <c r="K47">
        <v>1900</v>
      </c>
      <c r="L47">
        <v>190790216</v>
      </c>
      <c r="M47" s="237">
        <v>45020</v>
      </c>
      <c r="N47">
        <v>6</v>
      </c>
      <c r="O47">
        <v>2019</v>
      </c>
      <c r="P47" t="s">
        <v>426</v>
      </c>
      <c r="Q47">
        <v>8</v>
      </c>
      <c r="R47" t="s">
        <v>122</v>
      </c>
      <c r="S47" t="s">
        <v>280</v>
      </c>
      <c r="T47">
        <v>0</v>
      </c>
      <c r="U47">
        <v>1</v>
      </c>
      <c r="W47" t="s">
        <v>182</v>
      </c>
      <c r="X47" t="s">
        <v>278</v>
      </c>
      <c r="Y47" t="s">
        <v>439</v>
      </c>
      <c r="Z47" t="s">
        <v>171</v>
      </c>
      <c r="AB47" t="s">
        <v>166</v>
      </c>
      <c r="AC47" t="s">
        <v>263</v>
      </c>
      <c r="AD47" t="s">
        <v>484</v>
      </c>
      <c r="AF47" t="s">
        <v>480</v>
      </c>
      <c r="AG47" t="s">
        <v>260</v>
      </c>
      <c r="AH47" t="s">
        <v>259</v>
      </c>
      <c r="AI47" t="s">
        <v>167</v>
      </c>
      <c r="AJ47" t="s">
        <v>427</v>
      </c>
      <c r="AK47" t="s">
        <v>257</v>
      </c>
      <c r="AL47">
        <v>16</v>
      </c>
      <c r="AM47" t="s">
        <v>286</v>
      </c>
      <c r="AN47" t="s">
        <v>255</v>
      </c>
      <c r="AO47" t="s">
        <v>274</v>
      </c>
      <c r="AP47" t="s">
        <v>438</v>
      </c>
      <c r="AS47" t="s">
        <v>487</v>
      </c>
      <c r="AT47" t="s">
        <v>252</v>
      </c>
      <c r="AU47">
        <v>60</v>
      </c>
      <c r="AV47" t="s">
        <v>283</v>
      </c>
      <c r="AW47" t="s">
        <v>250</v>
      </c>
      <c r="CT47">
        <v>384910.10840000003</v>
      </c>
      <c r="CU47">
        <v>5381729.0603999998</v>
      </c>
      <c r="CV47">
        <v>48.578080319999998</v>
      </c>
      <c r="CW47">
        <v>-94.560396890000007</v>
      </c>
      <c r="CX47" s="89">
        <v>43561.371527777781</v>
      </c>
      <c r="CY47" t="s">
        <v>249</v>
      </c>
      <c r="CZ47" t="s">
        <v>248</v>
      </c>
      <c r="DA47" t="s">
        <v>466</v>
      </c>
      <c r="DB47" t="s">
        <v>415</v>
      </c>
      <c r="DC47" t="s">
        <v>486</v>
      </c>
    </row>
    <row r="48" spans="1:107" ht="12.95" customHeight="1" x14ac:dyDescent="0.25">
      <c r="A48">
        <v>892543</v>
      </c>
      <c r="B48" t="s">
        <v>273</v>
      </c>
      <c r="C48">
        <v>72</v>
      </c>
      <c r="D48">
        <v>66.206999999999994</v>
      </c>
      <c r="E48" t="s">
        <v>470</v>
      </c>
      <c r="H48" t="s">
        <v>271</v>
      </c>
      <c r="I48" t="s">
        <v>447</v>
      </c>
      <c r="K48">
        <v>21320291</v>
      </c>
      <c r="L48">
        <v>210520265</v>
      </c>
      <c r="M48" s="237">
        <v>44959</v>
      </c>
      <c r="N48">
        <v>21</v>
      </c>
      <c r="O48">
        <v>2021</v>
      </c>
      <c r="P48" t="s">
        <v>289</v>
      </c>
      <c r="Q48">
        <v>13</v>
      </c>
      <c r="R48" t="s">
        <v>122</v>
      </c>
      <c r="S48" t="s">
        <v>268</v>
      </c>
      <c r="T48">
        <v>0</v>
      </c>
      <c r="U48">
        <v>1</v>
      </c>
      <c r="W48" t="s">
        <v>182</v>
      </c>
      <c r="X48" t="s">
        <v>278</v>
      </c>
      <c r="Y48" t="s">
        <v>485</v>
      </c>
      <c r="Z48" t="s">
        <v>171</v>
      </c>
      <c r="AB48" t="s">
        <v>166</v>
      </c>
      <c r="AC48" t="s">
        <v>263</v>
      </c>
      <c r="AD48" t="s">
        <v>484</v>
      </c>
      <c r="AF48" t="s">
        <v>480</v>
      </c>
      <c r="AG48" t="s">
        <v>260</v>
      </c>
      <c r="AH48" t="s">
        <v>259</v>
      </c>
      <c r="AI48" t="s">
        <v>276</v>
      </c>
      <c r="AJ48" t="s">
        <v>427</v>
      </c>
      <c r="AK48" t="s">
        <v>257</v>
      </c>
      <c r="AL48">
        <v>60</v>
      </c>
      <c r="AM48" t="s">
        <v>256</v>
      </c>
      <c r="AN48" t="s">
        <v>255</v>
      </c>
      <c r="AO48" t="s">
        <v>429</v>
      </c>
      <c r="AS48" t="s">
        <v>253</v>
      </c>
      <c r="AT48" t="s">
        <v>252</v>
      </c>
      <c r="AU48">
        <v>60</v>
      </c>
      <c r="AV48" t="s">
        <v>283</v>
      </c>
      <c r="AW48" t="s">
        <v>180</v>
      </c>
      <c r="CT48">
        <v>384919.08850000001</v>
      </c>
      <c r="CU48">
        <v>5383096.9999000002</v>
      </c>
      <c r="CV48">
        <v>48.590383760000002</v>
      </c>
      <c r="CW48">
        <v>-94.560653979999998</v>
      </c>
      <c r="CX48" s="89">
        <v>44248.545138888891</v>
      </c>
      <c r="CY48" t="s">
        <v>249</v>
      </c>
      <c r="CZ48" t="s">
        <v>248</v>
      </c>
      <c r="DA48" t="s">
        <v>483</v>
      </c>
      <c r="DB48" t="s">
        <v>246</v>
      </c>
      <c r="DC48" t="s">
        <v>482</v>
      </c>
    </row>
    <row r="49" spans="1:107" ht="12.95" customHeight="1" x14ac:dyDescent="0.25">
      <c r="A49">
        <v>817395</v>
      </c>
      <c r="B49" t="s">
        <v>471</v>
      </c>
      <c r="C49">
        <v>33</v>
      </c>
      <c r="D49">
        <v>8.9999999999999993E-3</v>
      </c>
      <c r="E49" t="s">
        <v>272</v>
      </c>
      <c r="H49" t="s">
        <v>464</v>
      </c>
      <c r="I49" t="s">
        <v>270</v>
      </c>
      <c r="K49">
        <v>20310654</v>
      </c>
      <c r="L49">
        <v>201830062</v>
      </c>
      <c r="M49" s="237">
        <v>45114</v>
      </c>
      <c r="N49">
        <v>1</v>
      </c>
      <c r="O49">
        <v>2020</v>
      </c>
      <c r="P49" t="s">
        <v>269</v>
      </c>
      <c r="Q49">
        <v>1</v>
      </c>
      <c r="R49" t="s">
        <v>172</v>
      </c>
      <c r="S49" t="s">
        <v>280</v>
      </c>
      <c r="T49">
        <v>0</v>
      </c>
      <c r="U49">
        <v>1</v>
      </c>
      <c r="W49" t="s">
        <v>182</v>
      </c>
      <c r="X49" t="s">
        <v>409</v>
      </c>
      <c r="Y49" t="s">
        <v>277</v>
      </c>
      <c r="Z49" t="s">
        <v>164</v>
      </c>
      <c r="AB49" t="s">
        <v>164</v>
      </c>
      <c r="AC49" t="s">
        <v>263</v>
      </c>
      <c r="AD49" t="s">
        <v>475</v>
      </c>
      <c r="AF49" t="s">
        <v>474</v>
      </c>
      <c r="AG49" t="s">
        <v>260</v>
      </c>
      <c r="AH49" t="s">
        <v>259</v>
      </c>
      <c r="AI49" t="s">
        <v>276</v>
      </c>
      <c r="AJ49" t="s">
        <v>275</v>
      </c>
      <c r="AK49" t="s">
        <v>257</v>
      </c>
      <c r="AL49">
        <v>17</v>
      </c>
      <c r="AM49" t="s">
        <v>256</v>
      </c>
      <c r="AN49" t="s">
        <v>411</v>
      </c>
      <c r="AO49" t="s">
        <v>473</v>
      </c>
      <c r="AP49" t="s">
        <v>467</v>
      </c>
      <c r="AS49" t="s">
        <v>253</v>
      </c>
      <c r="AT49" t="s">
        <v>170</v>
      </c>
      <c r="AU49">
        <v>55</v>
      </c>
      <c r="AV49" t="s">
        <v>283</v>
      </c>
      <c r="AW49" t="s">
        <v>250</v>
      </c>
      <c r="CT49">
        <v>457700.61440000002</v>
      </c>
      <c r="CU49">
        <v>5361257.4614000004</v>
      </c>
      <c r="CV49">
        <v>48.403063439999997</v>
      </c>
      <c r="CW49">
        <v>-93.571525460000004</v>
      </c>
      <c r="CX49" s="89">
        <v>44013.041666666664</v>
      </c>
      <c r="CY49" t="s">
        <v>249</v>
      </c>
      <c r="CZ49" t="s">
        <v>248</v>
      </c>
      <c r="DA49" t="s">
        <v>247</v>
      </c>
      <c r="DB49" t="s">
        <v>246</v>
      </c>
      <c r="DC49" s="18" t="s">
        <v>472</v>
      </c>
    </row>
    <row r="50" spans="1:107" ht="12.95" customHeight="1" x14ac:dyDescent="0.25">
      <c r="A50">
        <v>897518</v>
      </c>
      <c r="B50" t="s">
        <v>471</v>
      </c>
      <c r="C50">
        <v>1</v>
      </c>
      <c r="D50">
        <v>1.7999999999999999E-2</v>
      </c>
      <c r="E50" t="s">
        <v>470</v>
      </c>
      <c r="H50" t="s">
        <v>271</v>
      </c>
      <c r="I50" t="s">
        <v>447</v>
      </c>
      <c r="K50">
        <v>21000209</v>
      </c>
      <c r="L50">
        <v>210790156</v>
      </c>
      <c r="M50" s="237">
        <v>44988</v>
      </c>
      <c r="N50">
        <v>20</v>
      </c>
      <c r="O50">
        <v>2021</v>
      </c>
      <c r="P50" t="s">
        <v>426</v>
      </c>
      <c r="Q50">
        <v>4</v>
      </c>
      <c r="R50" t="s">
        <v>172</v>
      </c>
      <c r="S50" t="s">
        <v>280</v>
      </c>
      <c r="T50">
        <v>0</v>
      </c>
      <c r="U50">
        <v>1</v>
      </c>
      <c r="W50" t="s">
        <v>176</v>
      </c>
      <c r="X50" t="s">
        <v>169</v>
      </c>
      <c r="Y50" t="s">
        <v>277</v>
      </c>
      <c r="Z50" t="s">
        <v>179</v>
      </c>
      <c r="AB50" t="s">
        <v>166</v>
      </c>
      <c r="AC50" t="s">
        <v>263</v>
      </c>
      <c r="AD50" t="s">
        <v>469</v>
      </c>
      <c r="AF50" t="s">
        <v>468</v>
      </c>
      <c r="AG50" t="s">
        <v>260</v>
      </c>
      <c r="AH50" t="s">
        <v>259</v>
      </c>
      <c r="AI50" t="s">
        <v>287</v>
      </c>
      <c r="AJ50" t="s">
        <v>275</v>
      </c>
      <c r="AK50" t="s">
        <v>257</v>
      </c>
      <c r="AL50">
        <v>50</v>
      </c>
      <c r="AM50" t="s">
        <v>286</v>
      </c>
      <c r="AN50" t="s">
        <v>419</v>
      </c>
      <c r="AO50" t="s">
        <v>467</v>
      </c>
      <c r="AS50" t="s">
        <v>253</v>
      </c>
      <c r="AT50" t="s">
        <v>170</v>
      </c>
      <c r="AU50">
        <v>55</v>
      </c>
      <c r="AV50" t="s">
        <v>283</v>
      </c>
      <c r="AW50" t="s">
        <v>250</v>
      </c>
      <c r="CT50">
        <v>384692.12109999999</v>
      </c>
      <c r="CU50">
        <v>5372800.9725000001</v>
      </c>
      <c r="CV50">
        <v>48.497749990000003</v>
      </c>
      <c r="CW50">
        <v>-94.560880339999997</v>
      </c>
      <c r="CX50" s="89">
        <v>44275.190972222219</v>
      </c>
      <c r="CY50" t="s">
        <v>249</v>
      </c>
      <c r="CZ50" t="s">
        <v>248</v>
      </c>
      <c r="DA50" t="s">
        <v>466</v>
      </c>
      <c r="DB50" t="s">
        <v>415</v>
      </c>
      <c r="DC50" t="s">
        <v>465</v>
      </c>
    </row>
    <row r="51" spans="1:107" ht="12.95" customHeight="1" x14ac:dyDescent="0.25">
      <c r="A51">
        <v>870256</v>
      </c>
      <c r="B51" t="s">
        <v>410</v>
      </c>
      <c r="C51">
        <v>78</v>
      </c>
      <c r="D51">
        <v>4.0590000000000002</v>
      </c>
      <c r="E51" t="s">
        <v>272</v>
      </c>
      <c r="H51" t="s">
        <v>464</v>
      </c>
      <c r="I51" t="s">
        <v>270</v>
      </c>
      <c r="K51">
        <v>20311321</v>
      </c>
      <c r="L51">
        <v>203570162</v>
      </c>
      <c r="M51" s="237">
        <v>45272</v>
      </c>
      <c r="N51">
        <v>22</v>
      </c>
      <c r="O51">
        <v>2020</v>
      </c>
      <c r="P51" t="s">
        <v>463</v>
      </c>
      <c r="Q51">
        <v>22</v>
      </c>
      <c r="S51" t="s">
        <v>185</v>
      </c>
      <c r="T51">
        <v>1</v>
      </c>
      <c r="U51">
        <v>1</v>
      </c>
      <c r="W51" t="s">
        <v>279</v>
      </c>
      <c r="X51" t="s">
        <v>169</v>
      </c>
      <c r="Y51" t="s">
        <v>277</v>
      </c>
      <c r="Z51" t="s">
        <v>179</v>
      </c>
      <c r="AA51" t="s">
        <v>183</v>
      </c>
      <c r="AB51" t="s">
        <v>183</v>
      </c>
      <c r="AC51" t="s">
        <v>263</v>
      </c>
      <c r="AD51" t="s">
        <v>462</v>
      </c>
      <c r="AF51" t="s">
        <v>461</v>
      </c>
      <c r="AG51" t="s">
        <v>260</v>
      </c>
      <c r="AH51" t="s">
        <v>259</v>
      </c>
      <c r="AI51" t="s">
        <v>167</v>
      </c>
      <c r="AJ51" t="s">
        <v>427</v>
      </c>
      <c r="AK51" t="s">
        <v>257</v>
      </c>
      <c r="AL51">
        <v>63</v>
      </c>
      <c r="AM51" t="s">
        <v>286</v>
      </c>
      <c r="AN51" t="s">
        <v>419</v>
      </c>
      <c r="AO51" t="s">
        <v>254</v>
      </c>
      <c r="AP51" t="s">
        <v>460</v>
      </c>
      <c r="AS51" t="s">
        <v>253</v>
      </c>
      <c r="AT51" t="s">
        <v>252</v>
      </c>
      <c r="AU51">
        <v>60</v>
      </c>
      <c r="AV51" t="s">
        <v>417</v>
      </c>
      <c r="AW51" t="s">
        <v>250</v>
      </c>
      <c r="CT51">
        <v>453723.62599999999</v>
      </c>
      <c r="CU51">
        <v>5358965.8812999995</v>
      </c>
      <c r="CV51">
        <v>48.382168870000001</v>
      </c>
      <c r="CW51">
        <v>-93.625003789999994</v>
      </c>
      <c r="CX51" s="89">
        <v>44187.956250000003</v>
      </c>
      <c r="CY51" t="s">
        <v>249</v>
      </c>
      <c r="CZ51" t="s">
        <v>248</v>
      </c>
      <c r="DA51" t="s">
        <v>247</v>
      </c>
      <c r="DB51" t="s">
        <v>246</v>
      </c>
      <c r="DC51" t="s">
        <v>459</v>
      </c>
    </row>
    <row r="52" spans="1:107" ht="12.95" customHeight="1" x14ac:dyDescent="0.25">
      <c r="A52">
        <v>1055757</v>
      </c>
      <c r="B52" t="s">
        <v>458</v>
      </c>
      <c r="C52">
        <v>505</v>
      </c>
      <c r="D52">
        <v>0.313</v>
      </c>
      <c r="E52" t="s">
        <v>449</v>
      </c>
      <c r="G52" t="s">
        <v>457</v>
      </c>
      <c r="H52" t="s">
        <v>271</v>
      </c>
      <c r="I52" t="s">
        <v>447</v>
      </c>
      <c r="K52" t="s">
        <v>456</v>
      </c>
      <c r="L52">
        <v>223080035</v>
      </c>
      <c r="M52" s="237">
        <v>45241</v>
      </c>
      <c r="N52">
        <v>4</v>
      </c>
      <c r="O52">
        <v>2022</v>
      </c>
      <c r="P52" t="s">
        <v>293</v>
      </c>
      <c r="Q52">
        <v>8</v>
      </c>
      <c r="R52" t="s">
        <v>168</v>
      </c>
      <c r="S52" t="s">
        <v>268</v>
      </c>
      <c r="T52">
        <v>0</v>
      </c>
      <c r="U52">
        <v>1</v>
      </c>
      <c r="W52" t="s">
        <v>413</v>
      </c>
      <c r="X52" t="s">
        <v>278</v>
      </c>
      <c r="Y52" t="s">
        <v>165</v>
      </c>
      <c r="Z52" t="s">
        <v>171</v>
      </c>
      <c r="AB52" t="s">
        <v>455</v>
      </c>
      <c r="AC52" t="s">
        <v>263</v>
      </c>
      <c r="AD52" t="s">
        <v>454</v>
      </c>
      <c r="AE52" t="s">
        <v>453</v>
      </c>
      <c r="AF52" t="s">
        <v>452</v>
      </c>
      <c r="AG52" t="s">
        <v>260</v>
      </c>
      <c r="AH52" t="s">
        <v>259</v>
      </c>
      <c r="AI52" t="s">
        <v>287</v>
      </c>
      <c r="AJ52" t="s">
        <v>427</v>
      </c>
      <c r="AK52" t="s">
        <v>257</v>
      </c>
      <c r="AL52">
        <v>65</v>
      </c>
      <c r="AM52" t="s">
        <v>286</v>
      </c>
      <c r="AN52" t="s">
        <v>411</v>
      </c>
      <c r="AO52" t="s">
        <v>438</v>
      </c>
      <c r="AS52" t="s">
        <v>253</v>
      </c>
      <c r="AT52" t="s">
        <v>252</v>
      </c>
      <c r="AU52">
        <v>30</v>
      </c>
      <c r="AV52" t="s">
        <v>283</v>
      </c>
      <c r="AW52" t="s">
        <v>250</v>
      </c>
      <c r="CT52">
        <v>387210.48580000002</v>
      </c>
      <c r="CU52">
        <v>5334565.3298000004</v>
      </c>
      <c r="CV52">
        <v>48.154334949999999</v>
      </c>
      <c r="CW52">
        <v>-94.516571319999997</v>
      </c>
      <c r="CX52" s="89">
        <v>44869.334722222222</v>
      </c>
      <c r="CY52" t="s">
        <v>249</v>
      </c>
      <c r="CZ52" t="s">
        <v>248</v>
      </c>
      <c r="DA52" t="s">
        <v>451</v>
      </c>
      <c r="DB52" t="s">
        <v>415</v>
      </c>
      <c r="DC52" t="s">
        <v>450</v>
      </c>
    </row>
    <row r="59" spans="1:107" ht="10.5" customHeight="1" x14ac:dyDescent="0.25"/>
    <row r="61" spans="1:107" ht="12.95" customHeight="1" x14ac:dyDescent="0.25">
      <c r="A61" s="238" t="s">
        <v>389</v>
      </c>
      <c r="B61" t="s">
        <v>442</v>
      </c>
    </row>
    <row r="63" spans="1:107" ht="12.95" customHeight="1" x14ac:dyDescent="0.25">
      <c r="A63" s="238" t="s">
        <v>440</v>
      </c>
      <c r="B63" t="s">
        <v>443</v>
      </c>
    </row>
    <row r="64" spans="1:107" ht="12.95" customHeight="1" x14ac:dyDescent="0.25">
      <c r="A64" s="15" t="s">
        <v>185</v>
      </c>
      <c r="B64">
        <v>5</v>
      </c>
    </row>
    <row r="65" spans="1:2" ht="12.95" customHeight="1" x14ac:dyDescent="0.25">
      <c r="A65" s="15" t="s">
        <v>288</v>
      </c>
      <c r="B65">
        <v>9</v>
      </c>
    </row>
    <row r="66" spans="1:2" ht="12.95" customHeight="1" x14ac:dyDescent="0.25">
      <c r="A66" s="15" t="s">
        <v>184</v>
      </c>
      <c r="B66">
        <v>13</v>
      </c>
    </row>
    <row r="67" spans="1:2" ht="12.95" customHeight="1" x14ac:dyDescent="0.25">
      <c r="A67" s="15" t="s">
        <v>280</v>
      </c>
      <c r="B67">
        <v>23</v>
      </c>
    </row>
    <row r="68" spans="1:2" ht="12.95" customHeight="1" x14ac:dyDescent="0.25">
      <c r="A68" s="15" t="s">
        <v>268</v>
      </c>
      <c r="B68">
        <v>81</v>
      </c>
    </row>
    <row r="69" spans="1:2" ht="12.95" customHeight="1" x14ac:dyDescent="0.25">
      <c r="A69" s="15" t="s">
        <v>441</v>
      </c>
      <c r="B69">
        <v>131</v>
      </c>
    </row>
    <row r="71" spans="1:2" ht="12.95" customHeight="1" x14ac:dyDescent="0.25">
      <c r="A71" s="1" t="s">
        <v>572</v>
      </c>
    </row>
    <row r="72" spans="1:2" ht="12.95" customHeight="1" x14ac:dyDescent="0.25">
      <c r="A72" s="24" t="s">
        <v>17</v>
      </c>
      <c r="B72" s="24">
        <v>3</v>
      </c>
    </row>
    <row r="73" spans="1:2" ht="12.95" customHeight="1" x14ac:dyDescent="0.25">
      <c r="A73" s="24" t="s">
        <v>18</v>
      </c>
      <c r="B73" s="24">
        <v>4</v>
      </c>
    </row>
    <row r="74" spans="1:2" ht="12.95" customHeight="1" x14ac:dyDescent="0.25">
      <c r="A74" s="24" t="s">
        <v>19</v>
      </c>
      <c r="B74" s="24">
        <v>3</v>
      </c>
    </row>
    <row r="75" spans="1:2" ht="12.95" customHeight="1" x14ac:dyDescent="0.25">
      <c r="A75" s="24" t="s">
        <v>20</v>
      </c>
      <c r="B75" s="24">
        <v>12</v>
      </c>
    </row>
    <row r="76" spans="1:2" ht="12.95" customHeight="1" x14ac:dyDescent="0.25">
      <c r="A76" s="24" t="s">
        <v>73</v>
      </c>
      <c r="B76" s="24">
        <v>29</v>
      </c>
    </row>
  </sheetData>
  <autoFilter ref="O1:O76" xr:uid="{2A56FED0-27EA-4F84-8245-FFFB4E37213C}"/>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76051-DA4C-4499-AC93-BBA9B8C74320}">
  <sheetPr codeName="Sheet4">
    <tabColor theme="6" tint="0.79998168889431442"/>
    <pageSetUpPr fitToPage="1"/>
  </sheetPr>
  <dimension ref="A1:AD76"/>
  <sheetViews>
    <sheetView view="pageBreakPreview" topLeftCell="F9" zoomScale="70" zoomScaleNormal="40" zoomScaleSheetLayoutView="70" zoomScalePageLayoutView="55" workbookViewId="0">
      <selection activeCell="N31" sqref="N31"/>
    </sheetView>
  </sheetViews>
  <sheetFormatPr defaultRowHeight="15" outlineLevelRow="1" x14ac:dyDescent="0.25"/>
  <cols>
    <col min="1" max="1" width="3.7109375" customWidth="1"/>
    <col min="2" max="2" width="20.7109375" customWidth="1"/>
    <col min="3" max="3" width="28.85546875" customWidth="1"/>
    <col min="4" max="5" width="20.7109375" customWidth="1"/>
    <col min="6" max="6" width="29.42578125" customWidth="1"/>
    <col min="7" max="8" width="20.7109375" customWidth="1"/>
    <col min="9" max="9" width="5.7109375" customWidth="1"/>
    <col min="10" max="10" width="3" customWidth="1"/>
    <col min="11" max="11" width="39.140625" customWidth="1"/>
    <col min="12" max="12" width="29.28515625" bestFit="1" customWidth="1"/>
    <col min="13" max="13" width="39.140625" customWidth="1"/>
    <col min="14" max="14" width="29.28515625" bestFit="1" customWidth="1"/>
    <col min="15" max="15" width="29.28515625" customWidth="1"/>
    <col min="16" max="28" width="23" customWidth="1"/>
    <col min="29" max="31" width="23.28515625" customWidth="1"/>
    <col min="32" max="32" width="29.28515625" bestFit="1" customWidth="1"/>
    <col min="33" max="33" width="23.28515625" customWidth="1"/>
    <col min="34" max="35" width="29.28515625" bestFit="1" customWidth="1"/>
    <col min="36" max="38" width="10.7109375" customWidth="1"/>
  </cols>
  <sheetData>
    <row r="1" spans="2:30" ht="14.25" customHeight="1" x14ac:dyDescent="0.25">
      <c r="B1" s="47"/>
      <c r="C1" s="47"/>
      <c r="D1" s="47"/>
      <c r="E1" s="47"/>
      <c r="F1" s="47"/>
      <c r="G1" s="47"/>
      <c r="H1" s="47"/>
    </row>
    <row r="2" spans="2:30" x14ac:dyDescent="0.25">
      <c r="B2" s="1" t="s">
        <v>611</v>
      </c>
      <c r="C2" s="1"/>
    </row>
    <row r="3" spans="2:30" ht="15.75" thickBot="1" x14ac:dyDescent="0.3">
      <c r="K3" s="15"/>
    </row>
    <row r="4" spans="2:30" ht="35.1" customHeight="1" x14ac:dyDescent="0.25">
      <c r="B4" s="709" t="s">
        <v>0</v>
      </c>
      <c r="C4" s="711" t="s">
        <v>60</v>
      </c>
      <c r="D4" s="713" t="s">
        <v>47</v>
      </c>
      <c r="E4" s="711" t="s">
        <v>61</v>
      </c>
      <c r="F4" s="713" t="s">
        <v>48</v>
      </c>
      <c r="G4" s="715" t="s">
        <v>27</v>
      </c>
      <c r="H4" s="706" t="s">
        <v>1</v>
      </c>
      <c r="K4" s="53"/>
    </row>
    <row r="5" spans="2:30" ht="43.5" customHeight="1" thickBot="1" x14ac:dyDescent="0.3">
      <c r="B5" s="710"/>
      <c r="C5" s="712"/>
      <c r="D5" s="714"/>
      <c r="E5" s="712"/>
      <c r="F5" s="714"/>
      <c r="G5" s="716"/>
      <c r="H5" s="707"/>
      <c r="K5" s="708" t="s">
        <v>57</v>
      </c>
      <c r="L5" s="708"/>
      <c r="M5" s="30"/>
      <c r="P5" s="1" t="s">
        <v>607</v>
      </c>
      <c r="Q5" s="1"/>
    </row>
    <row r="6" spans="2:30" ht="15" customHeight="1" thickBot="1" x14ac:dyDescent="0.3">
      <c r="B6" s="91">
        <f>Assumptions!$D$14</f>
        <v>2026</v>
      </c>
      <c r="C6" s="149">
        <f t="shared" ref="C6:C41" si="0">IFERROR(_xlfn.XLOOKUP($B6,$P$8:$P$43,$S$8:$S$43,0,0,1),0)</f>
        <v>0</v>
      </c>
      <c r="D6" s="150">
        <f t="shared" ref="D6:D41" si="1">IFERROR(_xlfn.XLOOKUP($B6,$P$8:$P$43,$T$8:$T$43,0,0,1),0)</f>
        <v>0</v>
      </c>
      <c r="E6" s="149">
        <f t="shared" ref="E6:E41" si="2">IFERROR(_xlfn.XLOOKUP($B6,$P$8:$P$43,$W$8:$W$43,0,0,1),0)</f>
        <v>0</v>
      </c>
      <c r="F6" s="150">
        <f t="shared" ref="F6:F41" si="3">IFERROR(_xlfn.XLOOKUP($B6,$P$8:$P$43,$X$8:$X$43,0,0,1),0)</f>
        <v>0</v>
      </c>
      <c r="G6" s="151">
        <f t="shared" ref="G6:G41" si="4">D6-F6</f>
        <v>0</v>
      </c>
      <c r="H6" s="152">
        <f>G6*(1+0.07)^-(B6-Assumptions!$D$11)</f>
        <v>0</v>
      </c>
      <c r="K6" s="25" t="s">
        <v>54</v>
      </c>
      <c r="L6" s="609">
        <f>Assumptions!$D$26</f>
        <v>18.8</v>
      </c>
      <c r="Q6" s="703" t="s">
        <v>33</v>
      </c>
      <c r="R6" s="704"/>
      <c r="S6" s="704"/>
      <c r="T6" s="705"/>
      <c r="U6" s="703" t="s">
        <v>14</v>
      </c>
      <c r="V6" s="704"/>
      <c r="W6" s="704"/>
      <c r="X6" s="705"/>
      <c r="Y6" s="703" t="s">
        <v>116</v>
      </c>
      <c r="Z6" s="704"/>
      <c r="AA6" s="704"/>
      <c r="AB6" s="705"/>
      <c r="AD6" s="1"/>
    </row>
    <row r="7" spans="2:30" ht="15.75" thickBot="1" x14ac:dyDescent="0.3">
      <c r="B7" s="105">
        <f>B6+1</f>
        <v>2027</v>
      </c>
      <c r="C7" s="153">
        <f t="shared" si="0"/>
        <v>0</v>
      </c>
      <c r="D7" s="150">
        <f t="shared" si="1"/>
        <v>0</v>
      </c>
      <c r="E7" s="153">
        <f t="shared" si="2"/>
        <v>0</v>
      </c>
      <c r="F7" s="154">
        <f t="shared" si="3"/>
        <v>0</v>
      </c>
      <c r="G7" s="155">
        <f t="shared" si="4"/>
        <v>0</v>
      </c>
      <c r="H7" s="156">
        <f>G7*(1+0.07)^-(B7-Assumptions!$D$11)</f>
        <v>0</v>
      </c>
      <c r="K7" s="25" t="s">
        <v>49</v>
      </c>
      <c r="L7" s="609">
        <f>Assumptions!D$27</f>
        <v>34</v>
      </c>
      <c r="P7" s="79" t="s">
        <v>30</v>
      </c>
      <c r="Q7" s="80" t="s">
        <v>133</v>
      </c>
      <c r="R7" s="77" t="s">
        <v>134</v>
      </c>
      <c r="S7" s="76" t="s">
        <v>139</v>
      </c>
      <c r="T7" s="81" t="s">
        <v>135</v>
      </c>
      <c r="U7" s="80" t="s">
        <v>133</v>
      </c>
      <c r="V7" s="77" t="s">
        <v>134</v>
      </c>
      <c r="W7" s="76" t="s">
        <v>139</v>
      </c>
      <c r="X7" s="81" t="s">
        <v>135</v>
      </c>
      <c r="Y7" s="80" t="s">
        <v>136</v>
      </c>
      <c r="Z7" s="77" t="s">
        <v>137</v>
      </c>
      <c r="AA7" s="76" t="s">
        <v>140</v>
      </c>
      <c r="AB7" s="81" t="s">
        <v>138</v>
      </c>
    </row>
    <row r="8" spans="2:30" x14ac:dyDescent="0.25">
      <c r="B8" s="105">
        <f t="shared" ref="B8:B41" si="5">B7+1</f>
        <v>2028</v>
      </c>
      <c r="C8" s="153">
        <f t="shared" si="0"/>
        <v>226427.38934523822</v>
      </c>
      <c r="D8" s="150">
        <f t="shared" si="1"/>
        <v>7392383.9898518492</v>
      </c>
      <c r="E8" s="153">
        <f t="shared" si="2"/>
        <v>109459.9249553571</v>
      </c>
      <c r="F8" s="154">
        <f t="shared" si="3"/>
        <v>3568563.8245390165</v>
      </c>
      <c r="G8" s="155">
        <f t="shared" si="4"/>
        <v>3823820.1653128327</v>
      </c>
      <c r="H8" s="156">
        <f>G8*(1+0.07)^-(B8-Assumptions!$D$11)</f>
        <v>2381283.0209616609</v>
      </c>
      <c r="J8" s="16"/>
      <c r="P8" s="91">
        <v>2025</v>
      </c>
      <c r="Q8" s="616">
        <f>IF(P8&gt;=(Assumptions!$D$33),IF(P8&lt;=Assumptions!$D$15,IF(P8&gt;=Assumptions!$D$33,TREND($L$35:$L$36,$K$35:$K$36,P8),0),0),0)</f>
        <v>0</v>
      </c>
      <c r="R8" s="617">
        <f>IF(P8&gt;=(Assumptions!$D$33),IF(P8&lt;=Assumptions!$D$15,IF(P8&gt;=Assumptions!$D$33,TREND($L$40:$L$41,$K$40:$K$41,P8),0),0),0)</f>
        <v>0</v>
      </c>
      <c r="S8" s="618">
        <f>SUM(Q8:R8)</f>
        <v>0</v>
      </c>
      <c r="T8" s="619">
        <f t="shared" ref="T8:T43" si="6">($L$6*$L$20*Q8)+($L$7*$L$21*R8)</f>
        <v>0</v>
      </c>
      <c r="U8" s="616">
        <f>IF(P8&gt;=(Assumptions!$D$33),IF(P8&lt;=Assumptions!$D$15,IF(P8&gt;=Assumptions!$D$33,TREND($L$45:$L$46,$K$45:$K$46,P8),0),0),0)</f>
        <v>0</v>
      </c>
      <c r="V8" s="617">
        <f>IF(P8&gt;=(Assumptions!$D$33),IF(P8&lt;=Assumptions!$D$15,IF(P8&gt;=Assumptions!$D$33,TREND($L$50:$L$51,$K$50:$K$51,P8),0),0),0)</f>
        <v>0</v>
      </c>
      <c r="W8" s="618">
        <f>SUM(U8:V8)</f>
        <v>0</v>
      </c>
      <c r="X8" s="619">
        <f t="shared" ref="X8:X43" si="7">($L$6*$L$20*U8)+($L$7*$L$21*V8)</f>
        <v>0</v>
      </c>
      <c r="Y8" s="620">
        <f>Q8-U8</f>
        <v>0</v>
      </c>
      <c r="Z8" s="617">
        <f>R8-V8</f>
        <v>0</v>
      </c>
      <c r="AA8" s="618">
        <f>S8-W8</f>
        <v>0</v>
      </c>
      <c r="AB8" s="619">
        <f>T8-X8</f>
        <v>0</v>
      </c>
    </row>
    <row r="9" spans="2:30" ht="15" customHeight="1" x14ac:dyDescent="0.25">
      <c r="B9" s="105">
        <f t="shared" si="5"/>
        <v>2029</v>
      </c>
      <c r="C9" s="153">
        <f t="shared" si="0"/>
        <v>227415.19666666677</v>
      </c>
      <c r="D9" s="150">
        <f t="shared" si="1"/>
        <v>7424633.8472966701</v>
      </c>
      <c r="E9" s="153">
        <f t="shared" si="2"/>
        <v>109937.45250000001</v>
      </c>
      <c r="F9" s="154">
        <f t="shared" si="3"/>
        <v>3584131.9653150002</v>
      </c>
      <c r="G9" s="155">
        <f t="shared" si="4"/>
        <v>3840501.8819816699</v>
      </c>
      <c r="H9" s="156">
        <f>G9*(1+0.07)^-(B9-Assumptions!$D$11)</f>
        <v>2235207.0614124965</v>
      </c>
      <c r="K9" s="19" t="s">
        <v>58</v>
      </c>
      <c r="L9" s="19"/>
      <c r="P9" s="105">
        <v>2026</v>
      </c>
      <c r="Q9" s="621">
        <f>IF(P9&gt;=(Assumptions!$D$33),IF(P9&lt;=Assumptions!$D$15,IF(P9&gt;=Assumptions!$D$33,TREND($L$35:$L$36,$K$35:$K$36,P9),0),0),0)</f>
        <v>0</v>
      </c>
      <c r="R9" s="622">
        <f>IF(P9&gt;=(Assumptions!$D$33),IF(P9&lt;=Assumptions!$D$15,IF(P9&gt;=Assumptions!$D$33,TREND($L$40:$L$41,$K$40:$K$41,P9),0),0),0)</f>
        <v>0</v>
      </c>
      <c r="S9" s="623">
        <f t="shared" ref="S9:S43" si="8">SUM(Q9:R9)</f>
        <v>0</v>
      </c>
      <c r="T9" s="624">
        <f t="shared" si="6"/>
        <v>0</v>
      </c>
      <c r="U9" s="621">
        <f>IF(P9&gt;=(Assumptions!$D$33),IF(P9&lt;=Assumptions!$D$15,IF(P9&gt;=Assumptions!$D$33,TREND($L$45:$L$46,$K$45:$K$46,P9),0),0),0)</f>
        <v>0</v>
      </c>
      <c r="V9" s="622">
        <f>IF(P9&gt;=(Assumptions!$D$33),IF(P9&lt;=Assumptions!$D$15,IF(P9&gt;=Assumptions!$D$33,TREND($L$50:$L$51,$K$50:$K$51,P9),0),0),0)</f>
        <v>0</v>
      </c>
      <c r="W9" s="623">
        <f t="shared" ref="W9:W43" si="9">SUM(U9:V9)</f>
        <v>0</v>
      </c>
      <c r="X9" s="624">
        <f t="shared" si="7"/>
        <v>0</v>
      </c>
      <c r="Y9" s="625">
        <f t="shared" ref="Y9:Y43" si="10">Q9-U9</f>
        <v>0</v>
      </c>
      <c r="Z9" s="622">
        <f t="shared" ref="Z9:Z43" si="11">R9-V9</f>
        <v>0</v>
      </c>
      <c r="AA9" s="623">
        <f t="shared" ref="AA9:AA43" si="12">S9-W9</f>
        <v>0</v>
      </c>
      <c r="AB9" s="624">
        <f t="shared" ref="AB9:AB43" si="13">T9-X9</f>
        <v>0</v>
      </c>
    </row>
    <row r="10" spans="2:30" x14ac:dyDescent="0.25">
      <c r="B10" s="105">
        <f t="shared" si="5"/>
        <v>2030</v>
      </c>
      <c r="C10" s="153">
        <f t="shared" si="0"/>
        <v>228403.00398809544</v>
      </c>
      <c r="D10" s="150">
        <f t="shared" si="1"/>
        <v>7456883.7047414947</v>
      </c>
      <c r="E10" s="153">
        <f t="shared" si="2"/>
        <v>110414.98004464287</v>
      </c>
      <c r="F10" s="154">
        <f t="shared" si="3"/>
        <v>3599700.1060909824</v>
      </c>
      <c r="G10" s="155">
        <f t="shared" si="4"/>
        <v>3857183.5986505123</v>
      </c>
      <c r="H10" s="156">
        <f>G10*(1+0.07)^-(B10-Assumptions!$D$11)</f>
        <v>2098052.3106481656</v>
      </c>
      <c r="K10" s="25" t="s">
        <v>55</v>
      </c>
      <c r="L10" s="610">
        <f>Assumptions!$D$20</f>
        <v>0.7767857142857143</v>
      </c>
      <c r="P10" s="105">
        <v>2027</v>
      </c>
      <c r="Q10" s="621">
        <f>IF(P10&gt;=(Assumptions!$D$33),IF(P10&lt;=Assumptions!$D$15,IF(P10&gt;=Assumptions!$D$33,TREND($L$35:$L$36,$K$35:$K$36,P10),0),0),0)</f>
        <v>0</v>
      </c>
      <c r="R10" s="622">
        <f>IF(P10&gt;=(Assumptions!$D$33),IF(P10&lt;=Assumptions!$D$15,IF(P10&gt;=Assumptions!$D$33,TREND($L$40:$L$41,$K$40:$K$41,P10),0),0),0)</f>
        <v>0</v>
      </c>
      <c r="S10" s="623">
        <f t="shared" si="8"/>
        <v>0</v>
      </c>
      <c r="T10" s="624">
        <f t="shared" si="6"/>
        <v>0</v>
      </c>
      <c r="U10" s="621">
        <f>IF(P10&gt;=(Assumptions!$D$33),IF(P10&lt;=Assumptions!$D$15,IF(P10&gt;=Assumptions!$D$33,TREND($L$45:$L$46,$K$45:$K$46,P10),0),0),0)</f>
        <v>0</v>
      </c>
      <c r="V10" s="622">
        <f>IF(P10&gt;=(Assumptions!$D$33),IF(P10&lt;=Assumptions!$D$15,IF(P10&gt;=Assumptions!$D$33,TREND($L$50:$L$51,$K$50:$K$51,P10),0),0),0)</f>
        <v>0</v>
      </c>
      <c r="W10" s="623">
        <f t="shared" si="9"/>
        <v>0</v>
      </c>
      <c r="X10" s="624">
        <f t="shared" si="7"/>
        <v>0</v>
      </c>
      <c r="Y10" s="625">
        <f t="shared" si="10"/>
        <v>0</v>
      </c>
      <c r="Z10" s="622">
        <f t="shared" si="11"/>
        <v>0</v>
      </c>
      <c r="AA10" s="623">
        <f t="shared" si="12"/>
        <v>0</v>
      </c>
      <c r="AB10" s="624">
        <f t="shared" si="13"/>
        <v>0</v>
      </c>
    </row>
    <row r="11" spans="2:30" x14ac:dyDescent="0.25">
      <c r="B11" s="105">
        <f t="shared" si="5"/>
        <v>2031</v>
      </c>
      <c r="C11" s="153">
        <f t="shared" si="0"/>
        <v>229390.81130952388</v>
      </c>
      <c r="D11" s="150">
        <f t="shared" si="1"/>
        <v>7489133.5621863119</v>
      </c>
      <c r="E11" s="153">
        <f t="shared" si="2"/>
        <v>110892.50758928573</v>
      </c>
      <c r="F11" s="154">
        <f t="shared" si="3"/>
        <v>3615268.2468669647</v>
      </c>
      <c r="G11" s="155">
        <f t="shared" si="4"/>
        <v>3873865.3153193472</v>
      </c>
      <c r="H11" s="156">
        <f>G11*(1+0.07)^-(B11-Assumptions!$D$11)</f>
        <v>1969276.6908678254</v>
      </c>
      <c r="K11" s="25" t="s">
        <v>50</v>
      </c>
      <c r="L11" s="610">
        <f>Assumptions!$D$19</f>
        <v>0.22321428571428573</v>
      </c>
      <c r="P11" s="105">
        <v>2028</v>
      </c>
      <c r="Q11" s="621">
        <f>IF(P11&gt;=(Assumptions!$D$33),IF(P11&lt;=Assumptions!$D$15,IF(P11&gt;=Assumptions!$D$33,TREND($L$35:$L$36,$K$35:$K$36,P11),0),0),0)</f>
        <v>117568.06754464284</v>
      </c>
      <c r="R11" s="622">
        <f>IF(P11&gt;=(Assumptions!$D$33),IF(P11&lt;=Assumptions!$D$15,IF(P11&gt;=Assumptions!$D$33,TREND($L$40:$L$41,$K$40:$K$41,P11),0),0),0)</f>
        <v>108859.32180059538</v>
      </c>
      <c r="S11" s="623">
        <f t="shared" si="8"/>
        <v>226427.38934523822</v>
      </c>
      <c r="T11" s="624">
        <f t="shared" si="6"/>
        <v>7392383.9898518492</v>
      </c>
      <c r="U11" s="621">
        <f>IF(P11&gt;=(Assumptions!$D$33),IF(P11&lt;=Assumptions!$D$15,IF(P11&gt;=Assumptions!$D$33,TREND($L$45:$L$46,$K$45:$K$46,P11),0),0),0)</f>
        <v>58784.033772321418</v>
      </c>
      <c r="V11" s="622">
        <f>IF(P11&gt;=(Assumptions!$D$33),IF(P11&lt;=Assumptions!$D$15,IF(P11&gt;=Assumptions!$D$33,TREND($L$50:$L$51,$K$50:$K$51,P11),0),0),0)</f>
        <v>50675.891183035681</v>
      </c>
      <c r="W11" s="623">
        <f t="shared" si="9"/>
        <v>109459.9249553571</v>
      </c>
      <c r="X11" s="624">
        <f t="shared" si="7"/>
        <v>3568563.8245390165</v>
      </c>
      <c r="Y11" s="625">
        <f t="shared" si="10"/>
        <v>58784.033772321418</v>
      </c>
      <c r="Z11" s="622">
        <f t="shared" si="11"/>
        <v>58183.430617559701</v>
      </c>
      <c r="AA11" s="623">
        <f t="shared" si="12"/>
        <v>116967.46438988112</v>
      </c>
      <c r="AB11" s="624">
        <f t="shared" si="13"/>
        <v>3823820.1653128327</v>
      </c>
    </row>
    <row r="12" spans="2:30" x14ac:dyDescent="0.25">
      <c r="B12" s="105">
        <f t="shared" si="5"/>
        <v>2032</v>
      </c>
      <c r="C12" s="153">
        <f t="shared" si="0"/>
        <v>230378.61863095255</v>
      </c>
      <c r="D12" s="150">
        <f t="shared" si="1"/>
        <v>7521383.4196311366</v>
      </c>
      <c r="E12" s="153">
        <f t="shared" si="2"/>
        <v>111370.03513392858</v>
      </c>
      <c r="F12" s="154">
        <f t="shared" si="3"/>
        <v>3630836.387642947</v>
      </c>
      <c r="G12" s="155">
        <f t="shared" si="4"/>
        <v>3890547.0319881896</v>
      </c>
      <c r="H12" s="156">
        <f>G12*(1+0.07)^-(B12-Assumptions!$D$11)</f>
        <v>1848370.8689046947</v>
      </c>
      <c r="N12" s="253"/>
      <c r="O12" s="254"/>
      <c r="P12" s="105">
        <v>2029</v>
      </c>
      <c r="Q12" s="621">
        <f>IF(P12&gt;=(Assumptions!$D$33),IF(P12&lt;=Assumptions!$D$15,IF(P12&gt;=Assumptions!$D$33,TREND($L$35:$L$36,$K$35:$K$36,P12),0),0),0)</f>
        <v>118080.96750000003</v>
      </c>
      <c r="R12" s="622">
        <f>IF(P12&gt;=(Assumptions!$D$33),IF(P12&lt;=Assumptions!$D$15,IF(P12&gt;=Assumptions!$D$33,TREND($L$40:$L$41,$K$40:$K$41,P12),0),0),0)</f>
        <v>109334.22916666674</v>
      </c>
      <c r="S12" s="623">
        <f t="shared" si="8"/>
        <v>227415.19666666677</v>
      </c>
      <c r="T12" s="624">
        <f t="shared" si="6"/>
        <v>7424633.8472966701</v>
      </c>
      <c r="U12" s="621">
        <f>IF(P12&gt;=(Assumptions!$D$33),IF(P12&lt;=Assumptions!$D$15,IF(P12&gt;=Assumptions!$D$33,TREND($L$45:$L$46,$K$45:$K$46,P12),0),0),0)</f>
        <v>59040.483750000014</v>
      </c>
      <c r="V12" s="622">
        <f>IF(P12&gt;=(Assumptions!$D$33),IF(P12&lt;=Assumptions!$D$15,IF(P12&gt;=Assumptions!$D$33,TREND($L$50:$L$51,$K$50:$K$51,P12),0),0),0)</f>
        <v>50896.96875</v>
      </c>
      <c r="W12" s="623">
        <f t="shared" si="9"/>
        <v>109937.45250000001</v>
      </c>
      <c r="X12" s="624">
        <f t="shared" si="7"/>
        <v>3584131.9653150002</v>
      </c>
      <c r="Y12" s="625">
        <f t="shared" si="10"/>
        <v>59040.483750000014</v>
      </c>
      <c r="Z12" s="622">
        <f t="shared" si="11"/>
        <v>58437.260416666744</v>
      </c>
      <c r="AA12" s="623">
        <f t="shared" si="12"/>
        <v>117477.74416666676</v>
      </c>
      <c r="AB12" s="624">
        <f t="shared" si="13"/>
        <v>3840501.8819816699</v>
      </c>
    </row>
    <row r="13" spans="2:30" ht="15" customHeight="1" x14ac:dyDescent="0.25">
      <c r="B13" s="105">
        <f t="shared" si="5"/>
        <v>2033</v>
      </c>
      <c r="C13" s="153">
        <f t="shared" si="0"/>
        <v>231366.42595238099</v>
      </c>
      <c r="D13" s="150">
        <f t="shared" si="1"/>
        <v>7553633.2770759538</v>
      </c>
      <c r="E13" s="153">
        <f t="shared" si="2"/>
        <v>111847.56267857144</v>
      </c>
      <c r="F13" s="154">
        <f t="shared" si="3"/>
        <v>3646404.5284189293</v>
      </c>
      <c r="G13" s="155">
        <f t="shared" si="4"/>
        <v>3907228.7486570245</v>
      </c>
      <c r="H13" s="156">
        <f>G13*(1+0.07)^-(B13-Assumptions!$D$11)</f>
        <v>1734856.2918929318</v>
      </c>
      <c r="K13" s="1" t="s">
        <v>598</v>
      </c>
      <c r="L13" s="201"/>
      <c r="O13" s="254"/>
      <c r="P13" s="105">
        <v>2030</v>
      </c>
      <c r="Q13" s="621">
        <f>IF(P13&gt;=(Assumptions!$D$33),IF(P13&lt;=Assumptions!$D$15,IF(P13&gt;=Assumptions!$D$33,TREND($L$35:$L$36,$K$35:$K$36,P13),0),0),0)</f>
        <v>118593.86745535722</v>
      </c>
      <c r="R13" s="622">
        <f>IF(P13&gt;=(Assumptions!$D$33),IF(P13&lt;=Assumptions!$D$15,IF(P13&gt;=Assumptions!$D$33,TREND($L$40:$L$41,$K$40:$K$41,P13),0),0),0)</f>
        <v>109809.13653273822</v>
      </c>
      <c r="S13" s="623">
        <f t="shared" si="8"/>
        <v>228403.00398809544</v>
      </c>
      <c r="T13" s="624">
        <f t="shared" si="6"/>
        <v>7456883.7047414947</v>
      </c>
      <c r="U13" s="621">
        <f>IF(P13&gt;=(Assumptions!$D$33),IF(P13&lt;=Assumptions!$D$15,IF(P13&gt;=Assumptions!$D$33,TREND($L$45:$L$46,$K$45:$K$46,P13),0),0),0)</f>
        <v>59296.93372767861</v>
      </c>
      <c r="V13" s="622">
        <f>IF(P13&gt;=(Assumptions!$D$33),IF(P13&lt;=Assumptions!$D$15,IF(P13&gt;=Assumptions!$D$33,TREND($L$50:$L$51,$K$50:$K$51,P13),0),0),0)</f>
        <v>51118.046316964261</v>
      </c>
      <c r="W13" s="623">
        <f t="shared" si="9"/>
        <v>110414.98004464287</v>
      </c>
      <c r="X13" s="624">
        <f t="shared" si="7"/>
        <v>3599700.1060909824</v>
      </c>
      <c r="Y13" s="625">
        <f t="shared" si="10"/>
        <v>59296.93372767861</v>
      </c>
      <c r="Z13" s="622">
        <f t="shared" si="11"/>
        <v>58691.090215773962</v>
      </c>
      <c r="AA13" s="623">
        <f t="shared" si="12"/>
        <v>117988.02394345257</v>
      </c>
      <c r="AB13" s="624">
        <f t="shared" si="13"/>
        <v>3857183.5986505123</v>
      </c>
    </row>
    <row r="14" spans="2:30" x14ac:dyDescent="0.25">
      <c r="B14" s="105">
        <f t="shared" si="5"/>
        <v>2034</v>
      </c>
      <c r="C14" s="153">
        <f t="shared" si="0"/>
        <v>232354.23327380966</v>
      </c>
      <c r="D14" s="150">
        <f t="shared" si="1"/>
        <v>7585883.1345207784</v>
      </c>
      <c r="E14" s="153">
        <f t="shared" si="2"/>
        <v>112325.0902232143</v>
      </c>
      <c r="F14" s="154">
        <f t="shared" si="3"/>
        <v>3661972.6691949107</v>
      </c>
      <c r="G14" s="155">
        <f t="shared" si="4"/>
        <v>3923910.4653258678</v>
      </c>
      <c r="H14" s="156">
        <f>G14*(1+0.07)^-(B14-Assumptions!$D$11)</f>
        <v>1628283.3398080033</v>
      </c>
      <c r="K14" s="191" t="s">
        <v>68</v>
      </c>
      <c r="L14" s="611">
        <f>Assumptions!D32</f>
        <v>4.4999999999999997E-3</v>
      </c>
      <c r="O14" s="254"/>
      <c r="P14" s="105">
        <v>2031</v>
      </c>
      <c r="Q14" s="621">
        <f>IF(P14&gt;=(Assumptions!$D$33),IF(P14&lt;=Assumptions!$D$15,IF(P14&gt;=Assumptions!$D$33,TREND($L$35:$L$36,$K$35:$K$36,P14),0),0),0)</f>
        <v>119106.7674107143</v>
      </c>
      <c r="R14" s="622">
        <f>IF(P14&gt;=(Assumptions!$D$33),IF(P14&lt;=Assumptions!$D$15,IF(P14&gt;=Assumptions!$D$33,TREND($L$40:$L$41,$K$40:$K$41,P14),0),0),0)</f>
        <v>110284.04389880958</v>
      </c>
      <c r="S14" s="623">
        <f t="shared" si="8"/>
        <v>229390.81130952388</v>
      </c>
      <c r="T14" s="624">
        <f t="shared" si="6"/>
        <v>7489133.5621863119</v>
      </c>
      <c r="U14" s="621">
        <f>IF(P14&gt;=(Assumptions!$D$33),IF(P14&lt;=Assumptions!$D$15,IF(P14&gt;=Assumptions!$D$33,TREND($L$45:$L$46,$K$45:$K$46,P14),0),0),0)</f>
        <v>59553.383705357148</v>
      </c>
      <c r="V14" s="622">
        <f>IF(P14&gt;=(Assumptions!$D$33),IF(P14&lt;=Assumptions!$D$15,IF(P14&gt;=Assumptions!$D$33,TREND($L$50:$L$51,$K$50:$K$51,P14),0),0),0)</f>
        <v>51339.12388392858</v>
      </c>
      <c r="W14" s="623">
        <f t="shared" si="9"/>
        <v>110892.50758928573</v>
      </c>
      <c r="X14" s="624">
        <f t="shared" si="7"/>
        <v>3615268.2468669647</v>
      </c>
      <c r="Y14" s="625">
        <f t="shared" si="10"/>
        <v>59553.383705357148</v>
      </c>
      <c r="Z14" s="622">
        <f t="shared" si="11"/>
        <v>58944.920014881005</v>
      </c>
      <c r="AA14" s="623">
        <f t="shared" si="12"/>
        <v>118498.30372023815</v>
      </c>
      <c r="AB14" s="624">
        <f t="shared" si="13"/>
        <v>3873865.3153193472</v>
      </c>
    </row>
    <row r="15" spans="2:30" x14ac:dyDescent="0.25">
      <c r="B15" s="105">
        <f t="shared" si="5"/>
        <v>2035</v>
      </c>
      <c r="C15" s="153">
        <f t="shared" si="0"/>
        <v>233342.04059523821</v>
      </c>
      <c r="D15" s="150">
        <f t="shared" si="1"/>
        <v>7618132.9919655994</v>
      </c>
      <c r="E15" s="153">
        <f t="shared" si="2"/>
        <v>112802.6177678571</v>
      </c>
      <c r="F15" s="154">
        <f t="shared" si="3"/>
        <v>3677540.8099708911</v>
      </c>
      <c r="G15" s="155">
        <f t="shared" si="4"/>
        <v>3940592.1819947083</v>
      </c>
      <c r="H15" s="156">
        <f>G15*(1+0.07)^-(B15-Assumptions!$D$11)</f>
        <v>1528229.5879956279</v>
      </c>
      <c r="K15" s="191" t="s">
        <v>226</v>
      </c>
      <c r="L15" s="599">
        <f>Assumptions!$D$33</f>
        <v>2028</v>
      </c>
      <c r="O15" s="254"/>
      <c r="P15" s="105">
        <v>2032</v>
      </c>
      <c r="Q15" s="621">
        <f>IF(P15&gt;=(Assumptions!$D$33),IF(P15&lt;=Assumptions!$D$15,IF(P15&gt;=Assumptions!$D$33,TREND($L$35:$L$36,$K$35:$K$36,P15),0),0),0)</f>
        <v>119619.66736607149</v>
      </c>
      <c r="R15" s="622">
        <f>IF(P15&gt;=(Assumptions!$D$33),IF(P15&lt;=Assumptions!$D$15,IF(P15&gt;=Assumptions!$D$33,TREND($L$40:$L$41,$K$40:$K$41,P15),0),0),0)</f>
        <v>110758.95126488106</v>
      </c>
      <c r="S15" s="623">
        <f t="shared" si="8"/>
        <v>230378.61863095255</v>
      </c>
      <c r="T15" s="624">
        <f t="shared" si="6"/>
        <v>7521383.4196311366</v>
      </c>
      <c r="U15" s="621">
        <f>IF(P15&gt;=(Assumptions!$D$33),IF(P15&lt;=Assumptions!$D$15,IF(P15&gt;=Assumptions!$D$33,TREND($L$45:$L$46,$K$45:$K$46,P15),0),0),0)</f>
        <v>59809.833683035744</v>
      </c>
      <c r="V15" s="622">
        <f>IF(P15&gt;=(Assumptions!$D$33),IF(P15&lt;=Assumptions!$D$15,IF(P15&gt;=Assumptions!$D$33,TREND($L$50:$L$51,$K$50:$K$51,P15),0),0),0)</f>
        <v>51560.201450892841</v>
      </c>
      <c r="W15" s="623">
        <f t="shared" si="9"/>
        <v>111370.03513392858</v>
      </c>
      <c r="X15" s="624">
        <f t="shared" si="7"/>
        <v>3630836.387642947</v>
      </c>
      <c r="Y15" s="625">
        <f t="shared" si="10"/>
        <v>59809.833683035744</v>
      </c>
      <c r="Z15" s="622">
        <f t="shared" si="11"/>
        <v>59198.749813988223</v>
      </c>
      <c r="AA15" s="623">
        <f t="shared" si="12"/>
        <v>119008.58349702397</v>
      </c>
      <c r="AB15" s="624">
        <f t="shared" si="13"/>
        <v>3890547.0319881896</v>
      </c>
    </row>
    <row r="16" spans="2:30" x14ac:dyDescent="0.25">
      <c r="B16" s="105">
        <f t="shared" si="5"/>
        <v>2036</v>
      </c>
      <c r="C16" s="153">
        <f t="shared" si="0"/>
        <v>234329.84791666677</v>
      </c>
      <c r="D16" s="150">
        <f t="shared" si="1"/>
        <v>7650382.8494104203</v>
      </c>
      <c r="E16" s="153">
        <f t="shared" si="2"/>
        <v>113280.14531250001</v>
      </c>
      <c r="F16" s="154">
        <f t="shared" si="3"/>
        <v>3693108.9507468753</v>
      </c>
      <c r="G16" s="155">
        <f t="shared" si="4"/>
        <v>3957273.898663545</v>
      </c>
      <c r="H16" s="156">
        <f>G16*(1+0.07)^-(B16-Assumptions!$D$11)</f>
        <v>1434298.1732052045</v>
      </c>
      <c r="K16" s="191">
        <v>2021</v>
      </c>
      <c r="L16" s="604">
        <f>Assumptions!$D$34</f>
        <v>670</v>
      </c>
      <c r="P16" s="105">
        <v>2033</v>
      </c>
      <c r="Q16" s="621">
        <f>IF(P16&gt;=(Assumptions!$D$33),IF(P16&lt;=Assumptions!$D$15,IF(P16&gt;=Assumptions!$D$33,TREND($L$35:$L$36,$K$35:$K$36,P16),0),0),0)</f>
        <v>120132.56732142856</v>
      </c>
      <c r="R16" s="622">
        <f>IF(P16&gt;=(Assumptions!$D$33),IF(P16&lt;=Assumptions!$D$15,IF(P16&gt;=Assumptions!$D$33,TREND($L$40:$L$41,$K$40:$K$41,P16),0),0),0)</f>
        <v>111233.85863095243</v>
      </c>
      <c r="S16" s="623">
        <f t="shared" si="8"/>
        <v>231366.42595238099</v>
      </c>
      <c r="T16" s="624">
        <f t="shared" si="6"/>
        <v>7553633.2770759538</v>
      </c>
      <c r="U16" s="621">
        <f>IF(P16&gt;=(Assumptions!$D$33),IF(P16&lt;=Assumptions!$D$15,IF(P16&gt;=Assumptions!$D$33,TREND($L$45:$L$46,$K$45:$K$46,P16),0),0),0)</f>
        <v>60066.283660714282</v>
      </c>
      <c r="V16" s="622">
        <f>IF(P16&gt;=(Assumptions!$D$33),IF(P16&lt;=Assumptions!$D$15,IF(P16&gt;=Assumptions!$D$33,TREND($L$50:$L$51,$K$50:$K$51,P16),0),0),0)</f>
        <v>51781.279017857159</v>
      </c>
      <c r="W16" s="623">
        <f t="shared" si="9"/>
        <v>111847.56267857144</v>
      </c>
      <c r="X16" s="624">
        <f t="shared" si="7"/>
        <v>3646404.5284189293</v>
      </c>
      <c r="Y16" s="625">
        <f t="shared" si="10"/>
        <v>60066.283660714282</v>
      </c>
      <c r="Z16" s="622">
        <f t="shared" si="11"/>
        <v>59452.579613095266</v>
      </c>
      <c r="AA16" s="623">
        <f t="shared" si="12"/>
        <v>119518.86327380955</v>
      </c>
      <c r="AB16" s="624">
        <f t="shared" si="13"/>
        <v>3907228.7486570245</v>
      </c>
    </row>
    <row r="17" spans="1:28" x14ac:dyDescent="0.25">
      <c r="B17" s="105">
        <f t="shared" si="5"/>
        <v>2037</v>
      </c>
      <c r="C17" s="153">
        <f t="shared" si="0"/>
        <v>235317.65523809544</v>
      </c>
      <c r="D17" s="150">
        <f t="shared" si="1"/>
        <v>7682632.7068552449</v>
      </c>
      <c r="E17" s="153">
        <f t="shared" si="2"/>
        <v>113757.67285714287</v>
      </c>
      <c r="F17" s="154">
        <f t="shared" si="3"/>
        <v>3708677.0915228575</v>
      </c>
      <c r="G17" s="155">
        <f t="shared" si="4"/>
        <v>3973955.6153323874</v>
      </c>
      <c r="H17" s="156">
        <f>G17*(1+0.07)^-(B17-Assumptions!$D$11)</f>
        <v>1346116.2570211478</v>
      </c>
      <c r="K17" s="191">
        <v>2045</v>
      </c>
      <c r="L17" s="604">
        <f>Assumptions!$D$35</f>
        <v>742.36</v>
      </c>
      <c r="P17" s="105">
        <v>2034</v>
      </c>
      <c r="Q17" s="621">
        <f>IF(P17&gt;=(Assumptions!$D$33),IF(P17&lt;=Assumptions!$D$15,IF(P17&gt;=Assumptions!$D$33,TREND($L$35:$L$36,$K$35:$K$36,P17),0),0),0)</f>
        <v>120645.46727678576</v>
      </c>
      <c r="R17" s="622">
        <f>IF(P17&gt;=(Assumptions!$D$33),IF(P17&lt;=Assumptions!$D$15,IF(P17&gt;=Assumptions!$D$33,TREND($L$40:$L$41,$K$40:$K$41,P17),0),0),0)</f>
        <v>111708.7659970239</v>
      </c>
      <c r="S17" s="623">
        <f t="shared" si="8"/>
        <v>232354.23327380966</v>
      </c>
      <c r="T17" s="624">
        <f t="shared" si="6"/>
        <v>7585883.1345207784</v>
      </c>
      <c r="U17" s="621">
        <f>IF(P17&gt;=(Assumptions!$D$33),IF(P17&lt;=Assumptions!$D$15,IF(P17&gt;=Assumptions!$D$33,TREND($L$45:$L$46,$K$45:$K$46,P17),0),0),0)</f>
        <v>60322.733638392878</v>
      </c>
      <c r="V17" s="622">
        <f>IF(P17&gt;=(Assumptions!$D$33),IF(P17&lt;=Assumptions!$D$15,IF(P17&gt;=Assumptions!$D$33,TREND($L$50:$L$51,$K$50:$K$51,P17),0),0),0)</f>
        <v>52002.35658482142</v>
      </c>
      <c r="W17" s="623">
        <f t="shared" si="9"/>
        <v>112325.0902232143</v>
      </c>
      <c r="X17" s="624">
        <f t="shared" si="7"/>
        <v>3661972.6691949107</v>
      </c>
      <c r="Y17" s="625">
        <f t="shared" si="10"/>
        <v>60322.733638392878</v>
      </c>
      <c r="Z17" s="622">
        <f t="shared" si="11"/>
        <v>59706.409412202484</v>
      </c>
      <c r="AA17" s="623">
        <f t="shared" si="12"/>
        <v>120029.14305059536</v>
      </c>
      <c r="AB17" s="624">
        <f t="shared" si="13"/>
        <v>3923910.4653258678</v>
      </c>
    </row>
    <row r="18" spans="1:28" x14ac:dyDescent="0.25">
      <c r="B18" s="105">
        <f t="shared" si="5"/>
        <v>2038</v>
      </c>
      <c r="C18" s="153">
        <f t="shared" si="0"/>
        <v>236305.46255952388</v>
      </c>
      <c r="D18" s="150">
        <f t="shared" si="1"/>
        <v>7714882.5643000621</v>
      </c>
      <c r="E18" s="153">
        <f t="shared" si="2"/>
        <v>114235.20040178573</v>
      </c>
      <c r="F18" s="154">
        <f t="shared" si="3"/>
        <v>3724245.2322988398</v>
      </c>
      <c r="G18" s="155">
        <f t="shared" si="4"/>
        <v>3990637.3320012223</v>
      </c>
      <c r="H18" s="156">
        <f>G18*(1+0.07)^-(B18-Assumptions!$D$11)</f>
        <v>1263333.5809416098</v>
      </c>
      <c r="P18" s="105">
        <v>2035</v>
      </c>
      <c r="Q18" s="621">
        <f>IF(P18&gt;=(Assumptions!$D$33),IF(P18&lt;=Assumptions!$D$15,IF(P18&gt;=Assumptions!$D$33,TREND($L$35:$L$36,$K$35:$K$36,P18),0),0),0)</f>
        <v>121158.36723214283</v>
      </c>
      <c r="R18" s="622">
        <f>IF(P18&gt;=(Assumptions!$D$33),IF(P18&lt;=Assumptions!$D$15,IF(P18&gt;=Assumptions!$D$33,TREND($L$40:$L$41,$K$40:$K$41,P18),0),0),0)</f>
        <v>112183.67336309538</v>
      </c>
      <c r="S18" s="623">
        <f t="shared" si="8"/>
        <v>233342.04059523821</v>
      </c>
      <c r="T18" s="624">
        <f t="shared" si="6"/>
        <v>7618132.9919655994</v>
      </c>
      <c r="U18" s="621">
        <f>IF(P18&gt;=(Assumptions!$D$33),IF(P18&lt;=Assumptions!$D$15,IF(P18&gt;=Assumptions!$D$33,TREND($L$45:$L$46,$K$45:$K$46,P18),0),0),0)</f>
        <v>60579.183616071416</v>
      </c>
      <c r="V18" s="622">
        <f>IF(P18&gt;=(Assumptions!$D$33),IF(P18&lt;=Assumptions!$D$15,IF(P18&gt;=Assumptions!$D$33,TREND($L$50:$L$51,$K$50:$K$51,P18),0),0),0)</f>
        <v>52223.434151785681</v>
      </c>
      <c r="W18" s="623">
        <f t="shared" si="9"/>
        <v>112802.6177678571</v>
      </c>
      <c r="X18" s="624">
        <f t="shared" si="7"/>
        <v>3677540.8099708911</v>
      </c>
      <c r="Y18" s="625">
        <f t="shared" si="10"/>
        <v>60579.183616071416</v>
      </c>
      <c r="Z18" s="622">
        <f t="shared" si="11"/>
        <v>59960.239211309701</v>
      </c>
      <c r="AA18" s="623">
        <f t="shared" si="12"/>
        <v>120539.42282738112</v>
      </c>
      <c r="AB18" s="624">
        <f t="shared" si="13"/>
        <v>3940592.1819947083</v>
      </c>
    </row>
    <row r="19" spans="1:28" x14ac:dyDescent="0.25">
      <c r="B19" s="105">
        <f t="shared" si="5"/>
        <v>2039</v>
      </c>
      <c r="C19" s="153">
        <f t="shared" si="0"/>
        <v>237293.26988095255</v>
      </c>
      <c r="D19" s="150">
        <f t="shared" si="1"/>
        <v>7747132.4217448868</v>
      </c>
      <c r="E19" s="153">
        <f t="shared" si="2"/>
        <v>114712.72794642858</v>
      </c>
      <c r="F19" s="154">
        <f t="shared" si="3"/>
        <v>3739813.3730748217</v>
      </c>
      <c r="G19" s="155">
        <f t="shared" si="4"/>
        <v>4007319.0486700651</v>
      </c>
      <c r="H19" s="156">
        <f>G19*(1+0.07)^-(B19-Assumptions!$D$11)</f>
        <v>1185621.1076896668</v>
      </c>
      <c r="K19" s="19" t="s">
        <v>599</v>
      </c>
      <c r="L19" s="252"/>
      <c r="N19" s="253"/>
      <c r="P19" s="105">
        <v>2036</v>
      </c>
      <c r="Q19" s="621">
        <f>IF(P19&gt;=(Assumptions!$D$33),IF(P19&lt;=Assumptions!$D$15,IF(P19&gt;=Assumptions!$D$33,TREND($L$35:$L$36,$K$35:$K$36,P19),0),0),0)</f>
        <v>121671.26718750002</v>
      </c>
      <c r="R19" s="622">
        <f>IF(P19&gt;=(Assumptions!$D$33),IF(P19&lt;=Assumptions!$D$15,IF(P19&gt;=Assumptions!$D$33,TREND($L$40:$L$41,$K$40:$K$41,P19),0),0),0)</f>
        <v>112658.58072916674</v>
      </c>
      <c r="S19" s="623">
        <f t="shared" si="8"/>
        <v>234329.84791666677</v>
      </c>
      <c r="T19" s="624">
        <f t="shared" si="6"/>
        <v>7650382.8494104203</v>
      </c>
      <c r="U19" s="621">
        <f>IF(P19&gt;=(Assumptions!$D$33),IF(P19&lt;=Assumptions!$D$15,IF(P19&gt;=Assumptions!$D$33,TREND($L$45:$L$46,$K$45:$K$46,P19),0),0),0)</f>
        <v>60835.633593750012</v>
      </c>
      <c r="V19" s="622">
        <f>IF(P19&gt;=(Assumptions!$D$33),IF(P19&lt;=Assumptions!$D$15,IF(P19&gt;=Assumptions!$D$33,TREND($L$50:$L$51,$K$50:$K$51,P19),0),0),0)</f>
        <v>52444.51171875</v>
      </c>
      <c r="W19" s="623">
        <f t="shared" si="9"/>
        <v>113280.14531250001</v>
      </c>
      <c r="X19" s="624">
        <f t="shared" si="7"/>
        <v>3693108.9507468753</v>
      </c>
      <c r="Y19" s="625">
        <f t="shared" si="10"/>
        <v>60835.633593750012</v>
      </c>
      <c r="Z19" s="622">
        <f t="shared" si="11"/>
        <v>60214.069010416744</v>
      </c>
      <c r="AA19" s="623">
        <f t="shared" si="12"/>
        <v>121049.70260416676</v>
      </c>
      <c r="AB19" s="624">
        <f t="shared" si="13"/>
        <v>3957273.898663545</v>
      </c>
    </row>
    <row r="20" spans="1:28" ht="14.25" customHeight="1" x14ac:dyDescent="0.25">
      <c r="B20" s="105">
        <f t="shared" si="5"/>
        <v>2040</v>
      </c>
      <c r="C20" s="153">
        <f t="shared" si="0"/>
        <v>238281.07720238098</v>
      </c>
      <c r="D20" s="150">
        <f t="shared" si="1"/>
        <v>7779382.279189704</v>
      </c>
      <c r="E20" s="153">
        <f t="shared" si="2"/>
        <v>115190.25549107144</v>
      </c>
      <c r="F20" s="154">
        <f t="shared" si="3"/>
        <v>3755381.513850804</v>
      </c>
      <c r="G20" s="155">
        <f t="shared" si="4"/>
        <v>4024000.7653389</v>
      </c>
      <c r="H20" s="156">
        <f>G20*(1+0.07)^-(B20-Assumptions!$D$11)</f>
        <v>1112669.7436582015</v>
      </c>
      <c r="K20" s="25" t="s">
        <v>56</v>
      </c>
      <c r="L20" s="612">
        <f>Assumptions!$D$21</f>
        <v>1.67</v>
      </c>
      <c r="M20" s="252"/>
      <c r="N20" s="253"/>
      <c r="P20" s="105">
        <v>2037</v>
      </c>
      <c r="Q20" s="621">
        <f>IF(P20&gt;=(Assumptions!$D$33),IF(P20&lt;=Assumptions!$D$15,IF(P20&gt;=Assumptions!$D$33,TREND($L$35:$L$36,$K$35:$K$36,P20),0),0),0)</f>
        <v>122184.16714285722</v>
      </c>
      <c r="R20" s="622">
        <f>IF(P20&gt;=(Assumptions!$D$33),IF(P20&lt;=Assumptions!$D$15,IF(P20&gt;=Assumptions!$D$33,TREND($L$40:$L$41,$K$40:$K$41,P20),0),0),0)</f>
        <v>113133.48809523822</v>
      </c>
      <c r="S20" s="623">
        <f t="shared" si="8"/>
        <v>235317.65523809544</v>
      </c>
      <c r="T20" s="624">
        <f t="shared" si="6"/>
        <v>7682632.7068552449</v>
      </c>
      <c r="U20" s="621">
        <f>IF(P20&gt;=(Assumptions!$D$33),IF(P20&lt;=Assumptions!$D$15,IF(P20&gt;=Assumptions!$D$33,TREND($L$45:$L$46,$K$45:$K$46,P20),0),0),0)</f>
        <v>61092.083571428608</v>
      </c>
      <c r="V20" s="622">
        <f>IF(P20&gt;=(Assumptions!$D$33),IF(P20&lt;=Assumptions!$D$15,IF(P20&gt;=Assumptions!$D$33,TREND($L$50:$L$51,$K$50:$K$51,P20),0),0),0)</f>
        <v>52665.589285714261</v>
      </c>
      <c r="W20" s="623">
        <f t="shared" si="9"/>
        <v>113757.67285714287</v>
      </c>
      <c r="X20" s="624">
        <f t="shared" si="7"/>
        <v>3708677.0915228575</v>
      </c>
      <c r="Y20" s="625">
        <f t="shared" si="10"/>
        <v>61092.083571428608</v>
      </c>
      <c r="Z20" s="622">
        <f t="shared" si="11"/>
        <v>60467.898809523962</v>
      </c>
      <c r="AA20" s="623">
        <f t="shared" si="12"/>
        <v>121559.98238095257</v>
      </c>
      <c r="AB20" s="624">
        <f t="shared" si="13"/>
        <v>3973955.6153323874</v>
      </c>
    </row>
    <row r="21" spans="1:28" ht="15" customHeight="1" x14ac:dyDescent="0.25">
      <c r="B21" s="105">
        <f t="shared" si="5"/>
        <v>2041</v>
      </c>
      <c r="C21" s="153">
        <f t="shared" si="0"/>
        <v>239268.88452380965</v>
      </c>
      <c r="D21" s="150">
        <f t="shared" si="1"/>
        <v>7811632.1366345286</v>
      </c>
      <c r="E21" s="153">
        <f t="shared" si="2"/>
        <v>115667.7830357143</v>
      </c>
      <c r="F21" s="154">
        <f t="shared" si="3"/>
        <v>3770949.6546267858</v>
      </c>
      <c r="G21" s="155">
        <f t="shared" si="4"/>
        <v>4040682.4820077429</v>
      </c>
      <c r="H21" s="156">
        <f>G21*(1+0.07)^-(B21-Assumptions!$D$11)</f>
        <v>1044189.1376879088</v>
      </c>
      <c r="K21" s="25" t="s">
        <v>26</v>
      </c>
      <c r="L21" s="612">
        <f>Assumptions!$D$22</f>
        <v>1</v>
      </c>
      <c r="M21" s="252"/>
      <c r="P21" s="105">
        <v>2038</v>
      </c>
      <c r="Q21" s="621">
        <f>IF(P21&gt;=(Assumptions!$D$33),IF(P21&lt;=Assumptions!$D$15,IF(P21&gt;=Assumptions!$D$33,TREND($L$35:$L$36,$K$35:$K$36,P21),0),0),0)</f>
        <v>122697.06709821429</v>
      </c>
      <c r="R21" s="622">
        <f>IF(P21&gt;=(Assumptions!$D$33),IF(P21&lt;=Assumptions!$D$15,IF(P21&gt;=Assumptions!$D$33,TREND($L$40:$L$41,$K$40:$K$41,P21),0),0),0)</f>
        <v>113608.39546130958</v>
      </c>
      <c r="S21" s="623">
        <f t="shared" si="8"/>
        <v>236305.46255952388</v>
      </c>
      <c r="T21" s="624">
        <f t="shared" si="6"/>
        <v>7714882.5643000621</v>
      </c>
      <c r="U21" s="621">
        <f>IF(P21&gt;=(Assumptions!$D$33),IF(P21&lt;=Assumptions!$D$15,IF(P21&gt;=Assumptions!$D$33,TREND($L$45:$L$46,$K$45:$K$46,P21),0),0),0)</f>
        <v>61348.533549107146</v>
      </c>
      <c r="V21" s="622">
        <f>IF(P21&gt;=(Assumptions!$D$33),IF(P21&lt;=Assumptions!$D$15,IF(P21&gt;=Assumptions!$D$33,TREND($L$50:$L$51,$K$50:$K$51,P21),0),0),0)</f>
        <v>52886.66685267858</v>
      </c>
      <c r="W21" s="623">
        <f t="shared" si="9"/>
        <v>114235.20040178573</v>
      </c>
      <c r="X21" s="624">
        <f t="shared" si="7"/>
        <v>3724245.2322988398</v>
      </c>
      <c r="Y21" s="625">
        <f t="shared" si="10"/>
        <v>61348.533549107146</v>
      </c>
      <c r="Z21" s="622">
        <f t="shared" si="11"/>
        <v>60721.728608631005</v>
      </c>
      <c r="AA21" s="623">
        <f t="shared" si="12"/>
        <v>122070.26215773815</v>
      </c>
      <c r="AB21" s="624">
        <f t="shared" si="13"/>
        <v>3990637.3320012223</v>
      </c>
    </row>
    <row r="22" spans="1:28" x14ac:dyDescent="0.25">
      <c r="B22" s="105">
        <f t="shared" si="5"/>
        <v>2042</v>
      </c>
      <c r="C22" s="153">
        <f t="shared" si="0"/>
        <v>240256.69184523833</v>
      </c>
      <c r="D22" s="150">
        <f t="shared" si="1"/>
        <v>7843881.9940793533</v>
      </c>
      <c r="E22" s="153">
        <f t="shared" si="2"/>
        <v>116145.31058035715</v>
      </c>
      <c r="F22" s="154">
        <f t="shared" si="3"/>
        <v>3786517.7954027681</v>
      </c>
      <c r="G22" s="155">
        <f t="shared" si="4"/>
        <v>4057364.1986765852</v>
      </c>
      <c r="H22" s="156">
        <f>G22*(1+0.07)^-(B22-Assumptions!$D$11)</f>
        <v>979906.55165859312</v>
      </c>
      <c r="P22" s="105">
        <v>2039</v>
      </c>
      <c r="Q22" s="621">
        <f>IF(P22&gt;=(Assumptions!$D$33),IF(P22&lt;=Assumptions!$D$15,IF(P22&gt;=Assumptions!$D$33,TREND($L$35:$L$36,$K$35:$K$36,P22),0),0),0)</f>
        <v>123209.96705357148</v>
      </c>
      <c r="R22" s="622">
        <f>IF(P22&gt;=(Assumptions!$D$33),IF(P22&lt;=Assumptions!$D$15,IF(P22&gt;=Assumptions!$D$33,TREND($L$40:$L$41,$K$40:$K$41,P22),0),0),0)</f>
        <v>114083.30282738106</v>
      </c>
      <c r="S22" s="623">
        <f t="shared" si="8"/>
        <v>237293.26988095255</v>
      </c>
      <c r="T22" s="624">
        <f t="shared" si="6"/>
        <v>7747132.4217448868</v>
      </c>
      <c r="U22" s="621">
        <f>IF(P22&gt;=(Assumptions!$D$33),IF(P22&lt;=Assumptions!$D$15,IF(P22&gt;=Assumptions!$D$33,TREND($L$45:$L$46,$K$45:$K$46,P22),0),0),0)</f>
        <v>61604.983526785742</v>
      </c>
      <c r="V22" s="622">
        <f>IF(P22&gt;=(Assumptions!$D$33),IF(P22&lt;=Assumptions!$D$15,IF(P22&gt;=Assumptions!$D$33,TREND($L$50:$L$51,$K$50:$K$51,P22),0),0),0)</f>
        <v>53107.744419642841</v>
      </c>
      <c r="W22" s="623">
        <f t="shared" si="9"/>
        <v>114712.72794642858</v>
      </c>
      <c r="X22" s="624">
        <f t="shared" si="7"/>
        <v>3739813.3730748217</v>
      </c>
      <c r="Y22" s="625">
        <f t="shared" si="10"/>
        <v>61604.983526785742</v>
      </c>
      <c r="Z22" s="622">
        <f t="shared" si="11"/>
        <v>60975.558407738223</v>
      </c>
      <c r="AA22" s="623">
        <f t="shared" si="12"/>
        <v>122580.54193452396</v>
      </c>
      <c r="AB22" s="624">
        <f t="shared" si="13"/>
        <v>4007319.0486700651</v>
      </c>
    </row>
    <row r="23" spans="1:28" x14ac:dyDescent="0.25">
      <c r="B23" s="105">
        <f t="shared" si="5"/>
        <v>2043</v>
      </c>
      <c r="C23" s="153">
        <f t="shared" si="0"/>
        <v>241244.49916666676</v>
      </c>
      <c r="D23" s="150">
        <f t="shared" si="1"/>
        <v>7876131.8515241705</v>
      </c>
      <c r="E23" s="153">
        <f t="shared" si="2"/>
        <v>116622.83812500001</v>
      </c>
      <c r="F23" s="154">
        <f t="shared" si="3"/>
        <v>3802085.9361787504</v>
      </c>
      <c r="G23" s="155">
        <f t="shared" si="4"/>
        <v>4074045.9153454201</v>
      </c>
      <c r="H23" s="156">
        <f>G23*(1+0.07)^-(B23-Assumptions!$D$11)</f>
        <v>919565.79863872693</v>
      </c>
      <c r="K23" s="1" t="s">
        <v>601</v>
      </c>
      <c r="P23" s="105">
        <v>2040</v>
      </c>
      <c r="Q23" s="621">
        <f>IF(P23&gt;=(Assumptions!$D$33),IF(P23&lt;=Assumptions!$D$15,IF(P23&gt;=Assumptions!$D$33,TREND($L$35:$L$36,$K$35:$K$36,P23),0),0),0)</f>
        <v>123722.86700892856</v>
      </c>
      <c r="R23" s="622">
        <f>IF(P23&gt;=(Assumptions!$D$33),IF(P23&lt;=Assumptions!$D$15,IF(P23&gt;=Assumptions!$D$33,TREND($L$40:$L$41,$K$40:$K$41,P23),0),0),0)</f>
        <v>114558.21019345243</v>
      </c>
      <c r="S23" s="623">
        <f t="shared" si="8"/>
        <v>238281.07720238098</v>
      </c>
      <c r="T23" s="624">
        <f t="shared" si="6"/>
        <v>7779382.279189704</v>
      </c>
      <c r="U23" s="621">
        <f>IF(P23&gt;=(Assumptions!$D$33),IF(P23&lt;=Assumptions!$D$15,IF(P23&gt;=Assumptions!$D$33,TREND($L$45:$L$46,$K$45:$K$46,P23),0),0),0)</f>
        <v>61861.433504464279</v>
      </c>
      <c r="V23" s="622">
        <f>IF(P23&gt;=(Assumptions!$D$33),IF(P23&lt;=Assumptions!$D$15,IF(P23&gt;=Assumptions!$D$33,TREND($L$50:$L$51,$K$50:$K$51,P23),0),0),0)</f>
        <v>53328.821986607159</v>
      </c>
      <c r="W23" s="623">
        <f t="shared" si="9"/>
        <v>115190.25549107144</v>
      </c>
      <c r="X23" s="624">
        <f t="shared" si="7"/>
        <v>3755381.513850804</v>
      </c>
      <c r="Y23" s="625">
        <f t="shared" si="10"/>
        <v>61861.433504464279</v>
      </c>
      <c r="Z23" s="622">
        <f t="shared" si="11"/>
        <v>61229.388206845266</v>
      </c>
      <c r="AA23" s="623">
        <f t="shared" si="12"/>
        <v>123090.82171130955</v>
      </c>
      <c r="AB23" s="624">
        <f t="shared" si="13"/>
        <v>4024000.7653389</v>
      </c>
    </row>
    <row r="24" spans="1:28" x14ac:dyDescent="0.25">
      <c r="B24" s="105">
        <f t="shared" si="5"/>
        <v>2044</v>
      </c>
      <c r="C24" s="153">
        <f t="shared" si="0"/>
        <v>242232.30648809543</v>
      </c>
      <c r="D24" s="150">
        <f t="shared" si="1"/>
        <v>7908381.7089689951</v>
      </c>
      <c r="E24" s="153">
        <f t="shared" si="2"/>
        <v>117100.36566964287</v>
      </c>
      <c r="F24" s="154">
        <f t="shared" si="3"/>
        <v>3817654.0769547326</v>
      </c>
      <c r="G24" s="155">
        <f t="shared" si="4"/>
        <v>4090727.6320142625</v>
      </c>
      <c r="H24" s="156">
        <f>G24*(1+0.07)^-(B24-Assumptions!$D$11)</f>
        <v>862926.24458754843</v>
      </c>
      <c r="K24" s="34" t="s">
        <v>84</v>
      </c>
      <c r="L24" s="34" t="s">
        <v>219</v>
      </c>
      <c r="M24" s="34" t="s">
        <v>220</v>
      </c>
      <c r="N24" s="34" t="s">
        <v>221</v>
      </c>
      <c r="P24" s="105">
        <v>2041</v>
      </c>
      <c r="Q24" s="621">
        <f>IF(P24&gt;=(Assumptions!$D$33),IF(P24&lt;=Assumptions!$D$15,IF(P24&gt;=Assumptions!$D$33,TREND($L$35:$L$36,$K$35:$K$36,P24),0),0),0)</f>
        <v>124235.76696428575</v>
      </c>
      <c r="R24" s="622">
        <f>IF(P24&gt;=(Assumptions!$D$33),IF(P24&lt;=Assumptions!$D$15,IF(P24&gt;=Assumptions!$D$33,TREND($L$40:$L$41,$K$40:$K$41,P24),0),0),0)</f>
        <v>115033.1175595239</v>
      </c>
      <c r="S24" s="623">
        <f t="shared" si="8"/>
        <v>239268.88452380965</v>
      </c>
      <c r="T24" s="624">
        <f t="shared" si="6"/>
        <v>7811632.1366345286</v>
      </c>
      <c r="U24" s="621">
        <f>IF(P24&gt;=(Assumptions!$D$33),IF(P24&lt;=Assumptions!$D$15,IF(P24&gt;=Assumptions!$D$33,TREND($L$45:$L$46,$K$45:$K$46,P24),0),0),0)</f>
        <v>62117.883482142875</v>
      </c>
      <c r="V24" s="622">
        <f>IF(P24&gt;=(Assumptions!$D$33),IF(P24&lt;=Assumptions!$D$15,IF(P24&gt;=Assumptions!$D$33,TREND($L$50:$L$51,$K$50:$K$51,P24),0),0),0)</f>
        <v>53549.89955357142</v>
      </c>
      <c r="W24" s="623">
        <f t="shared" si="9"/>
        <v>115667.7830357143</v>
      </c>
      <c r="X24" s="624">
        <f t="shared" si="7"/>
        <v>3770949.6546267858</v>
      </c>
      <c r="Y24" s="625">
        <f t="shared" si="10"/>
        <v>62117.883482142875</v>
      </c>
      <c r="Z24" s="622">
        <f t="shared" si="11"/>
        <v>61483.218005952484</v>
      </c>
      <c r="AA24" s="623">
        <f t="shared" si="12"/>
        <v>123601.10148809536</v>
      </c>
      <c r="AB24" s="624">
        <f t="shared" si="13"/>
        <v>4040682.4820077429</v>
      </c>
    </row>
    <row r="25" spans="1:28" ht="15" customHeight="1" x14ac:dyDescent="0.25">
      <c r="B25" s="105">
        <f t="shared" si="5"/>
        <v>2045</v>
      </c>
      <c r="C25" s="153">
        <f t="shared" si="0"/>
        <v>243220.11380952399</v>
      </c>
      <c r="D25" s="150">
        <f t="shared" si="1"/>
        <v>7940631.5664138161</v>
      </c>
      <c r="E25" s="153">
        <f t="shared" si="2"/>
        <v>117577.89321428578</v>
      </c>
      <c r="F25" s="154">
        <f t="shared" si="3"/>
        <v>3833222.2177307168</v>
      </c>
      <c r="G25" s="155">
        <f t="shared" si="4"/>
        <v>4107409.3486830993</v>
      </c>
      <c r="H25" s="156">
        <f>G25*(1+0.07)^-(B25-Assumptions!$D$11)</f>
        <v>809761.86983896024</v>
      </c>
      <c r="K25" s="255" t="s">
        <v>596</v>
      </c>
      <c r="L25" s="613">
        <v>26</v>
      </c>
      <c r="M25" s="613">
        <v>36</v>
      </c>
      <c r="N25" s="614" t="s">
        <v>233</v>
      </c>
      <c r="P25" s="105">
        <v>2042</v>
      </c>
      <c r="Q25" s="621">
        <f>IF(P25&gt;=(Assumptions!$D$33),IF(P25&lt;=Assumptions!$D$15,IF(P25&gt;=Assumptions!$D$33,TREND($L$35:$L$36,$K$35:$K$36,P25),0),0),0)</f>
        <v>124748.66691964294</v>
      </c>
      <c r="R25" s="622">
        <f>IF(P25&gt;=(Assumptions!$D$33),IF(P25&lt;=Assumptions!$D$15,IF(P25&gt;=Assumptions!$D$33,TREND($L$40:$L$41,$K$40:$K$41,P25),0),0),0)</f>
        <v>115508.02492559538</v>
      </c>
      <c r="S25" s="623">
        <f t="shared" si="8"/>
        <v>240256.69184523833</v>
      </c>
      <c r="T25" s="624">
        <f t="shared" si="6"/>
        <v>7843881.9940793533</v>
      </c>
      <c r="U25" s="621">
        <f>IF(P25&gt;=(Assumptions!$D$33),IF(P25&lt;=Assumptions!$D$15,IF(P25&gt;=Assumptions!$D$33,TREND($L$45:$L$46,$K$45:$K$46,P25),0),0),0)</f>
        <v>62374.333459821471</v>
      </c>
      <c r="V25" s="622">
        <f>IF(P25&gt;=(Assumptions!$D$33),IF(P25&lt;=Assumptions!$D$15,IF(P25&gt;=Assumptions!$D$33,TREND($L$50:$L$51,$K$50:$K$51,P25),0),0),0)</f>
        <v>53770.977120535681</v>
      </c>
      <c r="W25" s="623">
        <f t="shared" si="9"/>
        <v>116145.31058035715</v>
      </c>
      <c r="X25" s="624">
        <f t="shared" si="7"/>
        <v>3786517.7954027681</v>
      </c>
      <c r="Y25" s="625">
        <f t="shared" si="10"/>
        <v>62374.333459821471</v>
      </c>
      <c r="Z25" s="622">
        <f t="shared" si="11"/>
        <v>61737.047805059701</v>
      </c>
      <c r="AA25" s="623">
        <f t="shared" si="12"/>
        <v>124111.38126488117</v>
      </c>
      <c r="AB25" s="624">
        <f t="shared" si="13"/>
        <v>4057364.1986765852</v>
      </c>
    </row>
    <row r="26" spans="1:28" ht="15" customHeight="1" x14ac:dyDescent="0.25">
      <c r="B26" s="105">
        <f t="shared" si="5"/>
        <v>2046</v>
      </c>
      <c r="C26" s="153">
        <f t="shared" si="0"/>
        <v>0</v>
      </c>
      <c r="D26" s="150">
        <f t="shared" si="1"/>
        <v>0</v>
      </c>
      <c r="E26" s="153">
        <f t="shared" si="2"/>
        <v>0</v>
      </c>
      <c r="F26" s="154">
        <f t="shared" si="3"/>
        <v>0</v>
      </c>
      <c r="G26" s="155">
        <f t="shared" si="4"/>
        <v>0</v>
      </c>
      <c r="H26" s="156">
        <f>G26*(1+0.07)^-(B26-Assumptions!$D$11)</f>
        <v>0</v>
      </c>
      <c r="K26" s="255" t="s">
        <v>595</v>
      </c>
      <c r="L26" s="613">
        <v>127</v>
      </c>
      <c r="M26" s="613">
        <v>116</v>
      </c>
      <c r="N26" s="650" t="s">
        <v>828</v>
      </c>
      <c r="P26" s="105">
        <v>2043</v>
      </c>
      <c r="Q26" s="621">
        <f>IF(P26&gt;=(Assumptions!$D$33),IF(P26&lt;=Assumptions!$D$15,IF(P26&gt;=Assumptions!$D$33,TREND($L$35:$L$36,$K$35:$K$36,P26),0),0),0)</f>
        <v>125261.56687500002</v>
      </c>
      <c r="R26" s="622">
        <f>IF(P26&gt;=(Assumptions!$D$33),IF(P26&lt;=Assumptions!$D$15,IF(P26&gt;=Assumptions!$D$33,TREND($L$40:$L$41,$K$40:$K$41,P26),0),0),0)</f>
        <v>115982.93229166674</v>
      </c>
      <c r="S26" s="623">
        <f t="shared" si="8"/>
        <v>241244.49916666676</v>
      </c>
      <c r="T26" s="624">
        <f t="shared" si="6"/>
        <v>7876131.8515241705</v>
      </c>
      <c r="U26" s="621">
        <f>IF(P26&gt;=(Assumptions!$D$33),IF(P26&lt;=Assumptions!$D$15,IF(P26&gt;=Assumptions!$D$33,TREND($L$45:$L$46,$K$45:$K$46,P26),0),0),0)</f>
        <v>62630.783437500009</v>
      </c>
      <c r="V26" s="622">
        <f>IF(P26&gt;=(Assumptions!$D$33),IF(P26&lt;=Assumptions!$D$15,IF(P26&gt;=Assumptions!$D$33,TREND($L$50:$L$51,$K$50:$K$51,P26),0),0),0)</f>
        <v>53992.0546875</v>
      </c>
      <c r="W26" s="623">
        <f t="shared" si="9"/>
        <v>116622.83812500001</v>
      </c>
      <c r="X26" s="624">
        <f t="shared" si="7"/>
        <v>3802085.9361787504</v>
      </c>
      <c r="Y26" s="625">
        <f t="shared" si="10"/>
        <v>62630.783437500009</v>
      </c>
      <c r="Z26" s="622">
        <f t="shared" si="11"/>
        <v>61990.877604166744</v>
      </c>
      <c r="AA26" s="623">
        <f t="shared" si="12"/>
        <v>124621.66104166675</v>
      </c>
      <c r="AB26" s="624">
        <f t="shared" si="13"/>
        <v>4074045.9153454201</v>
      </c>
    </row>
    <row r="27" spans="1:28" ht="15" customHeight="1" x14ac:dyDescent="0.25">
      <c r="B27" s="105">
        <f t="shared" si="5"/>
        <v>2047</v>
      </c>
      <c r="C27" s="153">
        <f t="shared" si="0"/>
        <v>0</v>
      </c>
      <c r="D27" s="150">
        <f t="shared" si="1"/>
        <v>0</v>
      </c>
      <c r="E27" s="153">
        <f t="shared" si="2"/>
        <v>0</v>
      </c>
      <c r="F27" s="154">
        <f t="shared" si="3"/>
        <v>0</v>
      </c>
      <c r="G27" s="155">
        <f t="shared" si="4"/>
        <v>0</v>
      </c>
      <c r="H27" s="156">
        <f>G27*(1+0.07)^-(B27-Assumptions!$D$11)</f>
        <v>0</v>
      </c>
      <c r="I27" s="3"/>
      <c r="P27" s="105">
        <v>2044</v>
      </c>
      <c r="Q27" s="621">
        <f>IF(P27&gt;=(Assumptions!$D$33),IF(P27&lt;=Assumptions!$D$15,IF(P27&gt;=Assumptions!$D$33,TREND($L$35:$L$36,$K$35:$K$36,P27),0),0),0)</f>
        <v>125774.46683035721</v>
      </c>
      <c r="R27" s="622">
        <f>IF(P27&gt;=(Assumptions!$D$33),IF(P27&lt;=Assumptions!$D$15,IF(P27&gt;=Assumptions!$D$33,TREND($L$40:$L$41,$K$40:$K$41,P27),0),0),0)</f>
        <v>116457.83965773822</v>
      </c>
      <c r="S27" s="623">
        <f t="shared" si="8"/>
        <v>242232.30648809543</v>
      </c>
      <c r="T27" s="624">
        <f t="shared" si="6"/>
        <v>7908381.7089689951</v>
      </c>
      <c r="U27" s="621">
        <f>IF(P27&gt;=(Assumptions!$D$33),IF(P27&lt;=Assumptions!$D$15,IF(P27&gt;=Assumptions!$D$33,TREND($L$45:$L$46,$K$45:$K$46,P27),0),0),0)</f>
        <v>62887.233415178605</v>
      </c>
      <c r="V27" s="622">
        <f>IF(P27&gt;=(Assumptions!$D$33),IF(P27&lt;=Assumptions!$D$15,IF(P27&gt;=Assumptions!$D$33,TREND($L$50:$L$51,$K$50:$K$51,P27),0),0),0)</f>
        <v>54213.132254464261</v>
      </c>
      <c r="W27" s="623">
        <f t="shared" si="9"/>
        <v>117100.36566964287</v>
      </c>
      <c r="X27" s="624">
        <f t="shared" si="7"/>
        <v>3817654.0769547326</v>
      </c>
      <c r="Y27" s="625">
        <f t="shared" si="10"/>
        <v>62887.233415178605</v>
      </c>
      <c r="Z27" s="622">
        <f t="shared" si="11"/>
        <v>62244.707403273962</v>
      </c>
      <c r="AA27" s="623">
        <f t="shared" si="12"/>
        <v>125131.94081845257</v>
      </c>
      <c r="AB27" s="624">
        <f t="shared" si="13"/>
        <v>4090727.6320142625</v>
      </c>
    </row>
    <row r="28" spans="1:28" ht="15" customHeight="1" x14ac:dyDescent="0.25">
      <c r="A28" s="2"/>
      <c r="B28" s="105">
        <f t="shared" si="5"/>
        <v>2048</v>
      </c>
      <c r="C28" s="153">
        <f t="shared" si="0"/>
        <v>0</v>
      </c>
      <c r="D28" s="150">
        <f t="shared" si="1"/>
        <v>0</v>
      </c>
      <c r="E28" s="153">
        <f t="shared" si="2"/>
        <v>0</v>
      </c>
      <c r="F28" s="154">
        <f t="shared" si="3"/>
        <v>0</v>
      </c>
      <c r="G28" s="155">
        <f t="shared" si="4"/>
        <v>0</v>
      </c>
      <c r="H28" s="156">
        <f>G28*(1+0.07)^-(B28-Assumptions!$D$11)</f>
        <v>0</v>
      </c>
      <c r="K28" s="1" t="s">
        <v>602</v>
      </c>
      <c r="P28" s="105">
        <v>2045</v>
      </c>
      <c r="Q28" s="621">
        <f>IF(P28&gt;=(Assumptions!$D$33),IF(P28&lt;=Assumptions!$D$15,IF(P28&gt;=Assumptions!$D$33,TREND($L$35:$L$36,$K$35:$K$36,P28),0),0),0)</f>
        <v>126287.3667857144</v>
      </c>
      <c r="R28" s="622">
        <f>IF(P28&gt;=(Assumptions!$D$33),IF(P28&lt;=Assumptions!$D$15,IF(P28&gt;=Assumptions!$D$33,TREND($L$40:$L$41,$K$40:$K$41,P28),0),0),0)</f>
        <v>116932.74702380958</v>
      </c>
      <c r="S28" s="623">
        <f t="shared" si="8"/>
        <v>243220.11380952399</v>
      </c>
      <c r="T28" s="624">
        <f t="shared" si="6"/>
        <v>7940631.5664138161</v>
      </c>
      <c r="U28" s="621">
        <f>IF(P28&gt;=(Assumptions!$D$33),IF(P28&lt;=Assumptions!$D$15,IF(P28&gt;=Assumptions!$D$33,TREND($L$45:$L$46,$K$45:$K$46,P28),0),0),0)</f>
        <v>63143.683392857201</v>
      </c>
      <c r="V28" s="622">
        <f>IF(P28&gt;=(Assumptions!$D$33),IF(P28&lt;=Assumptions!$D$15,IF(P28&gt;=Assumptions!$D$33,TREND($L$50:$L$51,$K$50:$K$51,P28),0),0),0)</f>
        <v>54434.20982142858</v>
      </c>
      <c r="W28" s="623">
        <f t="shared" si="9"/>
        <v>117577.89321428578</v>
      </c>
      <c r="X28" s="624">
        <f t="shared" si="7"/>
        <v>3833222.2177307168</v>
      </c>
      <c r="Y28" s="625">
        <f t="shared" si="10"/>
        <v>63143.683392857201</v>
      </c>
      <c r="Z28" s="622">
        <f t="shared" si="11"/>
        <v>62498.537202381005</v>
      </c>
      <c r="AA28" s="623">
        <f t="shared" si="12"/>
        <v>125642.22059523821</v>
      </c>
      <c r="AB28" s="624">
        <f t="shared" si="13"/>
        <v>4107409.3486830993</v>
      </c>
    </row>
    <row r="29" spans="1:28" ht="15" customHeight="1" x14ac:dyDescent="0.25">
      <c r="B29" s="105">
        <f t="shared" si="5"/>
        <v>2049</v>
      </c>
      <c r="C29" s="153">
        <f t="shared" si="0"/>
        <v>0</v>
      </c>
      <c r="D29" s="150">
        <f t="shared" si="1"/>
        <v>0</v>
      </c>
      <c r="E29" s="153">
        <f t="shared" si="2"/>
        <v>0</v>
      </c>
      <c r="F29" s="154">
        <f t="shared" si="3"/>
        <v>0</v>
      </c>
      <c r="G29" s="155">
        <f t="shared" si="4"/>
        <v>0</v>
      </c>
      <c r="H29" s="156">
        <f>G29*(1+0.07)^-(B29-Assumptions!$D$11)</f>
        <v>0</v>
      </c>
      <c r="K29" s="34" t="s">
        <v>84</v>
      </c>
      <c r="L29" s="34" t="s">
        <v>219</v>
      </c>
      <c r="M29" s="34" t="s">
        <v>220</v>
      </c>
      <c r="N29" s="34" t="s">
        <v>221</v>
      </c>
      <c r="P29" s="105">
        <v>2046</v>
      </c>
      <c r="Q29" s="621">
        <f>IF(P29&gt;=(Assumptions!$D$33),IF(P29&lt;=Assumptions!$D$15,IF(P29&gt;=Assumptions!$D$33,TREND($L$35:$L$36,$K$35:$K$36,P29),0),0),0)</f>
        <v>0</v>
      </c>
      <c r="R29" s="622">
        <f>IF(P29&gt;=(Assumptions!$D$33),IF(P29&lt;=Assumptions!$D$15,IF(P29&gt;=Assumptions!$D$33,TREND($L$40:$L$41,$K$40:$K$41,P29),0),0),0)</f>
        <v>0</v>
      </c>
      <c r="S29" s="623">
        <f t="shared" si="8"/>
        <v>0</v>
      </c>
      <c r="T29" s="624">
        <f t="shared" si="6"/>
        <v>0</v>
      </c>
      <c r="U29" s="621">
        <f>IF(P29&gt;=(Assumptions!$D$33),IF(P29&lt;=Assumptions!$D$15,IF(P29&gt;=Assumptions!$D$33,TREND($L$45:$L$46,$K$45:$K$46,P29),0),0),0)</f>
        <v>0</v>
      </c>
      <c r="V29" s="622">
        <f>IF(P29&gt;=(Assumptions!$D$33),IF(P29&lt;=Assumptions!$D$15,IF(P29&gt;=Assumptions!$D$33,TREND($L$50:$L$51,$K$50:$K$51,P29),0),0),0)</f>
        <v>0</v>
      </c>
      <c r="W29" s="623">
        <f t="shared" si="9"/>
        <v>0</v>
      </c>
      <c r="X29" s="624">
        <f t="shared" si="7"/>
        <v>0</v>
      </c>
      <c r="Y29" s="625">
        <f t="shared" si="10"/>
        <v>0</v>
      </c>
      <c r="Z29" s="622">
        <f t="shared" si="11"/>
        <v>0</v>
      </c>
      <c r="AA29" s="623">
        <f t="shared" si="12"/>
        <v>0</v>
      </c>
      <c r="AB29" s="624">
        <f t="shared" si="13"/>
        <v>0</v>
      </c>
    </row>
    <row r="30" spans="1:28" ht="15" customHeight="1" x14ac:dyDescent="0.25">
      <c r="B30" s="105">
        <f t="shared" si="5"/>
        <v>2050</v>
      </c>
      <c r="C30" s="153">
        <f t="shared" si="0"/>
        <v>0</v>
      </c>
      <c r="D30" s="150">
        <f t="shared" si="1"/>
        <v>0</v>
      </c>
      <c r="E30" s="153">
        <f t="shared" si="2"/>
        <v>0</v>
      </c>
      <c r="F30" s="154">
        <f t="shared" si="3"/>
        <v>0</v>
      </c>
      <c r="G30" s="155">
        <f t="shared" si="4"/>
        <v>0</v>
      </c>
      <c r="H30" s="156">
        <f>G30*(1+0.07)^-(B30-Assumptions!$D$11)</f>
        <v>0</v>
      </c>
      <c r="K30" s="255" t="s">
        <v>830</v>
      </c>
      <c r="L30" s="615">
        <v>19.399999999999999</v>
      </c>
      <c r="M30" s="615">
        <v>18</v>
      </c>
      <c r="N30" s="614" t="s">
        <v>574</v>
      </c>
      <c r="P30" s="105">
        <v>2047</v>
      </c>
      <c r="Q30" s="621">
        <f>IF(P30&gt;=(Assumptions!$D$33),IF(P30&lt;=Assumptions!$D$15,IF(P30&gt;=Assumptions!$D$33,TREND($L$35:$L$36,$K$35:$K$36,P30),0),0),0)</f>
        <v>0</v>
      </c>
      <c r="R30" s="622">
        <f>IF(P30&gt;=(Assumptions!$D$33),IF(P30&lt;=Assumptions!$D$15,IF(P30&gt;=Assumptions!$D$33,TREND($L$40:$L$41,$K$40:$K$41,P30),0),0),0)</f>
        <v>0</v>
      </c>
      <c r="S30" s="623">
        <f t="shared" si="8"/>
        <v>0</v>
      </c>
      <c r="T30" s="624">
        <f t="shared" si="6"/>
        <v>0</v>
      </c>
      <c r="U30" s="621">
        <f>IF(P30&gt;=(Assumptions!$D$33),IF(P30&lt;=Assumptions!$D$15,IF(P30&gt;=Assumptions!$D$33,TREND($L$45:$L$46,$K$45:$K$46,P30),0),0),0)</f>
        <v>0</v>
      </c>
      <c r="V30" s="622">
        <f>IF(P30&gt;=(Assumptions!$D$33),IF(P30&lt;=Assumptions!$D$15,IF(P30&gt;=Assumptions!$D$33,TREND($L$50:$L$51,$K$50:$K$51,P30),0),0),0)</f>
        <v>0</v>
      </c>
      <c r="W30" s="623">
        <f t="shared" si="9"/>
        <v>0</v>
      </c>
      <c r="X30" s="624">
        <f t="shared" si="7"/>
        <v>0</v>
      </c>
      <c r="Y30" s="625">
        <f t="shared" si="10"/>
        <v>0</v>
      </c>
      <c r="Z30" s="622">
        <f t="shared" si="11"/>
        <v>0</v>
      </c>
      <c r="AA30" s="623">
        <f t="shared" si="12"/>
        <v>0</v>
      </c>
      <c r="AB30" s="624">
        <f t="shared" si="13"/>
        <v>0</v>
      </c>
    </row>
    <row r="31" spans="1:28" ht="15" customHeight="1" x14ac:dyDescent="0.25">
      <c r="B31" s="105">
        <f t="shared" si="5"/>
        <v>2051</v>
      </c>
      <c r="C31" s="153">
        <f t="shared" si="0"/>
        <v>0</v>
      </c>
      <c r="D31" s="150">
        <f t="shared" si="1"/>
        <v>0</v>
      </c>
      <c r="E31" s="153">
        <f t="shared" si="2"/>
        <v>0</v>
      </c>
      <c r="F31" s="154">
        <f t="shared" si="3"/>
        <v>0</v>
      </c>
      <c r="G31" s="155">
        <f t="shared" si="4"/>
        <v>0</v>
      </c>
      <c r="H31" s="156">
        <f>G31*(1+0.07)^-(B31-Assumptions!$D$11)</f>
        <v>0</v>
      </c>
      <c r="K31" s="255" t="s">
        <v>831</v>
      </c>
      <c r="L31" s="615">
        <v>55.7</v>
      </c>
      <c r="M31" s="615">
        <v>54</v>
      </c>
      <c r="N31" s="671" t="s">
        <v>938</v>
      </c>
      <c r="P31" s="105">
        <v>2048</v>
      </c>
      <c r="Q31" s="621">
        <f>IF(P31&gt;=(Assumptions!$D$33),IF(P31&lt;=Assumptions!$D$15,IF(P31&gt;=Assumptions!$D$33,TREND($L$35:$L$36,$K$35:$K$36,P31),0),0),0)</f>
        <v>0</v>
      </c>
      <c r="R31" s="622">
        <f>IF(P31&gt;=(Assumptions!$D$33),IF(P31&lt;=Assumptions!$D$15,IF(P31&gt;=Assumptions!$D$33,TREND($L$40:$L$41,$K$40:$K$41,P31),0),0),0)</f>
        <v>0</v>
      </c>
      <c r="S31" s="623">
        <f t="shared" si="8"/>
        <v>0</v>
      </c>
      <c r="T31" s="624">
        <f t="shared" si="6"/>
        <v>0</v>
      </c>
      <c r="U31" s="621">
        <f>IF(P31&gt;=(Assumptions!$D$33),IF(P31&lt;=Assumptions!$D$15,IF(P31&gt;=Assumptions!$D$33,TREND($L$45:$L$46,$K$45:$K$46,P31),0),0),0)</f>
        <v>0</v>
      </c>
      <c r="V31" s="622">
        <f>IF(P31&gt;=(Assumptions!$D$33),IF(P31&lt;=Assumptions!$D$15,IF(P31&gt;=Assumptions!$D$33,TREND($L$50:$L$51,$K$50:$K$51,P31),0),0),0)</f>
        <v>0</v>
      </c>
      <c r="W31" s="623">
        <f t="shared" si="9"/>
        <v>0</v>
      </c>
      <c r="X31" s="624">
        <f t="shared" si="7"/>
        <v>0</v>
      </c>
      <c r="Y31" s="625">
        <f t="shared" si="10"/>
        <v>0</v>
      </c>
      <c r="Z31" s="622">
        <f t="shared" si="11"/>
        <v>0</v>
      </c>
      <c r="AA31" s="623">
        <f t="shared" si="12"/>
        <v>0</v>
      </c>
      <c r="AB31" s="624">
        <f t="shared" si="13"/>
        <v>0</v>
      </c>
    </row>
    <row r="32" spans="1:28" ht="15" customHeight="1" x14ac:dyDescent="0.25">
      <c r="B32" s="105">
        <f t="shared" si="5"/>
        <v>2052</v>
      </c>
      <c r="C32" s="153">
        <f t="shared" si="0"/>
        <v>0</v>
      </c>
      <c r="D32" s="150">
        <f t="shared" si="1"/>
        <v>0</v>
      </c>
      <c r="E32" s="153">
        <f t="shared" si="2"/>
        <v>0</v>
      </c>
      <c r="F32" s="154">
        <f t="shared" si="3"/>
        <v>0</v>
      </c>
      <c r="G32" s="155">
        <f t="shared" si="4"/>
        <v>0</v>
      </c>
      <c r="H32" s="156">
        <f>G32*(1+0.07)^-(B32-Assumptions!$D$11)</f>
        <v>0</v>
      </c>
      <c r="P32" s="105">
        <v>2049</v>
      </c>
      <c r="Q32" s="621">
        <f>IF(P32&gt;=(Assumptions!$D$33),IF(P32&lt;=Assumptions!$D$15,IF(P32&gt;=Assumptions!$D$33,TREND($L$35:$L$36,$K$35:$K$36,P32),0),0),0)</f>
        <v>0</v>
      </c>
      <c r="R32" s="622">
        <f>IF(P32&gt;=(Assumptions!$D$33),IF(P32&lt;=Assumptions!$D$15,IF(P32&gt;=Assumptions!$D$33,TREND($L$40:$L$41,$K$40:$K$41,P32),0),0),0)</f>
        <v>0</v>
      </c>
      <c r="S32" s="623">
        <f t="shared" si="8"/>
        <v>0</v>
      </c>
      <c r="T32" s="624">
        <f t="shared" si="6"/>
        <v>0</v>
      </c>
      <c r="U32" s="621">
        <f>IF(P32&gt;=(Assumptions!$D$33),IF(P32&lt;=Assumptions!$D$15,IF(P32&gt;=Assumptions!$D$33,TREND($L$45:$L$46,$K$45:$K$46,P32),0),0),0)</f>
        <v>0</v>
      </c>
      <c r="V32" s="622">
        <f>IF(P32&gt;=(Assumptions!$D$33),IF(P32&lt;=Assumptions!$D$15,IF(P32&gt;=Assumptions!$D$33,TREND($L$50:$L$51,$K$50:$K$51,P32),0),0),0)</f>
        <v>0</v>
      </c>
      <c r="W32" s="623">
        <f t="shared" si="9"/>
        <v>0</v>
      </c>
      <c r="X32" s="624">
        <f t="shared" si="7"/>
        <v>0</v>
      </c>
      <c r="Y32" s="625">
        <f t="shared" si="10"/>
        <v>0</v>
      </c>
      <c r="Z32" s="622">
        <f t="shared" si="11"/>
        <v>0</v>
      </c>
      <c r="AA32" s="623">
        <f t="shared" si="12"/>
        <v>0</v>
      </c>
      <c r="AB32" s="624">
        <f t="shared" si="13"/>
        <v>0</v>
      </c>
    </row>
    <row r="33" spans="1:28" ht="15" customHeight="1" x14ac:dyDescent="0.25">
      <c r="B33" s="105">
        <f t="shared" si="5"/>
        <v>2053</v>
      </c>
      <c r="C33" s="153">
        <f t="shared" si="0"/>
        <v>0</v>
      </c>
      <c r="D33" s="150">
        <f t="shared" si="1"/>
        <v>0</v>
      </c>
      <c r="E33" s="153">
        <f t="shared" si="2"/>
        <v>0</v>
      </c>
      <c r="F33" s="154">
        <f t="shared" si="3"/>
        <v>0</v>
      </c>
      <c r="G33" s="155">
        <f t="shared" si="4"/>
        <v>0</v>
      </c>
      <c r="H33" s="156">
        <f>G33*(1+0.07)^-(B33-Assumptions!$D$11)</f>
        <v>0</v>
      </c>
      <c r="K33" s="1" t="s">
        <v>603</v>
      </c>
      <c r="P33" s="105">
        <v>2050</v>
      </c>
      <c r="Q33" s="621">
        <f>IF(P33&gt;=(Assumptions!$D$33),IF(P33&lt;=Assumptions!$D$15,IF(P33&gt;=Assumptions!$D$33,TREND($L$35:$L$36,$K$35:$K$36,P33),0),0),0)</f>
        <v>0</v>
      </c>
      <c r="R33" s="622">
        <f>IF(P33&gt;=(Assumptions!$D$33),IF(P33&lt;=Assumptions!$D$15,IF(P33&gt;=Assumptions!$D$33,TREND($L$40:$L$41,$K$40:$K$41,P33),0),0),0)</f>
        <v>0</v>
      </c>
      <c r="S33" s="623">
        <f t="shared" si="8"/>
        <v>0</v>
      </c>
      <c r="T33" s="624">
        <f t="shared" si="6"/>
        <v>0</v>
      </c>
      <c r="U33" s="621">
        <f>IF(P33&gt;=(Assumptions!$D$33),IF(P33&lt;=Assumptions!$D$15,IF(P33&gt;=Assumptions!$D$33,TREND($L$45:$L$46,$K$45:$K$46,P33),0),0),0)</f>
        <v>0</v>
      </c>
      <c r="V33" s="622">
        <f>IF(P33&gt;=(Assumptions!$D$33),IF(P33&lt;=Assumptions!$D$15,IF(P33&gt;=Assumptions!$D$33,TREND($L$50:$L$51,$K$50:$K$51,P33),0),0),0)</f>
        <v>0</v>
      </c>
      <c r="W33" s="623">
        <f t="shared" si="9"/>
        <v>0</v>
      </c>
      <c r="X33" s="624">
        <f t="shared" si="7"/>
        <v>0</v>
      </c>
      <c r="Y33" s="625">
        <f t="shared" si="10"/>
        <v>0</v>
      </c>
      <c r="Z33" s="622">
        <f t="shared" si="11"/>
        <v>0</v>
      </c>
      <c r="AA33" s="623">
        <f t="shared" si="12"/>
        <v>0</v>
      </c>
      <c r="AB33" s="624">
        <f t="shared" si="13"/>
        <v>0</v>
      </c>
    </row>
    <row r="34" spans="1:28" ht="15" customHeight="1" x14ac:dyDescent="0.25">
      <c r="B34" s="105">
        <f t="shared" si="5"/>
        <v>2054</v>
      </c>
      <c r="C34" s="153">
        <f t="shared" si="0"/>
        <v>0</v>
      </c>
      <c r="D34" s="150">
        <f t="shared" si="1"/>
        <v>0</v>
      </c>
      <c r="E34" s="153">
        <f t="shared" si="2"/>
        <v>0</v>
      </c>
      <c r="F34" s="154">
        <f t="shared" si="3"/>
        <v>0</v>
      </c>
      <c r="G34" s="155">
        <f t="shared" si="4"/>
        <v>0</v>
      </c>
      <c r="H34" s="156">
        <f>G34*(1+0.07)^-(B34-Assumptions!$D$11)</f>
        <v>0</v>
      </c>
      <c r="K34" s="24" t="s">
        <v>53</v>
      </c>
      <c r="L34" s="24" t="s">
        <v>594</v>
      </c>
      <c r="P34" s="105">
        <v>2051</v>
      </c>
      <c r="Q34" s="621">
        <f>IF(P34&gt;=(Assumptions!$D$33),IF(P34&lt;=Assumptions!$D$15,IF(P34&gt;=Assumptions!$D$33,TREND($L$35:$L$36,$K$35:$K$36,P34),0),0),0)</f>
        <v>0</v>
      </c>
      <c r="R34" s="622">
        <f>IF(P34&gt;=(Assumptions!$D$33),IF(P34&lt;=Assumptions!$D$15,IF(P34&gt;=Assumptions!$D$33,TREND($L$40:$L$41,$K$40:$K$41,P34),0),0),0)</f>
        <v>0</v>
      </c>
      <c r="S34" s="623">
        <f t="shared" si="8"/>
        <v>0</v>
      </c>
      <c r="T34" s="624">
        <f t="shared" si="6"/>
        <v>0</v>
      </c>
      <c r="U34" s="621">
        <f>IF(P34&gt;=(Assumptions!$D$33),IF(P34&lt;=Assumptions!$D$15,IF(P34&gt;=Assumptions!$D$33,TREND($L$45:$L$46,$K$45:$K$46,P34),0),0),0)</f>
        <v>0</v>
      </c>
      <c r="V34" s="622">
        <f>IF(P34&gt;=(Assumptions!$D$33),IF(P34&lt;=Assumptions!$D$15,IF(P34&gt;=Assumptions!$D$33,TREND($L$50:$L$51,$K$50:$K$51,P34),0),0),0)</f>
        <v>0</v>
      </c>
      <c r="W34" s="623">
        <f t="shared" si="9"/>
        <v>0</v>
      </c>
      <c r="X34" s="624">
        <f t="shared" si="7"/>
        <v>0</v>
      </c>
      <c r="Y34" s="625">
        <f t="shared" si="10"/>
        <v>0</v>
      </c>
      <c r="Z34" s="622">
        <f t="shared" si="11"/>
        <v>0</v>
      </c>
      <c r="AA34" s="623">
        <f t="shared" si="12"/>
        <v>0</v>
      </c>
      <c r="AB34" s="624">
        <f t="shared" si="13"/>
        <v>0</v>
      </c>
    </row>
    <row r="35" spans="1:28" ht="15" customHeight="1" x14ac:dyDescent="0.25">
      <c r="B35" s="105">
        <f t="shared" si="5"/>
        <v>2055</v>
      </c>
      <c r="C35" s="153">
        <f t="shared" si="0"/>
        <v>0</v>
      </c>
      <c r="D35" s="150">
        <f t="shared" si="1"/>
        <v>0</v>
      </c>
      <c r="E35" s="153">
        <f t="shared" si="2"/>
        <v>0</v>
      </c>
      <c r="F35" s="154">
        <f t="shared" si="3"/>
        <v>0</v>
      </c>
      <c r="G35" s="155">
        <f t="shared" si="4"/>
        <v>0</v>
      </c>
      <c r="H35" s="156">
        <f>G35*(1+0.07)^-(B35-Assumptions!$D$11)</f>
        <v>0</v>
      </c>
      <c r="K35" s="24">
        <v>2021</v>
      </c>
      <c r="L35" s="278">
        <f>($M$25/60)*$L$10*365*$L$16</f>
        <v>113977.76785714287</v>
      </c>
      <c r="P35" s="105">
        <v>2052</v>
      </c>
      <c r="Q35" s="621">
        <f>IF(P35&gt;=(Assumptions!$D$33),IF(P35&lt;=Assumptions!$D$15,IF(P35&gt;=Assumptions!$D$33,TREND($L$35:$L$36,$K$35:$K$36,P35),0),0),0)</f>
        <v>0</v>
      </c>
      <c r="R35" s="622">
        <f>IF(P35&gt;=(Assumptions!$D$33),IF(P35&lt;=Assumptions!$D$15,IF(P35&gt;=Assumptions!$D$33,TREND($L$40:$L$41,$K$40:$K$41,P35),0),0),0)</f>
        <v>0</v>
      </c>
      <c r="S35" s="623">
        <f t="shared" si="8"/>
        <v>0</v>
      </c>
      <c r="T35" s="624">
        <f t="shared" si="6"/>
        <v>0</v>
      </c>
      <c r="U35" s="621">
        <f>IF(P35&gt;=(Assumptions!$D$33),IF(P35&lt;=Assumptions!$D$15,IF(P35&gt;=Assumptions!$D$33,TREND($L$45:$L$46,$K$45:$K$46,P35),0),0),0)</f>
        <v>0</v>
      </c>
      <c r="V35" s="622">
        <f>IF(P35&gt;=(Assumptions!$D$33),IF(P35&lt;=Assumptions!$D$15,IF(P35&gt;=Assumptions!$D$33,TREND($L$50:$L$51,$K$50:$K$51,P35),0),0),0)</f>
        <v>0</v>
      </c>
      <c r="W35" s="623">
        <f t="shared" si="9"/>
        <v>0</v>
      </c>
      <c r="X35" s="624">
        <f t="shared" si="7"/>
        <v>0</v>
      </c>
      <c r="Y35" s="625">
        <f t="shared" si="10"/>
        <v>0</v>
      </c>
      <c r="Z35" s="622">
        <f t="shared" si="11"/>
        <v>0</v>
      </c>
      <c r="AA35" s="623">
        <f t="shared" si="12"/>
        <v>0</v>
      </c>
      <c r="AB35" s="624">
        <f t="shared" si="13"/>
        <v>0</v>
      </c>
    </row>
    <row r="36" spans="1:28" ht="15" customHeight="1" x14ac:dyDescent="0.25">
      <c r="B36" s="105">
        <f t="shared" si="5"/>
        <v>2056</v>
      </c>
      <c r="C36" s="153">
        <f t="shared" si="0"/>
        <v>0</v>
      </c>
      <c r="D36" s="150">
        <f t="shared" si="1"/>
        <v>0</v>
      </c>
      <c r="E36" s="153">
        <f t="shared" si="2"/>
        <v>0</v>
      </c>
      <c r="F36" s="154">
        <f t="shared" si="3"/>
        <v>0</v>
      </c>
      <c r="G36" s="155">
        <f t="shared" si="4"/>
        <v>0</v>
      </c>
      <c r="H36" s="156">
        <f>G36*(1+0.07)^-(B36-Assumptions!$D$11)</f>
        <v>0</v>
      </c>
      <c r="K36" s="24">
        <v>2045</v>
      </c>
      <c r="L36" s="278">
        <f>($M$25/60)*$L$10*365*$L$17</f>
        <v>126287.3667857143</v>
      </c>
      <c r="P36" s="105">
        <v>2053</v>
      </c>
      <c r="Q36" s="621">
        <f>IF(P36&gt;=(Assumptions!$D$33),IF(P36&lt;=Assumptions!$D$15,IF(P36&gt;=Assumptions!$D$33,TREND($L$35:$L$36,$K$35:$K$36,P36),0),0),0)</f>
        <v>0</v>
      </c>
      <c r="R36" s="622">
        <f>IF(P36&gt;=(Assumptions!$D$33),IF(P36&lt;=Assumptions!$D$15,IF(P36&gt;=Assumptions!$D$33,TREND($L$40:$L$41,$K$40:$K$41,P36),0),0),0)</f>
        <v>0</v>
      </c>
      <c r="S36" s="623">
        <f t="shared" si="8"/>
        <v>0</v>
      </c>
      <c r="T36" s="624">
        <f t="shared" si="6"/>
        <v>0</v>
      </c>
      <c r="U36" s="621">
        <f>IF(P36&gt;=(Assumptions!$D$33),IF(P36&lt;=Assumptions!$D$15,IF(P36&gt;=Assumptions!$D$33,TREND($L$45:$L$46,$K$45:$K$46,P36),0),0),0)</f>
        <v>0</v>
      </c>
      <c r="V36" s="622">
        <f>IF(P36&gt;=(Assumptions!$D$33),IF(P36&lt;=Assumptions!$D$15,IF(P36&gt;=Assumptions!$D$33,TREND($L$50:$L$51,$K$50:$K$51,P36),0),0),0)</f>
        <v>0</v>
      </c>
      <c r="W36" s="623">
        <f t="shared" si="9"/>
        <v>0</v>
      </c>
      <c r="X36" s="624">
        <f t="shared" si="7"/>
        <v>0</v>
      </c>
      <c r="Y36" s="625">
        <f t="shared" si="10"/>
        <v>0</v>
      </c>
      <c r="Z36" s="622">
        <f t="shared" si="11"/>
        <v>0</v>
      </c>
      <c r="AA36" s="623">
        <f t="shared" si="12"/>
        <v>0</v>
      </c>
      <c r="AB36" s="624">
        <f t="shared" si="13"/>
        <v>0</v>
      </c>
    </row>
    <row r="37" spans="1:28" ht="15" customHeight="1" outlineLevel="1" x14ac:dyDescent="0.25">
      <c r="B37" s="105">
        <f t="shared" si="5"/>
        <v>2057</v>
      </c>
      <c r="C37" s="153">
        <f t="shared" si="0"/>
        <v>0</v>
      </c>
      <c r="D37" s="150">
        <f t="shared" si="1"/>
        <v>0</v>
      </c>
      <c r="E37" s="153">
        <f t="shared" si="2"/>
        <v>0</v>
      </c>
      <c r="F37" s="154">
        <f t="shared" si="3"/>
        <v>0</v>
      </c>
      <c r="G37" s="155">
        <f t="shared" si="4"/>
        <v>0</v>
      </c>
      <c r="H37" s="156">
        <f>G37*(1+0.07)^-(B37-Assumptions!$D$11)</f>
        <v>0</v>
      </c>
      <c r="P37" s="105">
        <v>2054</v>
      </c>
      <c r="Q37" s="621">
        <f>IF(P37&gt;=(Assumptions!$D$33),IF(P37&lt;=Assumptions!$D$15,IF(P37&gt;=Assumptions!$D$33,TREND($L$35:$L$36,$K$35:$K$36,P37),0),0),0)</f>
        <v>0</v>
      </c>
      <c r="R37" s="622">
        <f>IF(P37&gt;=(Assumptions!$D$33),IF(P37&lt;=Assumptions!$D$15,IF(P37&gt;=Assumptions!$D$33,TREND($L$40:$L$41,$K$40:$K$41,P37),0),0),0)</f>
        <v>0</v>
      </c>
      <c r="S37" s="623">
        <f t="shared" si="8"/>
        <v>0</v>
      </c>
      <c r="T37" s="624">
        <f t="shared" si="6"/>
        <v>0</v>
      </c>
      <c r="U37" s="621">
        <f>IF(P37&gt;=(Assumptions!$D$33),IF(P37&lt;=Assumptions!$D$15,IF(P37&gt;=Assumptions!$D$33,TREND($L$45:$L$46,$K$45:$K$46,P37),0),0),0)</f>
        <v>0</v>
      </c>
      <c r="V37" s="622">
        <f>IF(P37&gt;=(Assumptions!$D$33),IF(P37&lt;=Assumptions!$D$15,IF(P37&gt;=Assumptions!$D$33,TREND($L$50:$L$51,$K$50:$K$51,P37),0),0),0)</f>
        <v>0</v>
      </c>
      <c r="W37" s="623">
        <f t="shared" si="9"/>
        <v>0</v>
      </c>
      <c r="X37" s="624">
        <f t="shared" si="7"/>
        <v>0</v>
      </c>
      <c r="Y37" s="625">
        <f t="shared" si="10"/>
        <v>0</v>
      </c>
      <c r="Z37" s="622">
        <f t="shared" si="11"/>
        <v>0</v>
      </c>
      <c r="AA37" s="623">
        <f t="shared" si="12"/>
        <v>0</v>
      </c>
      <c r="AB37" s="624">
        <f t="shared" si="13"/>
        <v>0</v>
      </c>
    </row>
    <row r="38" spans="1:28" ht="15" customHeight="1" outlineLevel="1" x14ac:dyDescent="0.25">
      <c r="B38" s="105">
        <f t="shared" si="5"/>
        <v>2058</v>
      </c>
      <c r="C38" s="153">
        <f t="shared" si="0"/>
        <v>0</v>
      </c>
      <c r="D38" s="150">
        <f t="shared" si="1"/>
        <v>0</v>
      </c>
      <c r="E38" s="153">
        <f t="shared" si="2"/>
        <v>0</v>
      </c>
      <c r="F38" s="154">
        <f t="shared" si="3"/>
        <v>0</v>
      </c>
      <c r="G38" s="155">
        <f t="shared" si="4"/>
        <v>0</v>
      </c>
      <c r="H38" s="156">
        <f>G38*(1+0.07)^-(B38-Assumptions!$D$11)</f>
        <v>0</v>
      </c>
      <c r="K38" s="1" t="s">
        <v>604</v>
      </c>
      <c r="P38" s="105">
        <v>2055</v>
      </c>
      <c r="Q38" s="621">
        <f>IF(P38&gt;=(Assumptions!$D$33),IF(P38&lt;=Assumptions!$D$15,IF(P38&gt;=Assumptions!$D$33,TREND($L$35:$L$36,$K$35:$K$36,P38),0),0),0)</f>
        <v>0</v>
      </c>
      <c r="R38" s="622">
        <f>IF(P38&gt;=(Assumptions!$D$33),IF(P38&lt;=Assumptions!$D$15,IF(P38&gt;=Assumptions!$D$33,TREND($L$40:$L$41,$K$40:$K$41,P38),0),0),0)</f>
        <v>0</v>
      </c>
      <c r="S38" s="623">
        <f t="shared" si="8"/>
        <v>0</v>
      </c>
      <c r="T38" s="624">
        <f t="shared" si="6"/>
        <v>0</v>
      </c>
      <c r="U38" s="621">
        <f>IF(P38&gt;=(Assumptions!$D$33),IF(P38&lt;=Assumptions!$D$15,IF(P38&gt;=Assumptions!$D$33,TREND($L$45:$L$46,$K$45:$K$46,P38),0),0),0)</f>
        <v>0</v>
      </c>
      <c r="V38" s="622">
        <f>IF(P38&gt;=(Assumptions!$D$33),IF(P38&lt;=Assumptions!$D$15,IF(P38&gt;=Assumptions!$D$33,TREND($L$50:$L$51,$K$50:$K$51,P38),0),0),0)</f>
        <v>0</v>
      </c>
      <c r="W38" s="623">
        <f t="shared" si="9"/>
        <v>0</v>
      </c>
      <c r="X38" s="624">
        <f t="shared" si="7"/>
        <v>0</v>
      </c>
      <c r="Y38" s="625">
        <f t="shared" si="10"/>
        <v>0</v>
      </c>
      <c r="Z38" s="622">
        <f t="shared" si="11"/>
        <v>0</v>
      </c>
      <c r="AA38" s="623">
        <f t="shared" si="12"/>
        <v>0</v>
      </c>
      <c r="AB38" s="624">
        <f t="shared" si="13"/>
        <v>0</v>
      </c>
    </row>
    <row r="39" spans="1:28" ht="15" customHeight="1" outlineLevel="1" x14ac:dyDescent="0.25">
      <c r="B39" s="105">
        <f t="shared" si="5"/>
        <v>2059</v>
      </c>
      <c r="C39" s="153">
        <f t="shared" si="0"/>
        <v>0</v>
      </c>
      <c r="D39" s="150">
        <f t="shared" si="1"/>
        <v>0</v>
      </c>
      <c r="E39" s="153">
        <f t="shared" si="2"/>
        <v>0</v>
      </c>
      <c r="F39" s="154">
        <f t="shared" si="3"/>
        <v>0</v>
      </c>
      <c r="G39" s="155">
        <f t="shared" si="4"/>
        <v>0</v>
      </c>
      <c r="H39" s="156">
        <f>G39*(1+0.07)^-(B39-Assumptions!$D$11)</f>
        <v>0</v>
      </c>
      <c r="K39" s="24" t="s">
        <v>53</v>
      </c>
      <c r="L39" s="24" t="s">
        <v>594</v>
      </c>
      <c r="P39" s="105">
        <v>2056</v>
      </c>
      <c r="Q39" s="621">
        <f>IF(P39&gt;=(Assumptions!$D$33),IF(P39&lt;=Assumptions!$D$15,IF(P39&gt;=Assumptions!$D$33,TREND($L$35:$L$36,$K$35:$K$36,P39),0),0),0)</f>
        <v>0</v>
      </c>
      <c r="R39" s="622">
        <f>IF(P39&gt;=(Assumptions!$D$33),IF(P39&lt;=Assumptions!$D$15,IF(P39&gt;=Assumptions!$D$33,TREND($L$40:$L$41,$K$40:$K$41,P39),0),0),0)</f>
        <v>0</v>
      </c>
      <c r="S39" s="623">
        <f t="shared" si="8"/>
        <v>0</v>
      </c>
      <c r="T39" s="624">
        <f t="shared" si="6"/>
        <v>0</v>
      </c>
      <c r="U39" s="621">
        <f>IF(P39&gt;=(Assumptions!$D$33),IF(P39&lt;=Assumptions!$D$15,IF(P39&gt;=Assumptions!$D$33,TREND($L$45:$L$46,$K$45:$K$46,P39),0),0),0)</f>
        <v>0</v>
      </c>
      <c r="V39" s="622">
        <f>IF(P39&gt;=(Assumptions!$D$33),IF(P39&lt;=Assumptions!$D$15,IF(P39&gt;=Assumptions!$D$33,TREND($L$50:$L$51,$K$50:$K$51,P39),0),0),0)</f>
        <v>0</v>
      </c>
      <c r="W39" s="623">
        <f t="shared" si="9"/>
        <v>0</v>
      </c>
      <c r="X39" s="624">
        <f t="shared" si="7"/>
        <v>0</v>
      </c>
      <c r="Y39" s="625">
        <f t="shared" si="10"/>
        <v>0</v>
      </c>
      <c r="Z39" s="622">
        <f t="shared" si="11"/>
        <v>0</v>
      </c>
      <c r="AA39" s="623">
        <f t="shared" si="12"/>
        <v>0</v>
      </c>
      <c r="AB39" s="624">
        <f t="shared" si="13"/>
        <v>0</v>
      </c>
    </row>
    <row r="40" spans="1:28" ht="15" customHeight="1" outlineLevel="1" x14ac:dyDescent="0.25">
      <c r="B40" s="105">
        <f t="shared" si="5"/>
        <v>2060</v>
      </c>
      <c r="C40" s="153">
        <f t="shared" si="0"/>
        <v>0</v>
      </c>
      <c r="D40" s="150">
        <f t="shared" si="1"/>
        <v>0</v>
      </c>
      <c r="E40" s="153">
        <f t="shared" si="2"/>
        <v>0</v>
      </c>
      <c r="F40" s="154">
        <f t="shared" si="3"/>
        <v>0</v>
      </c>
      <c r="G40" s="155">
        <f t="shared" si="4"/>
        <v>0</v>
      </c>
      <c r="H40" s="156">
        <f>G40*(1+0.07)^-(B40-Assumptions!$D$11)</f>
        <v>0</v>
      </c>
      <c r="K40" s="24">
        <v>2021</v>
      </c>
      <c r="L40" s="278">
        <f>($M$26/60)*$L$11*365*$L$16</f>
        <v>105534.97023809525</v>
      </c>
      <c r="P40" s="105">
        <v>2057</v>
      </c>
      <c r="Q40" s="621">
        <f>IF(P40&gt;=(Assumptions!$D$33),IF(P40&lt;=Assumptions!$D$15,IF(P40&gt;=Assumptions!$D$33,TREND($L$35:$L$36,$K$35:$K$36,P40),0),0),0)</f>
        <v>0</v>
      </c>
      <c r="R40" s="622">
        <f>IF(P40&gt;=(Assumptions!$D$33),IF(P40&lt;=Assumptions!$D$15,IF(P40&gt;=Assumptions!$D$33,TREND($L$40:$L$41,$K$40:$K$41,P40),0),0),0)</f>
        <v>0</v>
      </c>
      <c r="S40" s="623">
        <f t="shared" si="8"/>
        <v>0</v>
      </c>
      <c r="T40" s="624">
        <f t="shared" si="6"/>
        <v>0</v>
      </c>
      <c r="U40" s="621">
        <f>IF(P40&gt;=(Assumptions!$D$33),IF(P40&lt;=Assumptions!$D$15,IF(P40&gt;=Assumptions!$D$33,TREND($L$45:$L$46,$K$45:$K$46,P40),0),0),0)</f>
        <v>0</v>
      </c>
      <c r="V40" s="622">
        <f>IF(P40&gt;=(Assumptions!$D$33),IF(P40&lt;=Assumptions!$D$15,IF(P40&gt;=Assumptions!$D$33,TREND($L$50:$L$51,$K$50:$K$51,P40),0),0),0)</f>
        <v>0</v>
      </c>
      <c r="W40" s="623">
        <f t="shared" si="9"/>
        <v>0</v>
      </c>
      <c r="X40" s="624">
        <f t="shared" si="7"/>
        <v>0</v>
      </c>
      <c r="Y40" s="625">
        <f t="shared" si="10"/>
        <v>0</v>
      </c>
      <c r="Z40" s="622">
        <f t="shared" si="11"/>
        <v>0</v>
      </c>
      <c r="AA40" s="623">
        <f t="shared" si="12"/>
        <v>0</v>
      </c>
      <c r="AB40" s="624">
        <f t="shared" si="13"/>
        <v>0</v>
      </c>
    </row>
    <row r="41" spans="1:28" ht="15" customHeight="1" outlineLevel="1" thickBot="1" x14ac:dyDescent="0.3">
      <c r="B41" s="90">
        <f t="shared" si="5"/>
        <v>2061</v>
      </c>
      <c r="C41" s="157">
        <f t="shared" si="0"/>
        <v>0</v>
      </c>
      <c r="D41" s="158">
        <f t="shared" si="1"/>
        <v>0</v>
      </c>
      <c r="E41" s="157">
        <f t="shared" si="2"/>
        <v>0</v>
      </c>
      <c r="F41" s="159">
        <f t="shared" si="3"/>
        <v>0</v>
      </c>
      <c r="G41" s="160">
        <f t="shared" si="4"/>
        <v>0</v>
      </c>
      <c r="H41" s="161">
        <f>G41*(1+0.07)^-(B41-Assumptions!$D$11)</f>
        <v>0</v>
      </c>
      <c r="I41" s="30"/>
      <c r="K41" s="24">
        <v>2045</v>
      </c>
      <c r="L41" s="278">
        <f>($M$26/60)*$L$11*365*$L$17</f>
        <v>116932.74702380954</v>
      </c>
      <c r="P41" s="105">
        <v>2058</v>
      </c>
      <c r="Q41" s="621">
        <f>IF(P41&gt;=(Assumptions!$D$33),IF(P41&lt;=Assumptions!$D$15,IF(P41&gt;=Assumptions!$D$33,TREND($L$35:$L$36,$K$35:$K$36,P41),0),0),0)</f>
        <v>0</v>
      </c>
      <c r="R41" s="622">
        <f>IF(P41&gt;=(Assumptions!$D$33),IF(P41&lt;=Assumptions!$D$15,IF(P41&gt;=Assumptions!$D$33,TREND($L$40:$L$41,$K$40:$K$41,P41),0),0),0)</f>
        <v>0</v>
      </c>
      <c r="S41" s="623">
        <f t="shared" si="8"/>
        <v>0</v>
      </c>
      <c r="T41" s="624">
        <f t="shared" si="6"/>
        <v>0</v>
      </c>
      <c r="U41" s="621">
        <f>IF(P41&gt;=(Assumptions!$D$33),IF(P41&lt;=Assumptions!$D$15,IF(P41&gt;=Assumptions!$D$33,TREND($L$45:$L$46,$K$45:$K$46,P41),0),0),0)</f>
        <v>0</v>
      </c>
      <c r="V41" s="622">
        <f>IF(P41&gt;=(Assumptions!$D$33),IF(P41&lt;=Assumptions!$D$15,IF(P41&gt;=Assumptions!$D$33,TREND($L$50:$L$51,$K$50:$K$51,P41),0),0),0)</f>
        <v>0</v>
      </c>
      <c r="W41" s="623">
        <f t="shared" si="9"/>
        <v>0</v>
      </c>
      <c r="X41" s="624">
        <f t="shared" si="7"/>
        <v>0</v>
      </c>
      <c r="Y41" s="625">
        <f t="shared" si="10"/>
        <v>0</v>
      </c>
      <c r="Z41" s="622">
        <f t="shared" si="11"/>
        <v>0</v>
      </c>
      <c r="AA41" s="623">
        <f t="shared" si="12"/>
        <v>0</v>
      </c>
      <c r="AB41" s="624">
        <f t="shared" si="13"/>
        <v>0</v>
      </c>
    </row>
    <row r="42" spans="1:28" ht="15" customHeight="1" thickBot="1" x14ac:dyDescent="0.3">
      <c r="G42" s="95" t="s">
        <v>2</v>
      </c>
      <c r="H42" s="162">
        <f>SUM(H6:H41)</f>
        <v>26381947.637418974</v>
      </c>
      <c r="I42" s="31"/>
      <c r="P42" s="105">
        <v>2059</v>
      </c>
      <c r="Q42" s="621">
        <f>IF(P42&gt;=(Assumptions!$D$33),IF(P42&lt;=Assumptions!$D$15,IF(P42&gt;=Assumptions!$D$33,TREND($L$35:$L$36,$K$35:$K$36,P42),0),0),0)</f>
        <v>0</v>
      </c>
      <c r="R42" s="622">
        <f>IF(P42&gt;=(Assumptions!$D$33),IF(P42&lt;=Assumptions!$D$15,IF(P42&gt;=Assumptions!$D$33,TREND($L$40:$L$41,$K$40:$K$41,P42),0),0),0)</f>
        <v>0</v>
      </c>
      <c r="S42" s="623">
        <f t="shared" si="8"/>
        <v>0</v>
      </c>
      <c r="T42" s="624">
        <f t="shared" si="6"/>
        <v>0</v>
      </c>
      <c r="U42" s="621">
        <f>IF(P42&gt;=(Assumptions!$D$33),IF(P42&lt;=Assumptions!$D$15,IF(P42&gt;=Assumptions!$D$33,TREND($L$45:$L$46,$K$45:$K$46,P42),0),0),0)</f>
        <v>0</v>
      </c>
      <c r="V42" s="622">
        <f>IF(P42&gt;=(Assumptions!$D$33),IF(P42&lt;=Assumptions!$D$15,IF(P42&gt;=Assumptions!$D$33,TREND($L$50:$L$51,$K$50:$K$51,P42),0),0),0)</f>
        <v>0</v>
      </c>
      <c r="W42" s="623">
        <f t="shared" si="9"/>
        <v>0</v>
      </c>
      <c r="X42" s="624">
        <f t="shared" si="7"/>
        <v>0</v>
      </c>
      <c r="Y42" s="625">
        <f t="shared" si="10"/>
        <v>0</v>
      </c>
      <c r="Z42" s="622">
        <f t="shared" si="11"/>
        <v>0</v>
      </c>
      <c r="AA42" s="623">
        <f t="shared" si="12"/>
        <v>0</v>
      </c>
      <c r="AB42" s="624">
        <f t="shared" si="13"/>
        <v>0</v>
      </c>
    </row>
    <row r="43" spans="1:28" ht="15.75" thickBot="1" x14ac:dyDescent="0.3">
      <c r="B43" s="44"/>
      <c r="C43" s="45"/>
      <c r="D43" s="42"/>
      <c r="E43" s="42"/>
      <c r="F43" s="42"/>
      <c r="G43" s="42"/>
      <c r="H43" s="42"/>
      <c r="K43" s="1" t="s">
        <v>605</v>
      </c>
      <c r="P43" s="90">
        <v>2060</v>
      </c>
      <c r="Q43" s="626">
        <f>IF(P43&gt;=(Assumptions!$D$33),IF(P43&lt;=Assumptions!$D$15,IF(P43&gt;=Assumptions!$D$33,TREND($L$35:$L$36,$K$35:$K$36,P43),0),0),0)</f>
        <v>0</v>
      </c>
      <c r="R43" s="627">
        <f>IF(P43&gt;=(Assumptions!$D$33),IF(P43&lt;=Assumptions!$D$15,IF(P43&gt;=Assumptions!$D$33,TREND($L$40:$L$41,$K$40:$K$41,P43),0),0),0)</f>
        <v>0</v>
      </c>
      <c r="S43" s="628">
        <f t="shared" si="8"/>
        <v>0</v>
      </c>
      <c r="T43" s="629">
        <f t="shared" si="6"/>
        <v>0</v>
      </c>
      <c r="U43" s="626">
        <f>IF(P43&gt;=(Assumptions!$D$33),IF(P43&lt;=Assumptions!$D$15,IF(P43&gt;=Assumptions!$D$33,TREND($L$45:$L$46,$K$45:$K$46,P43),0),0),0)</f>
        <v>0</v>
      </c>
      <c r="V43" s="627">
        <f>IF(P43&gt;=(Assumptions!$D$33),IF(P43&lt;=Assumptions!$D$15,IF(P43&gt;=Assumptions!$D$33,TREND($L$50:$L$51,$K$50:$K$51,P43),0),0),0)</f>
        <v>0</v>
      </c>
      <c r="W43" s="628">
        <f t="shared" si="9"/>
        <v>0</v>
      </c>
      <c r="X43" s="629">
        <f t="shared" si="7"/>
        <v>0</v>
      </c>
      <c r="Y43" s="630">
        <f t="shared" si="10"/>
        <v>0</v>
      </c>
      <c r="Z43" s="627">
        <f t="shared" si="11"/>
        <v>0</v>
      </c>
      <c r="AA43" s="628">
        <f t="shared" si="12"/>
        <v>0</v>
      </c>
      <c r="AB43" s="629">
        <f t="shared" si="13"/>
        <v>0</v>
      </c>
    </row>
    <row r="44" spans="1:28" x14ac:dyDescent="0.25">
      <c r="K44" s="24" t="s">
        <v>53</v>
      </c>
      <c r="L44" s="24" t="s">
        <v>14</v>
      </c>
    </row>
    <row r="45" spans="1:28" ht="15" customHeight="1" x14ac:dyDescent="0.25">
      <c r="K45" s="24">
        <v>2021</v>
      </c>
      <c r="L45" s="278">
        <f>($M$30/60)*$L$10*365*$L$16</f>
        <v>56988.883928571435</v>
      </c>
    </row>
    <row r="46" spans="1:28" ht="15" customHeight="1" x14ac:dyDescent="0.25">
      <c r="A46" s="2"/>
      <c r="B46" s="1" t="s">
        <v>3</v>
      </c>
      <c r="C46" s="1"/>
      <c r="K46" s="24">
        <v>2045</v>
      </c>
      <c r="L46" s="278">
        <f>($M$30/60)*$L$10*365*$L$17</f>
        <v>63143.68339285715</v>
      </c>
      <c r="O46" s="1"/>
      <c r="P46" s="1"/>
      <c r="Q46" s="1"/>
    </row>
    <row r="47" spans="1:28" ht="15" customHeight="1" x14ac:dyDescent="0.25">
      <c r="A47" s="2" t="s">
        <v>16</v>
      </c>
      <c r="B47" s="702" t="s">
        <v>71</v>
      </c>
      <c r="C47" s="702"/>
      <c r="D47" s="702"/>
      <c r="E47" s="702"/>
      <c r="F47" s="702"/>
      <c r="G47" s="702"/>
      <c r="H47" s="8"/>
      <c r="O47" s="1"/>
      <c r="P47" s="1"/>
      <c r="Q47" s="1"/>
    </row>
    <row r="48" spans="1:28" ht="15" customHeight="1" x14ac:dyDescent="0.25">
      <c r="A48" s="2"/>
      <c r="B48" s="702"/>
      <c r="C48" s="702"/>
      <c r="D48" s="702"/>
      <c r="E48" s="702"/>
      <c r="F48" s="702"/>
      <c r="G48" s="702"/>
      <c r="H48" s="8"/>
      <c r="K48" s="1" t="s">
        <v>606</v>
      </c>
      <c r="O48" s="1"/>
      <c r="P48" s="1"/>
      <c r="Q48" s="1"/>
    </row>
    <row r="49" spans="1:17" ht="15" customHeight="1" x14ac:dyDescent="0.25">
      <c r="A49" s="2"/>
      <c r="B49" s="702"/>
      <c r="C49" s="702"/>
      <c r="D49" s="702"/>
      <c r="E49" s="702"/>
      <c r="F49" s="702"/>
      <c r="G49" s="702"/>
      <c r="H49" s="235"/>
      <c r="K49" s="24" t="s">
        <v>53</v>
      </c>
      <c r="L49" s="24" t="s">
        <v>14</v>
      </c>
      <c r="O49" s="1"/>
      <c r="P49" s="1"/>
      <c r="Q49" s="1"/>
    </row>
    <row r="50" spans="1:17" ht="15" customHeight="1" x14ac:dyDescent="0.25">
      <c r="A50" s="2"/>
      <c r="B50" s="8"/>
      <c r="C50" s="8"/>
      <c r="D50" s="8"/>
      <c r="E50" s="8"/>
      <c r="F50" s="8"/>
      <c r="G50" s="8"/>
      <c r="H50" s="235"/>
      <c r="K50" s="24">
        <v>2021</v>
      </c>
      <c r="L50" s="278">
        <f>($M$31/60)*$L$11*365*$L$16</f>
        <v>49128.348214285717</v>
      </c>
      <c r="O50" s="1"/>
      <c r="P50" s="1"/>
      <c r="Q50" s="1"/>
    </row>
    <row r="51" spans="1:17" ht="15" customHeight="1" x14ac:dyDescent="0.25">
      <c r="A51" s="2" t="s">
        <v>22</v>
      </c>
      <c r="B51" s="702" t="s">
        <v>609</v>
      </c>
      <c r="C51" s="702"/>
      <c r="D51" s="702"/>
      <c r="E51" s="702"/>
      <c r="F51" s="702"/>
      <c r="G51" s="702"/>
      <c r="H51" s="235"/>
      <c r="K51" s="24">
        <v>2045</v>
      </c>
      <c r="L51" s="278">
        <f>($M$31/60)*$L$11*365*$L$17</f>
        <v>54434.209821428572</v>
      </c>
    </row>
    <row r="52" spans="1:17" ht="15" customHeight="1" x14ac:dyDescent="0.25">
      <c r="A52" s="2"/>
      <c r="B52" s="702"/>
      <c r="C52" s="702"/>
      <c r="D52" s="702"/>
      <c r="E52" s="702"/>
      <c r="F52" s="702"/>
      <c r="G52" s="702"/>
      <c r="H52" s="235"/>
    </row>
    <row r="53" spans="1:17" x14ac:dyDescent="0.25">
      <c r="A53" s="2"/>
      <c r="B53" s="702"/>
      <c r="C53" s="702"/>
      <c r="D53" s="702"/>
      <c r="E53" s="702"/>
      <c r="F53" s="702"/>
      <c r="G53" s="702"/>
      <c r="H53" s="235"/>
    </row>
    <row r="54" spans="1:17" ht="15" customHeight="1" x14ac:dyDescent="0.25">
      <c r="A54" s="236"/>
      <c r="B54" s="235"/>
      <c r="C54" s="235"/>
      <c r="D54" s="235"/>
      <c r="E54" s="235"/>
      <c r="F54" s="235"/>
      <c r="G54" s="235"/>
      <c r="H54" s="235"/>
    </row>
    <row r="55" spans="1:17" ht="15" customHeight="1" x14ac:dyDescent="0.25">
      <c r="A55" s="2" t="s">
        <v>23</v>
      </c>
      <c r="B55" s="702" t="s">
        <v>610</v>
      </c>
      <c r="C55" s="702"/>
      <c r="D55" s="702"/>
      <c r="E55" s="702"/>
      <c r="F55" s="702"/>
      <c r="G55" s="702"/>
      <c r="H55" s="235"/>
    </row>
    <row r="56" spans="1:17" ht="15" customHeight="1" x14ac:dyDescent="0.25">
      <c r="A56" s="2"/>
      <c r="B56" s="702"/>
      <c r="C56" s="702"/>
      <c r="D56" s="702"/>
      <c r="E56" s="702"/>
      <c r="F56" s="702"/>
      <c r="G56" s="702"/>
    </row>
    <row r="57" spans="1:17" ht="15" customHeight="1" x14ac:dyDescent="0.25">
      <c r="A57" s="2"/>
      <c r="B57" s="8"/>
      <c r="C57" s="8"/>
      <c r="D57" s="8"/>
      <c r="E57" s="8"/>
      <c r="F57" s="8"/>
      <c r="G57" s="8"/>
    </row>
    <row r="58" spans="1:17" ht="15" customHeight="1" x14ac:dyDescent="0.25">
      <c r="A58" s="2" t="s">
        <v>162</v>
      </c>
      <c r="B58" s="702" t="s">
        <v>608</v>
      </c>
      <c r="C58" s="702"/>
      <c r="D58" s="702"/>
      <c r="E58" s="702"/>
      <c r="F58" s="702"/>
      <c r="G58" s="702"/>
    </row>
    <row r="59" spans="1:17" ht="15" customHeight="1" x14ac:dyDescent="0.25">
      <c r="A59" s="2"/>
      <c r="B59" s="702"/>
      <c r="C59" s="702"/>
      <c r="D59" s="702"/>
      <c r="E59" s="702"/>
      <c r="F59" s="702"/>
      <c r="G59" s="702"/>
    </row>
    <row r="61" spans="1:17" ht="15" customHeight="1" x14ac:dyDescent="0.25"/>
    <row r="62" spans="1:17" ht="15" customHeight="1" x14ac:dyDescent="0.25"/>
    <row r="63" spans="1:17" x14ac:dyDescent="0.25">
      <c r="A63" s="2"/>
      <c r="B63" s="8"/>
    </row>
    <row r="64" spans="1:17" x14ac:dyDescent="0.25">
      <c r="A64" s="2"/>
      <c r="B64" s="8"/>
    </row>
    <row r="65" spans="1:3" ht="15" customHeight="1" x14ac:dyDescent="0.25">
      <c r="A65" s="2"/>
      <c r="B65" s="8"/>
      <c r="C65" s="8"/>
    </row>
    <row r="66" spans="1:3" ht="15" customHeight="1" x14ac:dyDescent="0.25"/>
    <row r="68" spans="1:3" ht="15" customHeight="1" x14ac:dyDescent="0.25"/>
    <row r="71" spans="1:3" ht="15" customHeight="1" x14ac:dyDescent="0.25"/>
    <row r="73" spans="1:3" ht="15" customHeight="1" x14ac:dyDescent="0.25"/>
    <row r="74" spans="1:3" ht="21" customHeight="1" x14ac:dyDescent="0.25">
      <c r="A74" s="2"/>
      <c r="B74" s="8"/>
    </row>
    <row r="75" spans="1:3" x14ac:dyDescent="0.25">
      <c r="A75" s="2"/>
      <c r="B75" s="8"/>
      <c r="C75" s="8"/>
    </row>
    <row r="76" spans="1:3" x14ac:dyDescent="0.25">
      <c r="A76" s="2"/>
    </row>
  </sheetData>
  <mergeCells count="15">
    <mergeCell ref="Y6:AB6"/>
    <mergeCell ref="B51:G53"/>
    <mergeCell ref="H4:H5"/>
    <mergeCell ref="K5:L5"/>
    <mergeCell ref="B4:B5"/>
    <mergeCell ref="C4:C5"/>
    <mergeCell ref="D4:D5"/>
    <mergeCell ref="E4:E5"/>
    <mergeCell ref="F4:F5"/>
    <mergeCell ref="G4:G5"/>
    <mergeCell ref="B55:G56"/>
    <mergeCell ref="B58:G59"/>
    <mergeCell ref="B47:G49"/>
    <mergeCell ref="Q6:T6"/>
    <mergeCell ref="U6:X6"/>
  </mergeCells>
  <hyperlinks>
    <hyperlink ref="N25" r:id="rId1" xr:uid="{516E824E-4DFB-4602-886A-71A583B9ABCC}"/>
    <hyperlink ref="N26" r:id="rId2" xr:uid="{E522BC5D-9FF0-4894-9B2C-AB406D49A3AD}"/>
    <hyperlink ref="N30" r:id="rId3" xr:uid="{9521DA19-7D98-43A5-ABA6-953D834A10B3}"/>
    <hyperlink ref="N31" r:id="rId4" xr:uid="{4C491178-0E72-4266-9A38-9BC476598F53}"/>
  </hyperlinks>
  <pageMargins left="0.25" right="0.25" top="0.75" bottom="0.75" header="0.3" footer="0.3"/>
  <pageSetup scale="20" orientation="landscape"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E7F5A-8CE9-4B9B-8A70-8E5AB447D2B6}">
  <sheetPr codeName="Sheet6">
    <tabColor theme="6" tint="0.79998168889431442"/>
    <pageSetUpPr fitToPage="1"/>
  </sheetPr>
  <dimension ref="A1:AE76"/>
  <sheetViews>
    <sheetView view="pageBreakPreview" topLeftCell="A5" zoomScale="70" zoomScaleNormal="85" zoomScaleSheetLayoutView="70" zoomScalePageLayoutView="55" workbookViewId="0">
      <selection activeCell="L26" sqref="L26:N27"/>
    </sheetView>
  </sheetViews>
  <sheetFormatPr defaultRowHeight="15" x14ac:dyDescent="0.25"/>
  <cols>
    <col min="1" max="1" width="3.7109375" customWidth="1"/>
    <col min="2" max="8" width="20.7109375" customWidth="1"/>
    <col min="9" max="9" width="5.7109375" customWidth="1"/>
    <col min="10" max="10" width="3" customWidth="1"/>
    <col min="11" max="11" width="39.140625" customWidth="1"/>
    <col min="12" max="12" width="29.28515625" bestFit="1" customWidth="1"/>
    <col min="13" max="13" width="39.140625" customWidth="1"/>
    <col min="14" max="14" width="29.28515625" bestFit="1" customWidth="1"/>
    <col min="15" max="16" width="10.7109375" customWidth="1"/>
    <col min="17" max="17" width="6.85546875" bestFit="1" customWidth="1"/>
    <col min="18" max="18" width="14.140625" customWidth="1"/>
    <col min="19" max="19" width="14.7109375" bestFit="1" customWidth="1"/>
    <col min="20" max="20" width="14.7109375" customWidth="1"/>
    <col min="21" max="21" width="14.42578125" bestFit="1" customWidth="1"/>
    <col min="22" max="22" width="14.7109375" bestFit="1" customWidth="1"/>
    <col min="23" max="23" width="16" bestFit="1" customWidth="1"/>
    <col min="24" max="24" width="16" customWidth="1"/>
    <col min="25" max="25" width="18" bestFit="1" customWidth="1"/>
    <col min="26" max="27" width="23.28515625" customWidth="1"/>
    <col min="28" max="28" width="23" customWidth="1"/>
    <col min="29" max="31" width="23.28515625" customWidth="1"/>
    <col min="32" max="32" width="29.28515625" bestFit="1" customWidth="1"/>
    <col min="33" max="33" width="23.28515625" customWidth="1"/>
    <col min="34" max="35" width="29.28515625" bestFit="1" customWidth="1"/>
    <col min="36" max="38" width="10.7109375" customWidth="1"/>
  </cols>
  <sheetData>
    <row r="1" spans="2:31" ht="14.25" customHeight="1" x14ac:dyDescent="0.25">
      <c r="B1" s="47"/>
      <c r="C1" s="47"/>
      <c r="D1" s="47"/>
      <c r="E1" s="47"/>
      <c r="F1" s="47"/>
      <c r="G1" s="47"/>
      <c r="H1" s="47"/>
    </row>
    <row r="2" spans="2:31" x14ac:dyDescent="0.25">
      <c r="B2" s="1" t="s">
        <v>237</v>
      </c>
      <c r="C2" s="1"/>
    </row>
    <row r="3" spans="2:31" ht="15.75" thickBot="1" x14ac:dyDescent="0.3">
      <c r="K3" s="15"/>
    </row>
    <row r="4" spans="2:31" ht="35.1" customHeight="1" x14ac:dyDescent="0.25">
      <c r="B4" s="709" t="s">
        <v>0</v>
      </c>
      <c r="C4" s="711" t="s">
        <v>85</v>
      </c>
      <c r="D4" s="713" t="s">
        <v>87</v>
      </c>
      <c r="E4" s="711" t="s">
        <v>86</v>
      </c>
      <c r="F4" s="713" t="s">
        <v>88</v>
      </c>
      <c r="G4" s="715" t="s">
        <v>89</v>
      </c>
      <c r="H4" s="706" t="s">
        <v>1</v>
      </c>
      <c r="K4" s="53"/>
    </row>
    <row r="5" spans="2:31" ht="43.5" customHeight="1" thickBot="1" x14ac:dyDescent="0.3">
      <c r="B5" s="710"/>
      <c r="C5" s="712"/>
      <c r="D5" s="714"/>
      <c r="E5" s="712"/>
      <c r="F5" s="714"/>
      <c r="G5" s="716"/>
      <c r="H5" s="707"/>
      <c r="K5" s="708" t="s">
        <v>62</v>
      </c>
      <c r="L5" s="708"/>
      <c r="M5" s="30"/>
      <c r="Q5" s="1" t="s">
        <v>147</v>
      </c>
      <c r="R5" s="1"/>
      <c r="AD5" s="1"/>
      <c r="AE5" s="1"/>
    </row>
    <row r="6" spans="2:31" ht="15" customHeight="1" thickBot="1" x14ac:dyDescent="0.3">
      <c r="B6" s="91">
        <f>Assumptions!$D$14</f>
        <v>2026</v>
      </c>
      <c r="C6" s="149">
        <f t="shared" ref="C6:C41" si="0">IFERROR(_xlfn.XLOOKUP($B6,$Q$8:$Q$43,$T$8:$T$43,0,0,1),0)</f>
        <v>0</v>
      </c>
      <c r="D6" s="150">
        <f t="shared" ref="D6:D41" si="1">IFERROR(_xlfn.XLOOKUP($B6,$Q$8:$Q$43,$U$8:$U$43,0,0,1),0)</f>
        <v>0</v>
      </c>
      <c r="E6" s="149">
        <f t="shared" ref="E6:E41" si="2">IFERROR(_xlfn.XLOOKUP($B6,$Q$8:$Q$43,$X$8:$X$43,0,0,1),0)</f>
        <v>0</v>
      </c>
      <c r="F6" s="150">
        <f t="shared" ref="F6:F41" si="3">IFERROR(_xlfn.XLOOKUP($B6,$Q$8:$Q$43,$Y$8:$Y$43,0,0,1),0)</f>
        <v>0</v>
      </c>
      <c r="G6" s="151">
        <f t="shared" ref="G6:G41" si="4">D6-F6</f>
        <v>0</v>
      </c>
      <c r="H6" s="152">
        <f>G6*(1+0.07)^-(B6-Assumptions!$D$11)</f>
        <v>0</v>
      </c>
      <c r="K6" s="25" t="s">
        <v>54</v>
      </c>
      <c r="L6" s="609">
        <f>Assumptions!$D$28</f>
        <v>0.46</v>
      </c>
      <c r="R6" s="703" t="s">
        <v>33</v>
      </c>
      <c r="S6" s="704"/>
      <c r="T6" s="704"/>
      <c r="U6" s="705"/>
      <c r="V6" s="703" t="s">
        <v>14</v>
      </c>
      <c r="W6" s="704"/>
      <c r="X6" s="704"/>
      <c r="Y6" s="705"/>
      <c r="Z6" s="703" t="s">
        <v>116</v>
      </c>
      <c r="AA6" s="704"/>
      <c r="AB6" s="704"/>
      <c r="AC6" s="705"/>
      <c r="AD6" s="1"/>
      <c r="AE6" s="1"/>
    </row>
    <row r="7" spans="2:31" ht="15.75" thickBot="1" x14ac:dyDescent="0.3">
      <c r="B7" s="105">
        <f>B6+1</f>
        <v>2027</v>
      </c>
      <c r="C7" s="153">
        <f t="shared" si="0"/>
        <v>0</v>
      </c>
      <c r="D7" s="150">
        <f t="shared" si="1"/>
        <v>0</v>
      </c>
      <c r="E7" s="153">
        <f t="shared" si="2"/>
        <v>0</v>
      </c>
      <c r="F7" s="154">
        <f t="shared" si="3"/>
        <v>0</v>
      </c>
      <c r="G7" s="155">
        <f t="shared" si="4"/>
        <v>0</v>
      </c>
      <c r="H7" s="156">
        <f>G7*(1+0.07)^-(B7-Assumptions!$D$11)</f>
        <v>0</v>
      </c>
      <c r="K7" s="25" t="s">
        <v>49</v>
      </c>
      <c r="L7" s="609">
        <f>Assumptions!$D$29</f>
        <v>1.01</v>
      </c>
      <c r="Q7" s="79" t="s">
        <v>30</v>
      </c>
      <c r="R7" s="80" t="s">
        <v>112</v>
      </c>
      <c r="S7" s="77" t="s">
        <v>113</v>
      </c>
      <c r="T7" s="76" t="s">
        <v>142</v>
      </c>
      <c r="U7" s="81" t="s">
        <v>145</v>
      </c>
      <c r="V7" s="80" t="s">
        <v>112</v>
      </c>
      <c r="W7" s="77" t="s">
        <v>113</v>
      </c>
      <c r="X7" s="76" t="s">
        <v>142</v>
      </c>
      <c r="Y7" s="81" t="s">
        <v>145</v>
      </c>
      <c r="Z7" s="80" t="s">
        <v>114</v>
      </c>
      <c r="AA7" s="77" t="s">
        <v>115</v>
      </c>
      <c r="AB7" s="76" t="s">
        <v>141</v>
      </c>
      <c r="AC7" s="81" t="s">
        <v>146</v>
      </c>
      <c r="AD7" s="1"/>
      <c r="AE7" s="1"/>
    </row>
    <row r="8" spans="2:31" x14ac:dyDescent="0.25">
      <c r="B8" s="105">
        <f t="shared" ref="B8:B41" si="5">B7+1</f>
        <v>2028</v>
      </c>
      <c r="C8" s="153">
        <f t="shared" si="0"/>
        <v>12245547.571651787</v>
      </c>
      <c r="D8" s="150">
        <f t="shared" si="1"/>
        <v>9565964.1042209845</v>
      </c>
      <c r="E8" s="153">
        <f t="shared" si="2"/>
        <v>6937642.1160491109</v>
      </c>
      <c r="F8" s="154">
        <f t="shared" si="3"/>
        <v>4916266.40270737</v>
      </c>
      <c r="G8" s="155">
        <f t="shared" si="4"/>
        <v>4649697.7015136145</v>
      </c>
      <c r="H8" s="156">
        <f>G8*(1+0.07)^-(B8-Assumptions!$D$11)</f>
        <v>2895598.04345898</v>
      </c>
      <c r="J8" s="16"/>
      <c r="Q8" s="63">
        <v>2025</v>
      </c>
      <c r="R8" s="616">
        <f>IF(Q8&gt;=(Assumptions!$D$33),IF(Q8&lt;=Assumptions!$D$15,IF(Q8&gt;=Assumptions!$D$33,TREND($L$31:$L$32,$K$31:$K$32,Q8),0),0),0)</f>
        <v>0</v>
      </c>
      <c r="S8" s="617">
        <f>IF(Q8&gt;=(Assumptions!$D$33),IF(Q8&lt;=Assumptions!$D$15,IF(Q8&gt;=Assumptions!$D$33,TREND($L$36:$L$37,$K$36:$K$37,Q8),0),0),0)</f>
        <v>0</v>
      </c>
      <c r="T8" s="618">
        <f>SUM(R8:S8)</f>
        <v>0</v>
      </c>
      <c r="U8" s="619">
        <f>($L$6*R8)+($L$7*S8)</f>
        <v>0</v>
      </c>
      <c r="V8" s="616">
        <f>IF(Q8&gt;=(Assumptions!$D$33),IF(Q8&lt;=Assumptions!$D$15,IF(Q8&gt;=Assumptions!$D$33,TREND($L$41:$L$42,$K$41:$K$42,Q8),0),0),0)</f>
        <v>0</v>
      </c>
      <c r="W8" s="617">
        <f>IF(Q8&gt;=(Assumptions!$D$33),IF(Q8&lt;=Assumptions!$D$15,IF(Q8&gt;=Assumptions!$D$33,TREND($L$46:$L$47,$K$46:$K$47,Q8),0),0),0)</f>
        <v>0</v>
      </c>
      <c r="X8" s="618">
        <f>SUM(V8:W8)</f>
        <v>0</v>
      </c>
      <c r="Y8" s="619">
        <f>($L$6*V8)+($L$7*W8)</f>
        <v>0</v>
      </c>
      <c r="Z8" s="616">
        <f t="shared" ref="Z8" si="6">R8-V8</f>
        <v>0</v>
      </c>
      <c r="AA8" s="617">
        <f t="shared" ref="AA8" si="7">S8-W8</f>
        <v>0</v>
      </c>
      <c r="AB8" s="618">
        <f>SUM(Z8:AA8)</f>
        <v>0</v>
      </c>
      <c r="AC8" s="619">
        <f>U8-Y8</f>
        <v>0</v>
      </c>
      <c r="AD8" s="1"/>
      <c r="AE8" s="1"/>
    </row>
    <row r="9" spans="2:31" ht="15" customHeight="1" x14ac:dyDescent="0.25">
      <c r="B9" s="105">
        <f t="shared" si="5"/>
        <v>2029</v>
      </c>
      <c r="C9" s="153">
        <f t="shared" si="0"/>
        <v>12298969.737499997</v>
      </c>
      <c r="D9" s="150">
        <f t="shared" si="1"/>
        <v>9607696.3761249986</v>
      </c>
      <c r="E9" s="153">
        <f t="shared" si="2"/>
        <v>6967908.12625001</v>
      </c>
      <c r="F9" s="154">
        <f t="shared" si="3"/>
        <v>4937714.0021375064</v>
      </c>
      <c r="G9" s="155">
        <f t="shared" si="4"/>
        <v>4669982.3739874922</v>
      </c>
      <c r="H9" s="156">
        <f>G9*(1+0.07)^-(B9-Assumptions!$D$11)</f>
        <v>2717972.2598189726</v>
      </c>
      <c r="K9" s="19" t="s">
        <v>58</v>
      </c>
      <c r="L9" s="19"/>
      <c r="Q9" s="61">
        <v>2026</v>
      </c>
      <c r="R9" s="621">
        <f>IF(Q9&gt;=(Assumptions!$D$33),IF(Q9&lt;=Assumptions!$D$15,IF(Q9&gt;=Assumptions!$D$33,TREND($L$31:$L$32,$K$31:$K$32,Q9),0),0),0)</f>
        <v>0</v>
      </c>
      <c r="S9" s="622">
        <f>IF(Q9&gt;=(Assumptions!$D$33),IF(Q9&lt;=Assumptions!$D$15,IF(Q9&gt;=Assumptions!$D$33,TREND($L$36:$L$37,$K$36:$K$37,Q9),0),0),0)</f>
        <v>0</v>
      </c>
      <c r="T9" s="623">
        <f t="shared" ref="T9:T43" si="8">SUM(R9:S9)</f>
        <v>0</v>
      </c>
      <c r="U9" s="624">
        <f t="shared" ref="U9:U43" si="9">($L$6*R9)+($L$7*S9)</f>
        <v>0</v>
      </c>
      <c r="V9" s="621">
        <f>IF(Q9&gt;=(Assumptions!$D$33),IF(Q9&lt;=Assumptions!$D$15,IF(Q9&gt;=Assumptions!$D$33,TREND($L$41:$L$42,$K$41:$K$42,Q9),0),0),0)</f>
        <v>0</v>
      </c>
      <c r="W9" s="622">
        <f>IF(Q9&gt;=(Assumptions!$D$33),IF(Q9&lt;=Assumptions!$D$15,IF(Q9&gt;=Assumptions!$D$33,TREND($L$46:$L$47,$K$46:$K$47,Q9),0),0),0)</f>
        <v>0</v>
      </c>
      <c r="X9" s="623">
        <f t="shared" ref="X9:X43" si="10">SUM(V9:W9)</f>
        <v>0</v>
      </c>
      <c r="Y9" s="624">
        <f t="shared" ref="Y9:Y43" si="11">($L$6*V9)+($L$7*W9)</f>
        <v>0</v>
      </c>
      <c r="Z9" s="621">
        <f t="shared" ref="Z9:Z43" si="12">R9-V9</f>
        <v>0</v>
      </c>
      <c r="AA9" s="622">
        <f t="shared" ref="AA9:AA43" si="13">S9-W9</f>
        <v>0</v>
      </c>
      <c r="AB9" s="623">
        <f t="shared" ref="AB9:AB43" si="14">SUM(Z9:AA9)</f>
        <v>0</v>
      </c>
      <c r="AC9" s="624">
        <f t="shared" ref="AC9:AC43" si="15">U9-Y9</f>
        <v>0</v>
      </c>
      <c r="AD9" s="1"/>
      <c r="AE9" s="1"/>
    </row>
    <row r="10" spans="2:31" x14ac:dyDescent="0.25">
      <c r="B10" s="105">
        <f t="shared" si="5"/>
        <v>2030</v>
      </c>
      <c r="C10" s="153">
        <f t="shared" si="0"/>
        <v>12352391.903348215</v>
      </c>
      <c r="D10" s="150">
        <f t="shared" si="1"/>
        <v>9649428.6480290201</v>
      </c>
      <c r="E10" s="153">
        <f t="shared" si="2"/>
        <v>6998174.1364509016</v>
      </c>
      <c r="F10" s="154">
        <f t="shared" si="3"/>
        <v>4959161.60156764</v>
      </c>
      <c r="G10" s="155">
        <f t="shared" si="4"/>
        <v>4690267.0464613801</v>
      </c>
      <c r="H10" s="156">
        <f>G10*(1+0.07)^-(B10-Assumptions!$D$11)</f>
        <v>2551194.5083008367</v>
      </c>
      <c r="K10" s="25" t="s">
        <v>55</v>
      </c>
      <c r="L10" s="610">
        <f>Assumptions!$D$20</f>
        <v>0.7767857142857143</v>
      </c>
      <c r="Q10" s="61">
        <v>2027</v>
      </c>
      <c r="R10" s="621">
        <f>IF(Q10&gt;=(Assumptions!$D$33),IF(Q10&lt;=Assumptions!$D$15,IF(Q10&gt;=Assumptions!$D$33,TREND($L$31:$L$32,$K$31:$K$32,Q10),0),0),0)</f>
        <v>0</v>
      </c>
      <c r="S10" s="622">
        <f>IF(Q10&gt;=(Assumptions!$D$33),IF(Q10&lt;=Assumptions!$D$15,IF(Q10&gt;=Assumptions!$D$33,TREND($L$36:$L$37,$K$36:$K$37,Q10),0),0),0)</f>
        <v>0</v>
      </c>
      <c r="T10" s="623">
        <f t="shared" si="8"/>
        <v>0</v>
      </c>
      <c r="U10" s="624">
        <f t="shared" si="9"/>
        <v>0</v>
      </c>
      <c r="V10" s="621">
        <f>IF(Q10&gt;=(Assumptions!$D$33),IF(Q10&lt;=Assumptions!$D$15,IF(Q10&gt;=Assumptions!$D$33,TREND($L$41:$L$42,$K$41:$K$42,Q10),0),0),0)</f>
        <v>0</v>
      </c>
      <c r="W10" s="622">
        <f>IF(Q10&gt;=(Assumptions!$D$33),IF(Q10&lt;=Assumptions!$D$15,IF(Q10&gt;=Assumptions!$D$33,TREND($L$46:$L$47,$K$46:$K$47,Q10),0),0),0)</f>
        <v>0</v>
      </c>
      <c r="X10" s="623">
        <f t="shared" si="10"/>
        <v>0</v>
      </c>
      <c r="Y10" s="624">
        <f t="shared" si="11"/>
        <v>0</v>
      </c>
      <c r="Z10" s="621">
        <f t="shared" si="12"/>
        <v>0</v>
      </c>
      <c r="AA10" s="622">
        <f t="shared" si="13"/>
        <v>0</v>
      </c>
      <c r="AB10" s="623">
        <f t="shared" si="14"/>
        <v>0</v>
      </c>
      <c r="AC10" s="624">
        <f t="shared" si="15"/>
        <v>0</v>
      </c>
      <c r="AD10" s="1"/>
      <c r="AE10" s="1"/>
    </row>
    <row r="11" spans="2:31" x14ac:dyDescent="0.25">
      <c r="B11" s="105">
        <f t="shared" si="5"/>
        <v>2031</v>
      </c>
      <c r="C11" s="153">
        <f t="shared" si="0"/>
        <v>12405814.069196425</v>
      </c>
      <c r="D11" s="150">
        <f t="shared" si="1"/>
        <v>9691160.9199330341</v>
      </c>
      <c r="E11" s="153">
        <f t="shared" si="2"/>
        <v>7028440.1466517895</v>
      </c>
      <c r="F11" s="154">
        <f t="shared" si="3"/>
        <v>4980609.2009977698</v>
      </c>
      <c r="G11" s="155">
        <f t="shared" si="4"/>
        <v>4710551.7189352643</v>
      </c>
      <c r="H11" s="156">
        <f>G11*(1+0.07)^-(B11-Assumptions!$D$11)</f>
        <v>2394605.6318847197</v>
      </c>
      <c r="K11" s="25" t="s">
        <v>50</v>
      </c>
      <c r="L11" s="610">
        <f>Assumptions!$D$19</f>
        <v>0.22321428571428573</v>
      </c>
      <c r="Q11" s="61">
        <v>2028</v>
      </c>
      <c r="R11" s="621">
        <f>IF(Q11&gt;=(Assumptions!$D$33),IF(Q11&lt;=Assumptions!$D$15,IF(Q11&gt;=Assumptions!$D$33,TREND($L$31:$L$32,$K$31:$K$32,Q11),0),0),0)</f>
        <v>5094616.2602678537</v>
      </c>
      <c r="S11" s="622">
        <f>IF(Q11&gt;=(Assumptions!$D$33),IF(Q11&lt;=Assumptions!$D$15,IF(Q11&gt;=Assumptions!$D$33,TREND($L$36:$L$37,$K$36:$K$37,Q11),0),0),0)</f>
        <v>7150931.3113839328</v>
      </c>
      <c r="T11" s="623">
        <f t="shared" si="8"/>
        <v>12245547.571651787</v>
      </c>
      <c r="U11" s="624">
        <f t="shared" si="9"/>
        <v>9565964.1042209845</v>
      </c>
      <c r="V11" s="621">
        <f>IF(Q11&gt;=(Assumptions!$D$33),IF(Q11&lt;=Assumptions!$D$15,IF(Q11&gt;=Assumptions!$D$33,TREND($L$41:$L$42,$K$41:$K$42,Q11),0),0),0)</f>
        <v>3801367.5172767863</v>
      </c>
      <c r="W11" s="622">
        <f>IF(Q11&gt;=(Assumptions!$D$33),IF(Q11&lt;=Assumptions!$D$15,IF(Q11&gt;=Assumptions!$D$33,TREND($L$46:$L$47,$K$46:$K$47,Q11),0),0),0)</f>
        <v>3136274.5987723246</v>
      </c>
      <c r="X11" s="623">
        <f t="shared" si="10"/>
        <v>6937642.1160491109</v>
      </c>
      <c r="Y11" s="624">
        <f t="shared" si="11"/>
        <v>4916266.40270737</v>
      </c>
      <c r="Z11" s="621">
        <f t="shared" si="12"/>
        <v>1293248.7429910675</v>
      </c>
      <c r="AA11" s="622">
        <f t="shared" si="13"/>
        <v>4014656.7126116082</v>
      </c>
      <c r="AB11" s="623">
        <f t="shared" si="14"/>
        <v>5307905.4556026757</v>
      </c>
      <c r="AC11" s="624">
        <f t="shared" si="15"/>
        <v>4649697.7015136145</v>
      </c>
      <c r="AD11" s="1"/>
      <c r="AE11" s="1"/>
    </row>
    <row r="12" spans="2:31" x14ac:dyDescent="0.25">
      <c r="B12" s="105">
        <f t="shared" si="5"/>
        <v>2032</v>
      </c>
      <c r="C12" s="153">
        <f t="shared" si="0"/>
        <v>12459236.235044643</v>
      </c>
      <c r="D12" s="150">
        <f t="shared" si="1"/>
        <v>9732893.1918370556</v>
      </c>
      <c r="E12" s="153">
        <f t="shared" si="2"/>
        <v>7058706.1568526812</v>
      </c>
      <c r="F12" s="154">
        <f t="shared" si="3"/>
        <v>5002056.8004279044</v>
      </c>
      <c r="G12" s="155">
        <f t="shared" si="4"/>
        <v>4730836.3914091513</v>
      </c>
      <c r="H12" s="156">
        <f>G12*(1+0.07)^-(B12-Assumptions!$D$11)</f>
        <v>2247586.2904467331</v>
      </c>
      <c r="N12" s="253"/>
      <c r="Q12" s="61">
        <v>2029</v>
      </c>
      <c r="R12" s="621">
        <f>IF(Q12&gt;=(Assumptions!$D$33),IF(Q12&lt;=Assumptions!$D$15,IF(Q12&gt;=Assumptions!$D$33,TREND($L$31:$L$32,$K$31:$K$32,Q12),0),0),0)</f>
        <v>5116841.924999997</v>
      </c>
      <c r="S12" s="622">
        <f>IF(Q12&gt;=(Assumptions!$D$33),IF(Q12&lt;=Assumptions!$D$15,IF(Q12&gt;=Assumptions!$D$33,TREND($L$36:$L$37,$K$36:$K$37,Q12),0),0),0)</f>
        <v>7182127.8125</v>
      </c>
      <c r="T12" s="623">
        <f t="shared" si="8"/>
        <v>12298969.737499997</v>
      </c>
      <c r="U12" s="624">
        <f t="shared" si="9"/>
        <v>9607696.3761249986</v>
      </c>
      <c r="V12" s="621">
        <f>IF(Q12&gt;=(Assumptions!$D$33),IF(Q12&lt;=Assumptions!$D$15,IF(Q12&gt;=Assumptions!$D$33,TREND($L$41:$L$42,$K$41:$K$42,Q12),0),0),0)</f>
        <v>3817951.2825000063</v>
      </c>
      <c r="W12" s="622">
        <f>IF(Q12&gt;=(Assumptions!$D$33),IF(Q12&lt;=Assumptions!$D$15,IF(Q12&gt;=Assumptions!$D$33,TREND($L$46:$L$47,$K$46:$K$47,Q12),0),0),0)</f>
        <v>3149956.8437500037</v>
      </c>
      <c r="X12" s="623">
        <f t="shared" si="10"/>
        <v>6967908.12625001</v>
      </c>
      <c r="Y12" s="624">
        <f t="shared" si="11"/>
        <v>4937714.0021375064</v>
      </c>
      <c r="Z12" s="621">
        <f t="shared" si="12"/>
        <v>1298890.6424999908</v>
      </c>
      <c r="AA12" s="622">
        <f t="shared" si="13"/>
        <v>4032170.9687499963</v>
      </c>
      <c r="AB12" s="623">
        <f t="shared" si="14"/>
        <v>5331061.611249987</v>
      </c>
      <c r="AC12" s="624">
        <f t="shared" si="15"/>
        <v>4669982.3739874922</v>
      </c>
      <c r="AD12" s="1"/>
      <c r="AE12" s="1"/>
    </row>
    <row r="13" spans="2:31" ht="15" customHeight="1" x14ac:dyDescent="0.25">
      <c r="B13" s="105">
        <f t="shared" si="5"/>
        <v>2033</v>
      </c>
      <c r="C13" s="153">
        <f t="shared" si="0"/>
        <v>12512658.400892854</v>
      </c>
      <c r="D13" s="150">
        <f t="shared" si="1"/>
        <v>9774625.4637410678</v>
      </c>
      <c r="E13" s="153">
        <f t="shared" si="2"/>
        <v>7088972.1670535728</v>
      </c>
      <c r="F13" s="154">
        <f t="shared" si="3"/>
        <v>5023504.3998580379</v>
      </c>
      <c r="G13" s="155">
        <f t="shared" si="4"/>
        <v>4751121.0638830299</v>
      </c>
      <c r="H13" s="156">
        <f>G13*(1+0.07)^-(B13-Assumptions!$D$11)</f>
        <v>2109554.5721646305</v>
      </c>
      <c r="K13" s="1" t="s">
        <v>598</v>
      </c>
      <c r="L13" s="201"/>
      <c r="Q13" s="61">
        <v>2030</v>
      </c>
      <c r="R13" s="621">
        <f>IF(Q13&gt;=(Assumptions!$D$33),IF(Q13&lt;=Assumptions!$D$15,IF(Q13&gt;=Assumptions!$D$33,TREND($L$31:$L$32,$K$31:$K$32,Q13),0),0),0)</f>
        <v>5139067.5897321403</v>
      </c>
      <c r="S13" s="622">
        <f>IF(Q13&gt;=(Assumptions!$D$33),IF(Q13&lt;=Assumptions!$D$15,IF(Q13&gt;=Assumptions!$D$33,TREND($L$36:$L$37,$K$36:$K$37,Q13),0),0),0)</f>
        <v>7213324.3136160746</v>
      </c>
      <c r="T13" s="623">
        <f t="shared" si="8"/>
        <v>12352391.903348215</v>
      </c>
      <c r="U13" s="624">
        <f t="shared" si="9"/>
        <v>9649428.6480290201</v>
      </c>
      <c r="V13" s="621">
        <f>IF(Q13&gt;=(Assumptions!$D$33),IF(Q13&lt;=Assumptions!$D$15,IF(Q13&gt;=Assumptions!$D$33,TREND($L$41:$L$42,$K$41:$K$42,Q13),0),0),0)</f>
        <v>3834535.0477232188</v>
      </c>
      <c r="W13" s="622">
        <f>IF(Q13&gt;=(Assumptions!$D$33),IF(Q13&lt;=Assumptions!$D$15,IF(Q13&gt;=Assumptions!$D$33,TREND($L$46:$L$47,$K$46:$K$47,Q13),0),0),0)</f>
        <v>3163639.0887276828</v>
      </c>
      <c r="X13" s="623">
        <f t="shared" si="10"/>
        <v>6998174.1364509016</v>
      </c>
      <c r="Y13" s="624">
        <f t="shared" si="11"/>
        <v>4959161.60156764</v>
      </c>
      <c r="Z13" s="621">
        <f t="shared" si="12"/>
        <v>1304532.5420089215</v>
      </c>
      <c r="AA13" s="622">
        <f t="shared" si="13"/>
        <v>4049685.2248883918</v>
      </c>
      <c r="AB13" s="623">
        <f t="shared" si="14"/>
        <v>5354217.7668973133</v>
      </c>
      <c r="AC13" s="624">
        <f t="shared" si="15"/>
        <v>4690267.0464613801</v>
      </c>
      <c r="AD13" s="1"/>
      <c r="AE13" s="1"/>
    </row>
    <row r="14" spans="2:31" x14ac:dyDescent="0.25">
      <c r="B14" s="105">
        <f t="shared" si="5"/>
        <v>2034</v>
      </c>
      <c r="C14" s="153">
        <f t="shared" si="0"/>
        <v>12566080.566741072</v>
      </c>
      <c r="D14" s="150">
        <f t="shared" si="1"/>
        <v>9816357.7356450893</v>
      </c>
      <c r="E14" s="153">
        <f t="shared" si="2"/>
        <v>7119238.1772544719</v>
      </c>
      <c r="F14" s="154">
        <f t="shared" si="3"/>
        <v>5044951.9992881753</v>
      </c>
      <c r="G14" s="155">
        <f t="shared" si="4"/>
        <v>4771405.736356914</v>
      </c>
      <c r="H14" s="156">
        <f>G14*(1+0.07)^-(B14-Assumptions!$D$11)</f>
        <v>1979963.7470395479</v>
      </c>
      <c r="K14" s="191" t="s">
        <v>68</v>
      </c>
      <c r="L14" s="611">
        <f>Assumptions!D32</f>
        <v>4.4999999999999997E-3</v>
      </c>
      <c r="Q14" s="61">
        <v>2031</v>
      </c>
      <c r="R14" s="621">
        <f>IF(Q14&gt;=(Assumptions!$D$33),IF(Q14&lt;=Assumptions!$D$15,IF(Q14&gt;=Assumptions!$D$33,TREND($L$31:$L$32,$K$31:$K$32,Q14),0),0),0)</f>
        <v>5161293.2544642836</v>
      </c>
      <c r="S14" s="622">
        <f>IF(Q14&gt;=(Assumptions!$D$33),IF(Q14&lt;=Assumptions!$D$15,IF(Q14&gt;=Assumptions!$D$33,TREND($L$36:$L$37,$K$36:$K$37,Q14),0),0),0)</f>
        <v>7244520.8147321418</v>
      </c>
      <c r="T14" s="623">
        <f t="shared" si="8"/>
        <v>12405814.069196425</v>
      </c>
      <c r="U14" s="624">
        <f t="shared" si="9"/>
        <v>9691160.9199330341</v>
      </c>
      <c r="V14" s="621">
        <f>IF(Q14&gt;=(Assumptions!$D$33),IF(Q14&lt;=Assumptions!$D$15,IF(Q14&gt;=Assumptions!$D$33,TREND($L$41:$L$42,$K$41:$K$42,Q14),0),0),0)</f>
        <v>3851118.8129464313</v>
      </c>
      <c r="W14" s="622">
        <f>IF(Q14&gt;=(Assumptions!$D$33),IF(Q14&lt;=Assumptions!$D$15,IF(Q14&gt;=Assumptions!$D$33,TREND($L$46:$L$47,$K$46:$K$47,Q14),0),0),0)</f>
        <v>3177321.3337053582</v>
      </c>
      <c r="X14" s="623">
        <f t="shared" si="10"/>
        <v>7028440.1466517895</v>
      </c>
      <c r="Y14" s="624">
        <f t="shared" si="11"/>
        <v>4980609.2009977698</v>
      </c>
      <c r="Z14" s="621">
        <f t="shared" si="12"/>
        <v>1310174.4415178522</v>
      </c>
      <c r="AA14" s="622">
        <f t="shared" si="13"/>
        <v>4067199.4810267836</v>
      </c>
      <c r="AB14" s="623">
        <f t="shared" si="14"/>
        <v>5377373.9225446358</v>
      </c>
      <c r="AC14" s="624">
        <f t="shared" si="15"/>
        <v>4710551.7189352643</v>
      </c>
      <c r="AD14" s="1"/>
      <c r="AE14" s="1"/>
    </row>
    <row r="15" spans="2:31" x14ac:dyDescent="0.25">
      <c r="B15" s="105">
        <f t="shared" si="5"/>
        <v>2035</v>
      </c>
      <c r="C15" s="153">
        <f t="shared" si="0"/>
        <v>12619502.73258929</v>
      </c>
      <c r="D15" s="150">
        <f t="shared" si="1"/>
        <v>9858090.0075491108</v>
      </c>
      <c r="E15" s="153">
        <f t="shared" si="2"/>
        <v>7149504.1874553636</v>
      </c>
      <c r="F15" s="154">
        <f t="shared" si="3"/>
        <v>5066399.5987183079</v>
      </c>
      <c r="G15" s="155">
        <f t="shared" si="4"/>
        <v>4791690.4088308029</v>
      </c>
      <c r="H15" s="156">
        <f>G15*(1+0.07)^-(B15-Assumptions!$D$11)</f>
        <v>1858300.1541619396</v>
      </c>
      <c r="K15" s="191" t="s">
        <v>226</v>
      </c>
      <c r="L15" s="599">
        <f>Assumptions!$D$33</f>
        <v>2028</v>
      </c>
      <c r="Q15" s="61">
        <v>2032</v>
      </c>
      <c r="R15" s="621">
        <f>IF(Q15&gt;=(Assumptions!$D$33),IF(Q15&lt;=Assumptions!$D$15,IF(Q15&gt;=Assumptions!$D$33,TREND($L$31:$L$32,$K$31:$K$32,Q15),0),0),0)</f>
        <v>5183518.9191964269</v>
      </c>
      <c r="S15" s="622">
        <f>IF(Q15&gt;=(Assumptions!$D$33),IF(Q15&lt;=Assumptions!$D$15,IF(Q15&gt;=Assumptions!$D$33,TREND($L$36:$L$37,$K$36:$K$37,Q15),0),0),0)</f>
        <v>7275717.3158482164</v>
      </c>
      <c r="T15" s="623">
        <f t="shared" si="8"/>
        <v>12459236.235044643</v>
      </c>
      <c r="U15" s="624">
        <f t="shared" si="9"/>
        <v>9732893.1918370556</v>
      </c>
      <c r="V15" s="621">
        <f>IF(Q15&gt;=(Assumptions!$D$33),IF(Q15&lt;=Assumptions!$D$15,IF(Q15&gt;=Assumptions!$D$33,TREND($L$41:$L$42,$K$41:$K$42,Q15),0),0),0)</f>
        <v>3867702.5781696439</v>
      </c>
      <c r="W15" s="622">
        <f>IF(Q15&gt;=(Assumptions!$D$33),IF(Q15&lt;=Assumptions!$D$15,IF(Q15&gt;=Assumptions!$D$33,TREND($L$46:$L$47,$K$46:$K$47,Q15),0),0),0)</f>
        <v>3191003.5786830373</v>
      </c>
      <c r="X15" s="623">
        <f t="shared" si="10"/>
        <v>7058706.1568526812</v>
      </c>
      <c r="Y15" s="624">
        <f t="shared" si="11"/>
        <v>5002056.8004279044</v>
      </c>
      <c r="Z15" s="621">
        <f t="shared" si="12"/>
        <v>1315816.341026783</v>
      </c>
      <c r="AA15" s="622">
        <f t="shared" si="13"/>
        <v>4084713.7371651791</v>
      </c>
      <c r="AB15" s="623">
        <f t="shared" si="14"/>
        <v>5400530.0781919621</v>
      </c>
      <c r="AC15" s="624">
        <f t="shared" si="15"/>
        <v>4730836.3914091513</v>
      </c>
      <c r="AD15" s="1"/>
      <c r="AE15" s="1"/>
    </row>
    <row r="16" spans="2:31" x14ac:dyDescent="0.25">
      <c r="B16" s="105">
        <f t="shared" si="5"/>
        <v>2036</v>
      </c>
      <c r="C16" s="153">
        <f t="shared" si="0"/>
        <v>12672924.8984375</v>
      </c>
      <c r="D16" s="150">
        <f t="shared" si="1"/>
        <v>9899822.2794531249</v>
      </c>
      <c r="E16" s="153">
        <f t="shared" si="2"/>
        <v>7179770.1976562552</v>
      </c>
      <c r="F16" s="154">
        <f t="shared" si="3"/>
        <v>5087847.1981484424</v>
      </c>
      <c r="G16" s="155">
        <f t="shared" si="4"/>
        <v>4811975.0813046824</v>
      </c>
      <c r="H16" s="156">
        <f>G16*(1+0.07)^-(B16-Assumptions!$D$11)</f>
        <v>1744081.2148371022</v>
      </c>
      <c r="K16" s="191">
        <v>2021</v>
      </c>
      <c r="L16" s="604">
        <f>Assumptions!$D$34</f>
        <v>670</v>
      </c>
      <c r="Q16" s="61">
        <v>2033</v>
      </c>
      <c r="R16" s="621">
        <f>IF(Q16&gt;=(Assumptions!$D$33),IF(Q16&lt;=Assumptions!$D$15,IF(Q16&gt;=Assumptions!$D$33,TREND($L$31:$L$32,$K$31:$K$32,Q16),0),0),0)</f>
        <v>5205744.5839285702</v>
      </c>
      <c r="S16" s="622">
        <f>IF(Q16&gt;=(Assumptions!$D$33),IF(Q16&lt;=Assumptions!$D$15,IF(Q16&gt;=Assumptions!$D$33,TREND($L$36:$L$37,$K$36:$K$37,Q16),0),0),0)</f>
        <v>7306913.8169642836</v>
      </c>
      <c r="T16" s="623">
        <f t="shared" si="8"/>
        <v>12512658.400892854</v>
      </c>
      <c r="U16" s="624">
        <f t="shared" si="9"/>
        <v>9774625.4637410678</v>
      </c>
      <c r="V16" s="621">
        <f>IF(Q16&gt;=(Assumptions!$D$33),IF(Q16&lt;=Assumptions!$D$15,IF(Q16&gt;=Assumptions!$D$33,TREND($L$41:$L$42,$K$41:$K$42,Q16),0),0),0)</f>
        <v>3884286.3433928564</v>
      </c>
      <c r="W16" s="622">
        <f>IF(Q16&gt;=(Assumptions!$D$33),IF(Q16&lt;=Assumptions!$D$15,IF(Q16&gt;=Assumptions!$D$33,TREND($L$46:$L$47,$K$46:$K$47,Q16),0),0),0)</f>
        <v>3204685.8236607164</v>
      </c>
      <c r="X16" s="623">
        <f t="shared" si="10"/>
        <v>7088972.1670535728</v>
      </c>
      <c r="Y16" s="624">
        <f t="shared" si="11"/>
        <v>5023504.3998580379</v>
      </c>
      <c r="Z16" s="621">
        <f t="shared" si="12"/>
        <v>1321458.2405357137</v>
      </c>
      <c r="AA16" s="622">
        <f t="shared" si="13"/>
        <v>4102227.9933035672</v>
      </c>
      <c r="AB16" s="623">
        <f t="shared" si="14"/>
        <v>5423686.2338392809</v>
      </c>
      <c r="AC16" s="624">
        <f t="shared" si="15"/>
        <v>4751121.0638830299</v>
      </c>
      <c r="AD16" s="1"/>
      <c r="AE16" s="1"/>
    </row>
    <row r="17" spans="1:31" x14ac:dyDescent="0.25">
      <c r="B17" s="105">
        <f t="shared" si="5"/>
        <v>2037</v>
      </c>
      <c r="C17" s="153">
        <f t="shared" si="0"/>
        <v>12726347.064285718</v>
      </c>
      <c r="D17" s="150">
        <f t="shared" si="1"/>
        <v>9941554.5513571464</v>
      </c>
      <c r="E17" s="153">
        <f t="shared" si="2"/>
        <v>7210036.2078571469</v>
      </c>
      <c r="F17" s="154">
        <f t="shared" si="3"/>
        <v>5109294.797578576</v>
      </c>
      <c r="G17" s="155">
        <f t="shared" si="4"/>
        <v>4832259.7537785703</v>
      </c>
      <c r="H17" s="156">
        <f>G17*(1+0.07)^-(B17-Assumptions!$D$11)</f>
        <v>1636853.564144871</v>
      </c>
      <c r="K17" s="191">
        <v>2045</v>
      </c>
      <c r="L17" s="604">
        <f>Assumptions!$D$35</f>
        <v>742.36</v>
      </c>
      <c r="Q17" s="61">
        <v>2034</v>
      </c>
      <c r="R17" s="621">
        <f>IF(Q17&gt;=(Assumptions!$D$33),IF(Q17&lt;=Assumptions!$D$15,IF(Q17&gt;=Assumptions!$D$33,TREND($L$31:$L$32,$K$31:$K$32,Q17),0),0),0)</f>
        <v>5227970.2486607134</v>
      </c>
      <c r="S17" s="622">
        <f>IF(Q17&gt;=(Assumptions!$D$33),IF(Q17&lt;=Assumptions!$D$15,IF(Q17&gt;=Assumptions!$D$33,TREND($L$36:$L$37,$K$36:$K$37,Q17),0),0),0)</f>
        <v>7338110.3180803582</v>
      </c>
      <c r="T17" s="623">
        <f t="shared" si="8"/>
        <v>12566080.566741072</v>
      </c>
      <c r="U17" s="624">
        <f t="shared" si="9"/>
        <v>9816357.7356450893</v>
      </c>
      <c r="V17" s="621">
        <f>IF(Q17&gt;=(Assumptions!$D$33),IF(Q17&lt;=Assumptions!$D$15,IF(Q17&gt;=Assumptions!$D$33,TREND($L$41:$L$42,$K$41:$K$42,Q17),0),0),0)</f>
        <v>3900870.1086160764</v>
      </c>
      <c r="W17" s="622">
        <f>IF(Q17&gt;=(Assumptions!$D$33),IF(Q17&lt;=Assumptions!$D$15,IF(Q17&gt;=Assumptions!$D$33,TREND($L$46:$L$47,$K$46:$K$47,Q17),0),0),0)</f>
        <v>3218368.0686383955</v>
      </c>
      <c r="X17" s="623">
        <f t="shared" si="10"/>
        <v>7119238.1772544719</v>
      </c>
      <c r="Y17" s="624">
        <f t="shared" si="11"/>
        <v>5044951.9992881753</v>
      </c>
      <c r="Z17" s="621">
        <f t="shared" si="12"/>
        <v>1327100.140044637</v>
      </c>
      <c r="AA17" s="622">
        <f t="shared" si="13"/>
        <v>4119742.2494419627</v>
      </c>
      <c r="AB17" s="623">
        <f t="shared" si="14"/>
        <v>5446842.3894865997</v>
      </c>
      <c r="AC17" s="624">
        <f t="shared" si="15"/>
        <v>4771405.736356914</v>
      </c>
      <c r="AD17" s="1"/>
      <c r="AE17" s="1"/>
    </row>
    <row r="18" spans="1:31" x14ac:dyDescent="0.25">
      <c r="B18" s="105">
        <f t="shared" si="5"/>
        <v>2038</v>
      </c>
      <c r="C18" s="153">
        <f t="shared" si="0"/>
        <v>12779769.230133928</v>
      </c>
      <c r="D18" s="150">
        <f t="shared" si="1"/>
        <v>9983286.8232611604</v>
      </c>
      <c r="E18" s="153">
        <f t="shared" si="2"/>
        <v>7240302.2180580422</v>
      </c>
      <c r="F18" s="154">
        <f t="shared" si="3"/>
        <v>5130742.3970087096</v>
      </c>
      <c r="G18" s="155">
        <f t="shared" si="4"/>
        <v>4852544.4262524508</v>
      </c>
      <c r="H18" s="156">
        <f>G18*(1+0.07)^-(B18-Assumptions!$D$11)</f>
        <v>1536191.2939408848</v>
      </c>
      <c r="Q18" s="61">
        <v>2035</v>
      </c>
      <c r="R18" s="621">
        <f>IF(Q18&gt;=(Assumptions!$D$33),IF(Q18&lt;=Assumptions!$D$15,IF(Q18&gt;=Assumptions!$D$33,TREND($L$31:$L$32,$K$31:$K$32,Q18),0),0),0)</f>
        <v>5250195.9133928567</v>
      </c>
      <c r="S18" s="622">
        <f>IF(Q18&gt;=(Assumptions!$D$33),IF(Q18&lt;=Assumptions!$D$15,IF(Q18&gt;=Assumptions!$D$33,TREND($L$36:$L$37,$K$36:$K$37,Q18),0),0),0)</f>
        <v>7369306.8191964328</v>
      </c>
      <c r="T18" s="623">
        <f t="shared" si="8"/>
        <v>12619502.73258929</v>
      </c>
      <c r="U18" s="624">
        <f t="shared" si="9"/>
        <v>9858090.0075491108</v>
      </c>
      <c r="V18" s="621">
        <f>IF(Q18&gt;=(Assumptions!$D$33),IF(Q18&lt;=Assumptions!$D$15,IF(Q18&gt;=Assumptions!$D$33,TREND($L$41:$L$42,$K$41:$K$42,Q18),0),0),0)</f>
        <v>3917453.8738392889</v>
      </c>
      <c r="W18" s="622">
        <f>IF(Q18&gt;=(Assumptions!$D$33),IF(Q18&lt;=Assumptions!$D$15,IF(Q18&gt;=Assumptions!$D$33,TREND($L$46:$L$47,$K$46:$K$47,Q18),0),0),0)</f>
        <v>3232050.3136160746</v>
      </c>
      <c r="X18" s="623">
        <f t="shared" si="10"/>
        <v>7149504.1874553636</v>
      </c>
      <c r="Y18" s="624">
        <f t="shared" si="11"/>
        <v>5066399.5987183079</v>
      </c>
      <c r="Z18" s="621">
        <f t="shared" si="12"/>
        <v>1332742.0395535678</v>
      </c>
      <c r="AA18" s="622">
        <f t="shared" si="13"/>
        <v>4137256.5055803582</v>
      </c>
      <c r="AB18" s="623">
        <f t="shared" si="14"/>
        <v>5469998.545133926</v>
      </c>
      <c r="AC18" s="624">
        <f t="shared" si="15"/>
        <v>4791690.4088308029</v>
      </c>
      <c r="AD18" s="1"/>
      <c r="AE18" s="1"/>
    </row>
    <row r="19" spans="1:31" x14ac:dyDescent="0.25">
      <c r="B19" s="105">
        <f t="shared" si="5"/>
        <v>2039</v>
      </c>
      <c r="C19" s="153">
        <f t="shared" si="0"/>
        <v>12833191.395982139</v>
      </c>
      <c r="D19" s="150">
        <f t="shared" si="1"/>
        <v>10025019.095165178</v>
      </c>
      <c r="E19" s="153">
        <f t="shared" si="2"/>
        <v>7270568.2282589339</v>
      </c>
      <c r="F19" s="154">
        <f t="shared" si="3"/>
        <v>5152189.9964388423</v>
      </c>
      <c r="G19" s="155">
        <f t="shared" si="4"/>
        <v>4872829.0987263359</v>
      </c>
      <c r="H19" s="156">
        <f>G19*(1+0.07)^-(B19-Assumptions!$D$11)</f>
        <v>1441694.3007150176</v>
      </c>
      <c r="K19" s="1" t="s">
        <v>600</v>
      </c>
      <c r="Q19" s="61">
        <v>2036</v>
      </c>
      <c r="R19" s="621">
        <f>IF(Q19&gt;=(Assumptions!$D$33),IF(Q19&lt;=Assumptions!$D$15,IF(Q19&gt;=Assumptions!$D$33,TREND($L$31:$L$32,$K$31:$K$32,Q19),0),0),0)</f>
        <v>5272421.578125</v>
      </c>
      <c r="S19" s="622">
        <f>IF(Q19&gt;=(Assumptions!$D$33),IF(Q19&lt;=Assumptions!$D$15,IF(Q19&gt;=Assumptions!$D$33,TREND($L$36:$L$37,$K$36:$K$37,Q19),0),0),0)</f>
        <v>7400503.3203125</v>
      </c>
      <c r="T19" s="623">
        <f t="shared" si="8"/>
        <v>12672924.8984375</v>
      </c>
      <c r="U19" s="624">
        <f t="shared" si="9"/>
        <v>9899822.2794531249</v>
      </c>
      <c r="V19" s="621">
        <f>IF(Q19&gt;=(Assumptions!$D$33),IF(Q19&lt;=Assumptions!$D$15,IF(Q19&gt;=Assumptions!$D$33,TREND($L$41:$L$42,$K$41:$K$42,Q19),0),0),0)</f>
        <v>3934037.6390625015</v>
      </c>
      <c r="W19" s="622">
        <f>IF(Q19&gt;=(Assumptions!$D$33),IF(Q19&lt;=Assumptions!$D$15,IF(Q19&gt;=Assumptions!$D$33,TREND($L$46:$L$47,$K$46:$K$47,Q19),0),0),0)</f>
        <v>3245732.5585937537</v>
      </c>
      <c r="X19" s="623">
        <f t="shared" si="10"/>
        <v>7179770.1976562552</v>
      </c>
      <c r="Y19" s="624">
        <f t="shared" si="11"/>
        <v>5087847.1981484424</v>
      </c>
      <c r="Z19" s="621">
        <f t="shared" si="12"/>
        <v>1338383.9390624985</v>
      </c>
      <c r="AA19" s="622">
        <f t="shared" si="13"/>
        <v>4154770.7617187463</v>
      </c>
      <c r="AB19" s="623">
        <f t="shared" si="14"/>
        <v>5493154.7007812448</v>
      </c>
      <c r="AC19" s="624">
        <f t="shared" si="15"/>
        <v>4811975.0813046824</v>
      </c>
      <c r="AD19" s="1"/>
      <c r="AE19" s="1"/>
    </row>
    <row r="20" spans="1:31" ht="14.25" customHeight="1" x14ac:dyDescent="0.25">
      <c r="B20" s="105">
        <f t="shared" si="5"/>
        <v>2040</v>
      </c>
      <c r="C20" s="153">
        <f t="shared" si="0"/>
        <v>12886613.561830349</v>
      </c>
      <c r="D20" s="150">
        <f t="shared" si="1"/>
        <v>10066751.367069192</v>
      </c>
      <c r="E20" s="153">
        <f t="shared" si="2"/>
        <v>7300834.2384598255</v>
      </c>
      <c r="F20" s="154">
        <f t="shared" si="3"/>
        <v>5173637.5958689768</v>
      </c>
      <c r="G20" s="155">
        <f t="shared" si="4"/>
        <v>4893113.7712002154</v>
      </c>
      <c r="H20" s="156">
        <f>G20*(1+0.07)^-(B20-Assumptions!$D$11)</f>
        <v>1352986.7321069539</v>
      </c>
      <c r="K20" s="34" t="s">
        <v>84</v>
      </c>
      <c r="L20" s="34" t="s">
        <v>219</v>
      </c>
      <c r="M20" s="34" t="s">
        <v>220</v>
      </c>
      <c r="N20" s="34" t="s">
        <v>221</v>
      </c>
      <c r="Q20" s="61">
        <v>2037</v>
      </c>
      <c r="R20" s="621">
        <f>IF(Q20&gt;=(Assumptions!$D$33),IF(Q20&lt;=Assumptions!$D$15,IF(Q20&gt;=Assumptions!$D$33,TREND($L$31:$L$32,$K$31:$K$32,Q20),0),0),0)</f>
        <v>5294647.2428571433</v>
      </c>
      <c r="S20" s="622">
        <f>IF(Q20&gt;=(Assumptions!$D$33),IF(Q20&lt;=Assumptions!$D$15,IF(Q20&gt;=Assumptions!$D$33,TREND($L$36:$L$37,$K$36:$K$37,Q20),0),0),0)</f>
        <v>7431699.8214285746</v>
      </c>
      <c r="T20" s="623">
        <f t="shared" si="8"/>
        <v>12726347.064285718</v>
      </c>
      <c r="U20" s="624">
        <f t="shared" si="9"/>
        <v>9941554.5513571464</v>
      </c>
      <c r="V20" s="621">
        <f>IF(Q20&gt;=(Assumptions!$D$33),IF(Q20&lt;=Assumptions!$D$15,IF(Q20&gt;=Assumptions!$D$33,TREND($L$41:$L$42,$K$41:$K$42,Q20),0),0),0)</f>
        <v>3950621.404285714</v>
      </c>
      <c r="W20" s="622">
        <f>IF(Q20&gt;=(Assumptions!$D$33),IF(Q20&lt;=Assumptions!$D$15,IF(Q20&gt;=Assumptions!$D$33,TREND($L$46:$L$47,$K$46:$K$47,Q20),0),0),0)</f>
        <v>3259414.8035714328</v>
      </c>
      <c r="X20" s="623">
        <f t="shared" si="10"/>
        <v>7210036.2078571469</v>
      </c>
      <c r="Y20" s="624">
        <f t="shared" si="11"/>
        <v>5109294.797578576</v>
      </c>
      <c r="Z20" s="621">
        <f t="shared" si="12"/>
        <v>1344025.8385714293</v>
      </c>
      <c r="AA20" s="622">
        <f t="shared" si="13"/>
        <v>4172285.0178571418</v>
      </c>
      <c r="AB20" s="623">
        <f t="shared" si="14"/>
        <v>5516310.856428571</v>
      </c>
      <c r="AC20" s="624">
        <f t="shared" si="15"/>
        <v>4832259.7537785703</v>
      </c>
      <c r="AD20" s="1"/>
      <c r="AE20" s="1"/>
    </row>
    <row r="21" spans="1:31" ht="15" customHeight="1" x14ac:dyDescent="0.25">
      <c r="B21" s="105">
        <f t="shared" si="5"/>
        <v>2041</v>
      </c>
      <c r="C21" s="153">
        <f t="shared" si="0"/>
        <v>12940035.727678567</v>
      </c>
      <c r="D21" s="150">
        <f t="shared" si="1"/>
        <v>10108483.638973214</v>
      </c>
      <c r="E21" s="153">
        <f t="shared" si="2"/>
        <v>7331100.2486607172</v>
      </c>
      <c r="F21" s="154">
        <f t="shared" si="3"/>
        <v>5195085.1952991104</v>
      </c>
      <c r="G21" s="155">
        <f t="shared" si="4"/>
        <v>4913398.4436741034</v>
      </c>
      <c r="H21" s="156">
        <f>G21*(1+0.07)^-(B21-Assumptions!$D$11)</f>
        <v>1269715.5262414762</v>
      </c>
      <c r="K21" s="255" t="s">
        <v>596</v>
      </c>
      <c r="L21" s="613">
        <v>26</v>
      </c>
      <c r="M21" s="613">
        <v>36</v>
      </c>
      <c r="N21" s="614" t="s">
        <v>233</v>
      </c>
      <c r="P21" s="33"/>
      <c r="Q21" s="61">
        <v>2038</v>
      </c>
      <c r="R21" s="621">
        <f>IF(Q21&gt;=(Assumptions!$D$33),IF(Q21&lt;=Assumptions!$D$15,IF(Q21&gt;=Assumptions!$D$33,TREND($L$31:$L$32,$K$31:$K$32,Q21),0),0),0)</f>
        <v>5316872.9075892866</v>
      </c>
      <c r="S21" s="622">
        <f>IF(Q21&gt;=(Assumptions!$D$33),IF(Q21&lt;=Assumptions!$D$15,IF(Q21&gt;=Assumptions!$D$33,TREND($L$36:$L$37,$K$36:$K$37,Q21),0),0),0)</f>
        <v>7462896.3225446418</v>
      </c>
      <c r="T21" s="623">
        <f t="shared" si="8"/>
        <v>12779769.230133928</v>
      </c>
      <c r="U21" s="624">
        <f t="shared" si="9"/>
        <v>9983286.8232611604</v>
      </c>
      <c r="V21" s="621">
        <f>IF(Q21&gt;=(Assumptions!$D$33),IF(Q21&lt;=Assumptions!$D$15,IF(Q21&gt;=Assumptions!$D$33,TREND($L$41:$L$42,$K$41:$K$42,Q21),0),0),0)</f>
        <v>3967205.169508934</v>
      </c>
      <c r="W21" s="622">
        <f>IF(Q21&gt;=(Assumptions!$D$33),IF(Q21&lt;=Assumptions!$D$15,IF(Q21&gt;=Assumptions!$D$33,TREND($L$46:$L$47,$K$46:$K$47,Q21),0),0),0)</f>
        <v>3273097.0485491082</v>
      </c>
      <c r="X21" s="623">
        <f t="shared" si="10"/>
        <v>7240302.2180580422</v>
      </c>
      <c r="Y21" s="624">
        <f t="shared" si="11"/>
        <v>5130742.3970087096</v>
      </c>
      <c r="Z21" s="621">
        <f t="shared" si="12"/>
        <v>1349667.7380803525</v>
      </c>
      <c r="AA21" s="622">
        <f t="shared" si="13"/>
        <v>4189799.2739955336</v>
      </c>
      <c r="AB21" s="623">
        <f t="shared" si="14"/>
        <v>5539467.0120758861</v>
      </c>
      <c r="AC21" s="624">
        <f t="shared" si="15"/>
        <v>4852544.4262524508</v>
      </c>
      <c r="AD21" s="1"/>
      <c r="AE21" s="1"/>
    </row>
    <row r="22" spans="1:31" x14ac:dyDescent="0.25">
      <c r="B22" s="105">
        <f t="shared" si="5"/>
        <v>2042</v>
      </c>
      <c r="C22" s="153">
        <f t="shared" si="0"/>
        <v>12993457.893526785</v>
      </c>
      <c r="D22" s="150">
        <f t="shared" si="1"/>
        <v>10150215.910877233</v>
      </c>
      <c r="E22" s="153">
        <f t="shared" si="2"/>
        <v>7361366.2588616163</v>
      </c>
      <c r="F22" s="154">
        <f t="shared" si="3"/>
        <v>5216532.7947292477</v>
      </c>
      <c r="G22" s="155">
        <f t="shared" si="4"/>
        <v>4933683.1161479857</v>
      </c>
      <c r="H22" s="156">
        <f>G22*(1+0.07)^-(B22-Assumptions!$D$11)</f>
        <v>1191549.0383874606</v>
      </c>
      <c r="K22" s="255" t="s">
        <v>595</v>
      </c>
      <c r="L22" s="613">
        <v>127</v>
      </c>
      <c r="M22" s="613">
        <v>116</v>
      </c>
      <c r="N22" s="650" t="s">
        <v>828</v>
      </c>
      <c r="P22" s="18"/>
      <c r="Q22" s="61">
        <v>2039</v>
      </c>
      <c r="R22" s="621">
        <f>IF(Q22&gt;=(Assumptions!$D$33),IF(Q22&lt;=Assumptions!$D$15,IF(Q22&gt;=Assumptions!$D$33,TREND($L$31:$L$32,$K$31:$K$32,Q22),0),0),0)</f>
        <v>5339098.5723214224</v>
      </c>
      <c r="S22" s="622">
        <f>IF(Q22&gt;=(Assumptions!$D$33),IF(Q22&lt;=Assumptions!$D$15,IF(Q22&gt;=Assumptions!$D$33,TREND($L$36:$L$37,$K$36:$K$37,Q22),0),0),0)</f>
        <v>7494092.8236607164</v>
      </c>
      <c r="T22" s="623">
        <f t="shared" si="8"/>
        <v>12833191.395982139</v>
      </c>
      <c r="U22" s="624">
        <f t="shared" si="9"/>
        <v>10025019.095165178</v>
      </c>
      <c r="V22" s="621">
        <f>IF(Q22&gt;=(Assumptions!$D$33),IF(Q22&lt;=Assumptions!$D$15,IF(Q22&gt;=Assumptions!$D$33,TREND($L$41:$L$42,$K$41:$K$42,Q22),0),0),0)</f>
        <v>3983788.9347321466</v>
      </c>
      <c r="W22" s="622">
        <f>IF(Q22&gt;=(Assumptions!$D$33),IF(Q22&lt;=Assumptions!$D$15,IF(Q22&gt;=Assumptions!$D$33,TREND($L$46:$L$47,$K$46:$K$47,Q22),0),0),0)</f>
        <v>3286779.2935267873</v>
      </c>
      <c r="X22" s="623">
        <f t="shared" si="10"/>
        <v>7270568.2282589339</v>
      </c>
      <c r="Y22" s="624">
        <f t="shared" si="11"/>
        <v>5152189.9964388423</v>
      </c>
      <c r="Z22" s="621">
        <f t="shared" si="12"/>
        <v>1355309.6375892758</v>
      </c>
      <c r="AA22" s="622">
        <f t="shared" si="13"/>
        <v>4207313.5301339291</v>
      </c>
      <c r="AB22" s="623">
        <f t="shared" si="14"/>
        <v>5562623.1677232049</v>
      </c>
      <c r="AC22" s="624">
        <f t="shared" si="15"/>
        <v>4872829.0987263359</v>
      </c>
      <c r="AD22" s="1"/>
      <c r="AE22" s="1"/>
    </row>
    <row r="23" spans="1:31" x14ac:dyDescent="0.25">
      <c r="B23" s="105">
        <f t="shared" si="5"/>
        <v>2043</v>
      </c>
      <c r="C23" s="153">
        <f t="shared" si="0"/>
        <v>13046880.059374996</v>
      </c>
      <c r="D23" s="150">
        <f t="shared" si="1"/>
        <v>10191948.182781247</v>
      </c>
      <c r="E23" s="153">
        <f t="shared" si="2"/>
        <v>7391632.2690625079</v>
      </c>
      <c r="F23" s="154">
        <f t="shared" si="3"/>
        <v>5237980.3941593813</v>
      </c>
      <c r="G23" s="155">
        <f t="shared" si="4"/>
        <v>4953967.7886218661</v>
      </c>
      <c r="H23" s="156">
        <f>G23*(1+0.07)^-(B23-Assumptions!$D$11)</f>
        <v>1118175.7497665202</v>
      </c>
      <c r="Q23" s="61">
        <v>2040</v>
      </c>
      <c r="R23" s="621">
        <f>IF(Q23&gt;=(Assumptions!$D$33),IF(Q23&lt;=Assumptions!$D$15,IF(Q23&gt;=Assumptions!$D$33,TREND($L$31:$L$32,$K$31:$K$32,Q23),0),0),0)</f>
        <v>5361324.2370535657</v>
      </c>
      <c r="S23" s="622">
        <f>IF(Q23&gt;=(Assumptions!$D$33),IF(Q23&lt;=Assumptions!$D$15,IF(Q23&gt;=Assumptions!$D$33,TREND($L$36:$L$37,$K$36:$K$37,Q23),0),0),0)</f>
        <v>7525289.3247767836</v>
      </c>
      <c r="T23" s="623">
        <f t="shared" si="8"/>
        <v>12886613.561830349</v>
      </c>
      <c r="U23" s="624">
        <f t="shared" si="9"/>
        <v>10066751.367069192</v>
      </c>
      <c r="V23" s="621">
        <f>IF(Q23&gt;=(Assumptions!$D$33),IF(Q23&lt;=Assumptions!$D$15,IF(Q23&gt;=Assumptions!$D$33,TREND($L$41:$L$42,$K$41:$K$42,Q23),0),0),0)</f>
        <v>4000372.6999553591</v>
      </c>
      <c r="W23" s="622">
        <f>IF(Q23&gt;=(Assumptions!$D$33),IF(Q23&lt;=Assumptions!$D$15,IF(Q23&gt;=Assumptions!$D$33,TREND($L$46:$L$47,$K$46:$K$47,Q23),0),0),0)</f>
        <v>3300461.5385044664</v>
      </c>
      <c r="X23" s="623">
        <f t="shared" si="10"/>
        <v>7300834.2384598255</v>
      </c>
      <c r="Y23" s="624">
        <f t="shared" si="11"/>
        <v>5173637.5958689768</v>
      </c>
      <c r="Z23" s="621">
        <f t="shared" si="12"/>
        <v>1360951.5370982066</v>
      </c>
      <c r="AA23" s="622">
        <f t="shared" si="13"/>
        <v>4224827.7862723172</v>
      </c>
      <c r="AB23" s="623">
        <f t="shared" si="14"/>
        <v>5585779.3233705238</v>
      </c>
      <c r="AC23" s="624">
        <f t="shared" si="15"/>
        <v>4893113.7712002154</v>
      </c>
      <c r="AD23" s="1"/>
      <c r="AE23" s="1"/>
    </row>
    <row r="24" spans="1:31" x14ac:dyDescent="0.25">
      <c r="B24" s="105">
        <f t="shared" si="5"/>
        <v>2044</v>
      </c>
      <c r="C24" s="153">
        <f t="shared" si="0"/>
        <v>13100302.225223213</v>
      </c>
      <c r="D24" s="150">
        <f t="shared" si="1"/>
        <v>10233680.454685269</v>
      </c>
      <c r="E24" s="153">
        <f t="shared" si="2"/>
        <v>7421898.2792633995</v>
      </c>
      <c r="F24" s="154">
        <f t="shared" si="3"/>
        <v>5259427.9935895149</v>
      </c>
      <c r="G24" s="155">
        <f t="shared" si="4"/>
        <v>4974252.4610957541</v>
      </c>
      <c r="H24" s="156">
        <f>G24*(1+0.07)^-(B24-Assumptions!$D$11)</f>
        <v>1049303.0536404003</v>
      </c>
      <c r="K24" s="1" t="s">
        <v>597</v>
      </c>
      <c r="Q24" s="61">
        <v>2041</v>
      </c>
      <c r="R24" s="621">
        <f>IF(Q24&gt;=(Assumptions!$D$33),IF(Q24&lt;=Assumptions!$D$15,IF(Q24&gt;=Assumptions!$D$33,TREND($L$31:$L$32,$K$31:$K$32,Q24),0),0),0)</f>
        <v>5383549.901785709</v>
      </c>
      <c r="S24" s="622">
        <f>IF(Q24&gt;=(Assumptions!$D$33),IF(Q24&lt;=Assumptions!$D$15,IF(Q24&gt;=Assumptions!$D$33,TREND($L$36:$L$37,$K$36:$K$37,Q24),0),0),0)</f>
        <v>7556485.8258928582</v>
      </c>
      <c r="T24" s="623">
        <f t="shared" si="8"/>
        <v>12940035.727678567</v>
      </c>
      <c r="U24" s="624">
        <f t="shared" si="9"/>
        <v>10108483.638973214</v>
      </c>
      <c r="V24" s="621">
        <f>IF(Q24&gt;=(Assumptions!$D$33),IF(Q24&lt;=Assumptions!$D$15,IF(Q24&gt;=Assumptions!$D$33,TREND($L$41:$L$42,$K$41:$K$42,Q24),0),0),0)</f>
        <v>4016956.4651785716</v>
      </c>
      <c r="W24" s="622">
        <f>IF(Q24&gt;=(Assumptions!$D$33),IF(Q24&lt;=Assumptions!$D$15,IF(Q24&gt;=Assumptions!$D$33,TREND($L$46:$L$47,$K$46:$K$47,Q24),0),0),0)</f>
        <v>3314143.7834821455</v>
      </c>
      <c r="X24" s="623">
        <f t="shared" si="10"/>
        <v>7331100.2486607172</v>
      </c>
      <c r="Y24" s="624">
        <f t="shared" si="11"/>
        <v>5195085.1952991104</v>
      </c>
      <c r="Z24" s="621">
        <f t="shared" si="12"/>
        <v>1366593.4366071373</v>
      </c>
      <c r="AA24" s="622">
        <f t="shared" si="13"/>
        <v>4242342.0424107127</v>
      </c>
      <c r="AB24" s="623">
        <f t="shared" si="14"/>
        <v>5608935.47901785</v>
      </c>
      <c r="AC24" s="624">
        <f t="shared" si="15"/>
        <v>4913398.4436741034</v>
      </c>
      <c r="AD24" s="1"/>
      <c r="AE24" s="1"/>
    </row>
    <row r="25" spans="1:31" ht="15" customHeight="1" x14ac:dyDescent="0.25">
      <c r="B25" s="105">
        <f t="shared" si="5"/>
        <v>2045</v>
      </c>
      <c r="C25" s="153">
        <f t="shared" si="0"/>
        <v>13153724.391071424</v>
      </c>
      <c r="D25" s="150">
        <f t="shared" si="1"/>
        <v>10275412.726589283</v>
      </c>
      <c r="E25" s="153">
        <f t="shared" si="2"/>
        <v>7452164.2894642875</v>
      </c>
      <c r="F25" s="154">
        <f t="shared" si="3"/>
        <v>5280875.5930196438</v>
      </c>
      <c r="G25" s="155">
        <f t="shared" si="4"/>
        <v>4994537.1335696392</v>
      </c>
      <c r="H25" s="156">
        <f>G25*(1+0.07)^-(B25-Assumptions!$D$11)</f>
        <v>984656.11409200449</v>
      </c>
      <c r="K25" s="34" t="s">
        <v>84</v>
      </c>
      <c r="L25" s="34" t="s">
        <v>219</v>
      </c>
      <c r="M25" s="34" t="s">
        <v>220</v>
      </c>
      <c r="N25" s="34" t="s">
        <v>221</v>
      </c>
      <c r="Q25" s="61">
        <v>2042</v>
      </c>
      <c r="R25" s="621">
        <f>IF(Q25&gt;=(Assumptions!$D$33),IF(Q25&lt;=Assumptions!$D$15,IF(Q25&gt;=Assumptions!$D$33,TREND($L$31:$L$32,$K$31:$K$32,Q25),0),0),0)</f>
        <v>5405775.5665178522</v>
      </c>
      <c r="S25" s="622">
        <f>IF(Q25&gt;=(Assumptions!$D$33),IF(Q25&lt;=Assumptions!$D$15,IF(Q25&gt;=Assumptions!$D$33,TREND($L$36:$L$37,$K$36:$K$37,Q25),0),0),0)</f>
        <v>7587682.3270089328</v>
      </c>
      <c r="T25" s="623">
        <f t="shared" si="8"/>
        <v>12993457.893526785</v>
      </c>
      <c r="U25" s="624">
        <f t="shared" si="9"/>
        <v>10150215.910877233</v>
      </c>
      <c r="V25" s="621">
        <f>IF(Q25&gt;=(Assumptions!$D$33),IF(Q25&lt;=Assumptions!$D$15,IF(Q25&gt;=Assumptions!$D$33,TREND($L$41:$L$42,$K$41:$K$42,Q25),0),0),0)</f>
        <v>4033540.2304017916</v>
      </c>
      <c r="W25" s="622">
        <f>IF(Q25&gt;=(Assumptions!$D$33),IF(Q25&lt;=Assumptions!$D$15,IF(Q25&gt;=Assumptions!$D$33,TREND($L$46:$L$47,$K$46:$K$47,Q25),0),0),0)</f>
        <v>3327826.0284598246</v>
      </c>
      <c r="X25" s="623">
        <f t="shared" si="10"/>
        <v>7361366.2588616163</v>
      </c>
      <c r="Y25" s="624">
        <f t="shared" si="11"/>
        <v>5216532.7947292477</v>
      </c>
      <c r="Z25" s="621">
        <f t="shared" si="12"/>
        <v>1372235.3361160606</v>
      </c>
      <c r="AA25" s="622">
        <f t="shared" si="13"/>
        <v>4259856.2985491082</v>
      </c>
      <c r="AB25" s="623">
        <f t="shared" si="14"/>
        <v>5632091.6346651688</v>
      </c>
      <c r="AC25" s="624">
        <f t="shared" si="15"/>
        <v>4933683.1161479857</v>
      </c>
      <c r="AD25" s="1"/>
      <c r="AE25" s="1"/>
    </row>
    <row r="26" spans="1:31" ht="15" customHeight="1" x14ac:dyDescent="0.25">
      <c r="B26" s="105">
        <f t="shared" si="5"/>
        <v>2046</v>
      </c>
      <c r="C26" s="153">
        <f t="shared" si="0"/>
        <v>0</v>
      </c>
      <c r="D26" s="150">
        <f t="shared" si="1"/>
        <v>0</v>
      </c>
      <c r="E26" s="153">
        <f t="shared" si="2"/>
        <v>0</v>
      </c>
      <c r="F26" s="154">
        <f t="shared" si="3"/>
        <v>0</v>
      </c>
      <c r="G26" s="155">
        <f t="shared" si="4"/>
        <v>0</v>
      </c>
      <c r="H26" s="156">
        <f>G26*(1+0.07)^-(B26-Assumptions!$D$11)</f>
        <v>0</v>
      </c>
      <c r="K26" s="255" t="s">
        <v>830</v>
      </c>
      <c r="L26" s="615">
        <v>19.399999999999999</v>
      </c>
      <c r="M26" s="615">
        <v>18</v>
      </c>
      <c r="N26" s="614" t="s">
        <v>574</v>
      </c>
      <c r="Q26" s="61">
        <v>2043</v>
      </c>
      <c r="R26" s="621">
        <f>IF(Q26&gt;=(Assumptions!$D$33),IF(Q26&lt;=Assumptions!$D$15,IF(Q26&gt;=Assumptions!$D$33,TREND($L$31:$L$32,$K$31:$K$32,Q26),0),0),0)</f>
        <v>5428001.2312499955</v>
      </c>
      <c r="S26" s="622">
        <f>IF(Q26&gt;=(Assumptions!$D$33),IF(Q26&lt;=Assumptions!$D$15,IF(Q26&gt;=Assumptions!$D$33,TREND($L$36:$L$37,$K$36:$K$37,Q26),0),0),0)</f>
        <v>7618878.828125</v>
      </c>
      <c r="T26" s="623">
        <f t="shared" si="8"/>
        <v>13046880.059374996</v>
      </c>
      <c r="U26" s="624">
        <f t="shared" si="9"/>
        <v>10191948.182781247</v>
      </c>
      <c r="V26" s="621">
        <f>IF(Q26&gt;=(Assumptions!$D$33),IF(Q26&lt;=Assumptions!$D$15,IF(Q26&gt;=Assumptions!$D$33,TREND($L$41:$L$42,$K$41:$K$42,Q26),0),0),0)</f>
        <v>4050123.9956250042</v>
      </c>
      <c r="W26" s="622">
        <f>IF(Q26&gt;=(Assumptions!$D$33),IF(Q26&lt;=Assumptions!$D$15,IF(Q26&gt;=Assumptions!$D$33,TREND($L$46:$L$47,$K$46:$K$47,Q26),0),0),0)</f>
        <v>3341508.2734375037</v>
      </c>
      <c r="X26" s="623">
        <f t="shared" si="10"/>
        <v>7391632.2690625079</v>
      </c>
      <c r="Y26" s="624">
        <f t="shared" si="11"/>
        <v>5237980.3941593813</v>
      </c>
      <c r="Z26" s="621">
        <f t="shared" si="12"/>
        <v>1377877.2356249914</v>
      </c>
      <c r="AA26" s="622">
        <f t="shared" si="13"/>
        <v>4277370.5546874963</v>
      </c>
      <c r="AB26" s="623">
        <f t="shared" si="14"/>
        <v>5655247.7903124876</v>
      </c>
      <c r="AC26" s="624">
        <f t="shared" si="15"/>
        <v>4953967.7886218661</v>
      </c>
      <c r="AD26" s="1"/>
      <c r="AE26" s="1"/>
    </row>
    <row r="27" spans="1:31" ht="15" customHeight="1" x14ac:dyDescent="0.25">
      <c r="B27" s="105">
        <f t="shared" si="5"/>
        <v>2047</v>
      </c>
      <c r="C27" s="153">
        <f t="shared" si="0"/>
        <v>0</v>
      </c>
      <c r="D27" s="150">
        <f t="shared" si="1"/>
        <v>0</v>
      </c>
      <c r="E27" s="153">
        <f t="shared" si="2"/>
        <v>0</v>
      </c>
      <c r="F27" s="154">
        <f t="shared" si="3"/>
        <v>0</v>
      </c>
      <c r="G27" s="155">
        <f t="shared" si="4"/>
        <v>0</v>
      </c>
      <c r="H27" s="156">
        <f>G27*(1+0.07)^-(B27-Assumptions!$D$11)</f>
        <v>0</v>
      </c>
      <c r="I27" s="3"/>
      <c r="K27" s="255" t="s">
        <v>831</v>
      </c>
      <c r="L27" s="615">
        <v>55.7</v>
      </c>
      <c r="M27" s="615">
        <v>54</v>
      </c>
      <c r="N27" s="671" t="s">
        <v>938</v>
      </c>
      <c r="Q27" s="61">
        <v>2044</v>
      </c>
      <c r="R27" s="621">
        <f>IF(Q27&gt;=(Assumptions!$D$33),IF(Q27&lt;=Assumptions!$D$15,IF(Q27&gt;=Assumptions!$D$33,TREND($L$31:$L$32,$K$31:$K$32,Q27),0),0),0)</f>
        <v>5450226.8959821388</v>
      </c>
      <c r="S27" s="622">
        <f>IF(Q27&gt;=(Assumptions!$D$33),IF(Q27&lt;=Assumptions!$D$15,IF(Q27&gt;=Assumptions!$D$33,TREND($L$36:$L$37,$K$36:$K$37,Q27),0),0),0)</f>
        <v>7650075.3292410746</v>
      </c>
      <c r="T27" s="623">
        <f t="shared" si="8"/>
        <v>13100302.225223213</v>
      </c>
      <c r="U27" s="624">
        <f t="shared" si="9"/>
        <v>10233680.454685269</v>
      </c>
      <c r="V27" s="621">
        <f>IF(Q27&gt;=(Assumptions!$D$33),IF(Q27&lt;=Assumptions!$D$15,IF(Q27&gt;=Assumptions!$D$33,TREND($L$41:$L$42,$K$41:$K$42,Q27),0),0),0)</f>
        <v>4066707.7608482167</v>
      </c>
      <c r="W27" s="622">
        <f>IF(Q27&gt;=(Assumptions!$D$33),IF(Q27&lt;=Assumptions!$D$15,IF(Q27&gt;=Assumptions!$D$33,TREND($L$46:$L$47,$K$46:$K$47,Q27),0),0),0)</f>
        <v>3355190.5184151828</v>
      </c>
      <c r="X27" s="623">
        <f t="shared" si="10"/>
        <v>7421898.2792633995</v>
      </c>
      <c r="Y27" s="624">
        <f t="shared" si="11"/>
        <v>5259427.9935895149</v>
      </c>
      <c r="Z27" s="621">
        <f t="shared" si="12"/>
        <v>1383519.1351339221</v>
      </c>
      <c r="AA27" s="622">
        <f t="shared" si="13"/>
        <v>4294884.8108258918</v>
      </c>
      <c r="AB27" s="623">
        <f t="shared" si="14"/>
        <v>5678403.9459598139</v>
      </c>
      <c r="AC27" s="624">
        <f t="shared" si="15"/>
        <v>4974252.4610957541</v>
      </c>
      <c r="AD27" s="1"/>
      <c r="AE27" s="1"/>
    </row>
    <row r="28" spans="1:31" ht="15" customHeight="1" x14ac:dyDescent="0.25">
      <c r="A28" s="2"/>
      <c r="B28" s="105">
        <f t="shared" si="5"/>
        <v>2048</v>
      </c>
      <c r="C28" s="153">
        <f t="shared" si="0"/>
        <v>0</v>
      </c>
      <c r="D28" s="150">
        <f t="shared" si="1"/>
        <v>0</v>
      </c>
      <c r="E28" s="153">
        <f t="shared" si="2"/>
        <v>0</v>
      </c>
      <c r="F28" s="154">
        <f t="shared" si="3"/>
        <v>0</v>
      </c>
      <c r="G28" s="155">
        <f t="shared" si="4"/>
        <v>0</v>
      </c>
      <c r="H28" s="156">
        <f>G28*(1+0.07)^-(B28-Assumptions!$D$11)</f>
        <v>0</v>
      </c>
      <c r="Q28" s="61">
        <v>2045</v>
      </c>
      <c r="R28" s="621">
        <f>IF(Q28&gt;=(Assumptions!$D$33),IF(Q28&lt;=Assumptions!$D$15,IF(Q28&gt;=Assumptions!$D$33,TREND($L$31:$L$32,$K$31:$K$32,Q28),0),0),0)</f>
        <v>5472452.5607142821</v>
      </c>
      <c r="S28" s="622">
        <f>IF(Q28&gt;=(Assumptions!$D$33),IF(Q28&lt;=Assumptions!$D$15,IF(Q28&gt;=Assumptions!$D$33,TREND($L$36:$L$37,$K$36:$K$37,Q28),0),0),0)</f>
        <v>7681271.8303571418</v>
      </c>
      <c r="T28" s="623">
        <f t="shared" si="8"/>
        <v>13153724.391071424</v>
      </c>
      <c r="U28" s="624">
        <f t="shared" si="9"/>
        <v>10275412.726589283</v>
      </c>
      <c r="V28" s="621">
        <f>IF(Q28&gt;=(Assumptions!$D$33),IF(Q28&lt;=Assumptions!$D$15,IF(Q28&gt;=Assumptions!$D$33,TREND($L$41:$L$42,$K$41:$K$42,Q28),0),0),0)</f>
        <v>4083291.5260714293</v>
      </c>
      <c r="W28" s="622">
        <f>IF(Q28&gt;=(Assumptions!$D$33),IF(Q28&lt;=Assumptions!$D$15,IF(Q28&gt;=Assumptions!$D$33,TREND($L$46:$L$47,$K$46:$K$47,Q28),0),0),0)</f>
        <v>3368872.7633928582</v>
      </c>
      <c r="X28" s="623">
        <f t="shared" si="10"/>
        <v>7452164.2894642875</v>
      </c>
      <c r="Y28" s="624">
        <f t="shared" si="11"/>
        <v>5280875.5930196438</v>
      </c>
      <c r="Z28" s="621">
        <f t="shared" si="12"/>
        <v>1389161.0346428528</v>
      </c>
      <c r="AA28" s="622">
        <f t="shared" si="13"/>
        <v>4312399.0669642836</v>
      </c>
      <c r="AB28" s="623">
        <f t="shared" si="14"/>
        <v>5701560.1016071364</v>
      </c>
      <c r="AC28" s="624">
        <f t="shared" si="15"/>
        <v>4994537.1335696392</v>
      </c>
      <c r="AD28" s="1"/>
      <c r="AE28" s="1"/>
    </row>
    <row r="29" spans="1:31" ht="15" customHeight="1" x14ac:dyDescent="0.25">
      <c r="B29" s="105">
        <f t="shared" si="5"/>
        <v>2049</v>
      </c>
      <c r="C29" s="153">
        <f t="shared" si="0"/>
        <v>0</v>
      </c>
      <c r="D29" s="150">
        <f t="shared" si="1"/>
        <v>0</v>
      </c>
      <c r="E29" s="153">
        <f t="shared" si="2"/>
        <v>0</v>
      </c>
      <c r="F29" s="154">
        <f t="shared" si="3"/>
        <v>0</v>
      </c>
      <c r="G29" s="155">
        <f t="shared" si="4"/>
        <v>0</v>
      </c>
      <c r="H29" s="156">
        <f>G29*(1+0.07)^-(B29-Assumptions!$D$11)</f>
        <v>0</v>
      </c>
      <c r="K29" s="1" t="s">
        <v>613</v>
      </c>
      <c r="Q29" s="61">
        <v>2046</v>
      </c>
      <c r="R29" s="621">
        <f>IF(Q29&gt;=(Assumptions!$D$33),IF(Q29&lt;=Assumptions!$D$15,IF(Q29&gt;=Assumptions!$D$33,TREND($L$31:$L$32,$K$31:$K$32,Q29),0),0),0)</f>
        <v>0</v>
      </c>
      <c r="S29" s="622">
        <f>IF(Q29&gt;=(Assumptions!$D$33),IF(Q29&lt;=Assumptions!$D$15,IF(Q29&gt;=Assumptions!$D$33,TREND($L$36:$L$37,$K$36:$K$37,Q29),0),0),0)</f>
        <v>0</v>
      </c>
      <c r="T29" s="623">
        <f t="shared" si="8"/>
        <v>0</v>
      </c>
      <c r="U29" s="624">
        <f t="shared" si="9"/>
        <v>0</v>
      </c>
      <c r="V29" s="621">
        <f>IF(Q29&gt;=(Assumptions!$D$33),IF(Q29&lt;=Assumptions!$D$15,IF(Q29&gt;=Assumptions!$D$33,TREND($L$41:$L$42,$K$41:$K$42,Q29),0),0),0)</f>
        <v>0</v>
      </c>
      <c r="W29" s="622">
        <f>IF(Q29&gt;=(Assumptions!$D$33),IF(Q29&lt;=Assumptions!$D$15,IF(Q29&gt;=Assumptions!$D$33,TREND($L$46:$L$47,$K$46:$K$47,Q29),0),0),0)</f>
        <v>0</v>
      </c>
      <c r="X29" s="623">
        <f t="shared" si="10"/>
        <v>0</v>
      </c>
      <c r="Y29" s="624">
        <f t="shared" si="11"/>
        <v>0</v>
      </c>
      <c r="Z29" s="621">
        <f t="shared" si="12"/>
        <v>0</v>
      </c>
      <c r="AA29" s="622">
        <f t="shared" si="13"/>
        <v>0</v>
      </c>
      <c r="AB29" s="623">
        <f t="shared" si="14"/>
        <v>0</v>
      </c>
      <c r="AC29" s="624">
        <f t="shared" si="15"/>
        <v>0</v>
      </c>
      <c r="AD29" s="1"/>
      <c r="AE29" s="1"/>
    </row>
    <row r="30" spans="1:31" ht="15" customHeight="1" x14ac:dyDescent="0.25">
      <c r="B30" s="105">
        <f t="shared" si="5"/>
        <v>2050</v>
      </c>
      <c r="C30" s="153">
        <f t="shared" si="0"/>
        <v>0</v>
      </c>
      <c r="D30" s="150">
        <f t="shared" si="1"/>
        <v>0</v>
      </c>
      <c r="E30" s="153">
        <f t="shared" si="2"/>
        <v>0</v>
      </c>
      <c r="F30" s="154">
        <f t="shared" si="3"/>
        <v>0</v>
      </c>
      <c r="G30" s="155">
        <f t="shared" si="4"/>
        <v>0</v>
      </c>
      <c r="H30" s="156">
        <f>G30*(1+0.07)^-(B30-Assumptions!$D$11)</f>
        <v>0</v>
      </c>
      <c r="K30" s="24" t="s">
        <v>612</v>
      </c>
      <c r="L30" s="24" t="s">
        <v>594</v>
      </c>
      <c r="Q30" s="61">
        <v>2047</v>
      </c>
      <c r="R30" s="621">
        <f>IF(Q30&gt;=(Assumptions!$D$33),IF(Q30&lt;=Assumptions!$D$15,IF(Q30&gt;=Assumptions!$D$33,TREND($L$31:$L$32,$K$31:$K$32,Q30),0),0),0)</f>
        <v>0</v>
      </c>
      <c r="S30" s="622">
        <f>IF(Q30&gt;=(Assumptions!$D$33),IF(Q30&lt;=Assumptions!$D$15,IF(Q30&gt;=Assumptions!$D$33,TREND($L$36:$L$37,$K$36:$K$37,Q30),0),0),0)</f>
        <v>0</v>
      </c>
      <c r="T30" s="623">
        <f t="shared" si="8"/>
        <v>0</v>
      </c>
      <c r="U30" s="624">
        <f t="shared" si="9"/>
        <v>0</v>
      </c>
      <c r="V30" s="621">
        <f>IF(Q30&gt;=(Assumptions!$D$33),IF(Q30&lt;=Assumptions!$D$15,IF(Q30&gt;=Assumptions!$D$33,TREND($L$41:$L$42,$K$41:$K$42,Q30),0),0),0)</f>
        <v>0</v>
      </c>
      <c r="W30" s="622">
        <f>IF(Q30&gt;=(Assumptions!$D$33),IF(Q30&lt;=Assumptions!$D$15,IF(Q30&gt;=Assumptions!$D$33,TREND($L$46:$L$47,$K$46:$K$47,Q30),0),0),0)</f>
        <v>0</v>
      </c>
      <c r="X30" s="623">
        <f t="shared" si="10"/>
        <v>0</v>
      </c>
      <c r="Y30" s="624">
        <f t="shared" si="11"/>
        <v>0</v>
      </c>
      <c r="Z30" s="621">
        <f t="shared" si="12"/>
        <v>0</v>
      </c>
      <c r="AA30" s="622">
        <f t="shared" si="13"/>
        <v>0</v>
      </c>
      <c r="AB30" s="623">
        <f t="shared" si="14"/>
        <v>0</v>
      </c>
      <c r="AC30" s="624">
        <f t="shared" si="15"/>
        <v>0</v>
      </c>
      <c r="AD30" s="1"/>
      <c r="AE30" s="1"/>
    </row>
    <row r="31" spans="1:31" ht="15" customHeight="1" x14ac:dyDescent="0.25">
      <c r="B31" s="105">
        <f t="shared" si="5"/>
        <v>2051</v>
      </c>
      <c r="C31" s="153">
        <f t="shared" si="0"/>
        <v>0</v>
      </c>
      <c r="D31" s="150">
        <f t="shared" si="1"/>
        <v>0</v>
      </c>
      <c r="E31" s="153">
        <f t="shared" si="2"/>
        <v>0</v>
      </c>
      <c r="F31" s="154">
        <f t="shared" si="3"/>
        <v>0</v>
      </c>
      <c r="G31" s="155">
        <f t="shared" si="4"/>
        <v>0</v>
      </c>
      <c r="H31" s="156">
        <f>G31*(1+0.07)^-(B31-Assumptions!$D$11)</f>
        <v>0</v>
      </c>
      <c r="K31" s="24">
        <v>2021</v>
      </c>
      <c r="L31" s="278">
        <f>$L$10*$L$16*$L$21*365</f>
        <v>4939036.6071428573</v>
      </c>
      <c r="Q31" s="61">
        <v>2048</v>
      </c>
      <c r="R31" s="621">
        <f>IF(Q31&gt;=(Assumptions!$D$33),IF(Q31&lt;=Assumptions!$D$15,IF(Q31&gt;=Assumptions!$D$33,TREND($L$31:$L$32,$K$31:$K$32,Q31),0),0),0)</f>
        <v>0</v>
      </c>
      <c r="S31" s="622">
        <f>IF(Q31&gt;=(Assumptions!$D$33),IF(Q31&lt;=Assumptions!$D$15,IF(Q31&gt;=Assumptions!$D$33,TREND($L$36:$L$37,$K$36:$K$37,Q31),0),0),0)</f>
        <v>0</v>
      </c>
      <c r="T31" s="623">
        <f t="shared" si="8"/>
        <v>0</v>
      </c>
      <c r="U31" s="624">
        <f t="shared" si="9"/>
        <v>0</v>
      </c>
      <c r="V31" s="621">
        <f>IF(Q31&gt;=(Assumptions!$D$33),IF(Q31&lt;=Assumptions!$D$15,IF(Q31&gt;=Assumptions!$D$33,TREND($L$41:$L$42,$K$41:$K$42,Q31),0),0),0)</f>
        <v>0</v>
      </c>
      <c r="W31" s="622">
        <f>IF(Q31&gt;=(Assumptions!$D$33),IF(Q31&lt;=Assumptions!$D$15,IF(Q31&gt;=Assumptions!$D$33,TREND($L$46:$L$47,$K$46:$K$47,Q31),0),0),0)</f>
        <v>0</v>
      </c>
      <c r="X31" s="623">
        <f t="shared" si="10"/>
        <v>0</v>
      </c>
      <c r="Y31" s="624">
        <f t="shared" si="11"/>
        <v>0</v>
      </c>
      <c r="Z31" s="621">
        <f t="shared" si="12"/>
        <v>0</v>
      </c>
      <c r="AA31" s="622">
        <f t="shared" si="13"/>
        <v>0</v>
      </c>
      <c r="AB31" s="623">
        <f t="shared" si="14"/>
        <v>0</v>
      </c>
      <c r="AC31" s="624">
        <f t="shared" si="15"/>
        <v>0</v>
      </c>
      <c r="AD31" s="1"/>
      <c r="AE31" s="1"/>
    </row>
    <row r="32" spans="1:31" ht="15" customHeight="1" x14ac:dyDescent="0.25">
      <c r="B32" s="105">
        <f t="shared" si="5"/>
        <v>2052</v>
      </c>
      <c r="C32" s="153">
        <f t="shared" si="0"/>
        <v>0</v>
      </c>
      <c r="D32" s="150">
        <f t="shared" si="1"/>
        <v>0</v>
      </c>
      <c r="E32" s="153">
        <f t="shared" si="2"/>
        <v>0</v>
      </c>
      <c r="F32" s="154">
        <f t="shared" si="3"/>
        <v>0</v>
      </c>
      <c r="G32" s="155">
        <f t="shared" si="4"/>
        <v>0</v>
      </c>
      <c r="H32" s="156">
        <f>G32*(1+0.07)^-(B32-Assumptions!$D$11)</f>
        <v>0</v>
      </c>
      <c r="K32" s="24">
        <v>2045</v>
      </c>
      <c r="L32" s="278">
        <f>$L$10*$L$17*$L$21*365</f>
        <v>5472452.5607142868</v>
      </c>
      <c r="Q32" s="61">
        <v>2049</v>
      </c>
      <c r="R32" s="621">
        <f>IF(Q32&gt;=(Assumptions!$D$33),IF(Q32&lt;=Assumptions!$D$15,IF(Q32&gt;=Assumptions!$D$33,TREND($L$31:$L$32,$K$31:$K$32,Q32),0),0),0)</f>
        <v>0</v>
      </c>
      <c r="S32" s="622">
        <f>IF(Q32&gt;=(Assumptions!$D$33),IF(Q32&lt;=Assumptions!$D$15,IF(Q32&gt;=Assumptions!$D$33,TREND($L$36:$L$37,$K$36:$K$37,Q32),0),0),0)</f>
        <v>0</v>
      </c>
      <c r="T32" s="623">
        <f t="shared" si="8"/>
        <v>0</v>
      </c>
      <c r="U32" s="624">
        <f t="shared" si="9"/>
        <v>0</v>
      </c>
      <c r="V32" s="621">
        <f>IF(Q32&gt;=(Assumptions!$D$33),IF(Q32&lt;=Assumptions!$D$15,IF(Q32&gt;=Assumptions!$D$33,TREND($L$41:$L$42,$K$41:$K$42,Q32),0),0),0)</f>
        <v>0</v>
      </c>
      <c r="W32" s="622">
        <f>IF(Q32&gt;=(Assumptions!$D$33),IF(Q32&lt;=Assumptions!$D$15,IF(Q32&gt;=Assumptions!$D$33,TREND($L$46:$L$47,$K$46:$K$47,Q32),0),0),0)</f>
        <v>0</v>
      </c>
      <c r="X32" s="623">
        <f t="shared" si="10"/>
        <v>0</v>
      </c>
      <c r="Y32" s="624">
        <f t="shared" si="11"/>
        <v>0</v>
      </c>
      <c r="Z32" s="621">
        <f t="shared" si="12"/>
        <v>0</v>
      </c>
      <c r="AA32" s="622">
        <f t="shared" si="13"/>
        <v>0</v>
      </c>
      <c r="AB32" s="623">
        <f t="shared" si="14"/>
        <v>0</v>
      </c>
      <c r="AC32" s="624">
        <f t="shared" si="15"/>
        <v>0</v>
      </c>
      <c r="AD32" s="1"/>
      <c r="AE32" s="1"/>
    </row>
    <row r="33" spans="1:31" ht="15" customHeight="1" x14ac:dyDescent="0.25">
      <c r="B33" s="105">
        <f t="shared" si="5"/>
        <v>2053</v>
      </c>
      <c r="C33" s="153">
        <f t="shared" si="0"/>
        <v>0</v>
      </c>
      <c r="D33" s="150">
        <f t="shared" si="1"/>
        <v>0</v>
      </c>
      <c r="E33" s="153">
        <f t="shared" si="2"/>
        <v>0</v>
      </c>
      <c r="F33" s="154">
        <f t="shared" si="3"/>
        <v>0</v>
      </c>
      <c r="G33" s="155">
        <f t="shared" si="4"/>
        <v>0</v>
      </c>
      <c r="H33" s="156">
        <f>G33*(1+0.07)^-(B33-Assumptions!$D$11)</f>
        <v>0</v>
      </c>
      <c r="Q33" s="61">
        <v>2050</v>
      </c>
      <c r="R33" s="621">
        <f>IF(Q33&gt;=(Assumptions!$D$33),IF(Q33&lt;=Assumptions!$D$15,IF(Q33&gt;=Assumptions!$D$33,TREND($L$31:$L$32,$K$31:$K$32,Q33),0),0),0)</f>
        <v>0</v>
      </c>
      <c r="S33" s="622">
        <f>IF(Q33&gt;=(Assumptions!$D$33),IF(Q33&lt;=Assumptions!$D$15,IF(Q33&gt;=Assumptions!$D$33,TREND($L$36:$L$37,$K$36:$K$37,Q33),0),0),0)</f>
        <v>0</v>
      </c>
      <c r="T33" s="623">
        <f t="shared" si="8"/>
        <v>0</v>
      </c>
      <c r="U33" s="624">
        <f t="shared" si="9"/>
        <v>0</v>
      </c>
      <c r="V33" s="621">
        <f>IF(Q33&gt;=(Assumptions!$D$33),IF(Q33&lt;=Assumptions!$D$15,IF(Q33&gt;=Assumptions!$D$33,TREND($L$41:$L$42,$K$41:$K$42,Q33),0),0),0)</f>
        <v>0</v>
      </c>
      <c r="W33" s="622">
        <f>IF(Q33&gt;=(Assumptions!$D$33),IF(Q33&lt;=Assumptions!$D$15,IF(Q33&gt;=Assumptions!$D$33,TREND($L$46:$L$47,$K$46:$K$47,Q33),0),0),0)</f>
        <v>0</v>
      </c>
      <c r="X33" s="623">
        <f t="shared" si="10"/>
        <v>0</v>
      </c>
      <c r="Y33" s="624">
        <f t="shared" si="11"/>
        <v>0</v>
      </c>
      <c r="Z33" s="621">
        <f t="shared" si="12"/>
        <v>0</v>
      </c>
      <c r="AA33" s="622">
        <f t="shared" si="13"/>
        <v>0</v>
      </c>
      <c r="AB33" s="623">
        <f t="shared" si="14"/>
        <v>0</v>
      </c>
      <c r="AC33" s="624">
        <f t="shared" si="15"/>
        <v>0</v>
      </c>
      <c r="AD33" s="1"/>
      <c r="AE33" s="1"/>
    </row>
    <row r="34" spans="1:31" ht="15" customHeight="1" x14ac:dyDescent="0.25">
      <c r="B34" s="105">
        <f t="shared" si="5"/>
        <v>2054</v>
      </c>
      <c r="C34" s="153">
        <f t="shared" si="0"/>
        <v>0</v>
      </c>
      <c r="D34" s="150">
        <f t="shared" si="1"/>
        <v>0</v>
      </c>
      <c r="E34" s="153">
        <f t="shared" si="2"/>
        <v>0</v>
      </c>
      <c r="F34" s="154">
        <f t="shared" si="3"/>
        <v>0</v>
      </c>
      <c r="G34" s="155">
        <f t="shared" si="4"/>
        <v>0</v>
      </c>
      <c r="H34" s="156">
        <f>G34*(1+0.07)^-(B34-Assumptions!$D$11)</f>
        <v>0</v>
      </c>
      <c r="K34" s="1" t="s">
        <v>614</v>
      </c>
      <c r="Q34" s="61">
        <v>2051</v>
      </c>
      <c r="R34" s="621">
        <f>IF(Q34&gt;=(Assumptions!$D$33),IF(Q34&lt;=Assumptions!$D$15,IF(Q34&gt;=Assumptions!$D$33,TREND($L$31:$L$32,$K$31:$K$32,Q34),0),0),0)</f>
        <v>0</v>
      </c>
      <c r="S34" s="622">
        <f>IF(Q34&gt;=(Assumptions!$D$33),IF(Q34&lt;=Assumptions!$D$15,IF(Q34&gt;=Assumptions!$D$33,TREND($L$36:$L$37,$K$36:$K$37,Q34),0),0),0)</f>
        <v>0</v>
      </c>
      <c r="T34" s="623">
        <f t="shared" si="8"/>
        <v>0</v>
      </c>
      <c r="U34" s="624">
        <f t="shared" si="9"/>
        <v>0</v>
      </c>
      <c r="V34" s="621">
        <f>IF(Q34&gt;=(Assumptions!$D$33),IF(Q34&lt;=Assumptions!$D$15,IF(Q34&gt;=Assumptions!$D$33,TREND($L$41:$L$42,$K$41:$K$42,Q34),0),0),0)</f>
        <v>0</v>
      </c>
      <c r="W34" s="622">
        <f>IF(Q34&gt;=(Assumptions!$D$33),IF(Q34&lt;=Assumptions!$D$15,IF(Q34&gt;=Assumptions!$D$33,TREND($L$46:$L$47,$K$46:$K$47,Q34),0),0),0)</f>
        <v>0</v>
      </c>
      <c r="X34" s="623">
        <f t="shared" si="10"/>
        <v>0</v>
      </c>
      <c r="Y34" s="624">
        <f t="shared" si="11"/>
        <v>0</v>
      </c>
      <c r="Z34" s="621">
        <f t="shared" si="12"/>
        <v>0</v>
      </c>
      <c r="AA34" s="622">
        <f t="shared" si="13"/>
        <v>0</v>
      </c>
      <c r="AB34" s="623">
        <f t="shared" si="14"/>
        <v>0</v>
      </c>
      <c r="AC34" s="624">
        <f t="shared" si="15"/>
        <v>0</v>
      </c>
      <c r="AD34" s="1"/>
      <c r="AE34" s="1"/>
    </row>
    <row r="35" spans="1:31" ht="15" customHeight="1" x14ac:dyDescent="0.25">
      <c r="B35" s="105">
        <f t="shared" si="5"/>
        <v>2055</v>
      </c>
      <c r="C35" s="153">
        <f t="shared" si="0"/>
        <v>0</v>
      </c>
      <c r="D35" s="150">
        <f t="shared" si="1"/>
        <v>0</v>
      </c>
      <c r="E35" s="153">
        <f t="shared" si="2"/>
        <v>0</v>
      </c>
      <c r="F35" s="154">
        <f t="shared" si="3"/>
        <v>0</v>
      </c>
      <c r="G35" s="155">
        <f t="shared" si="4"/>
        <v>0</v>
      </c>
      <c r="H35" s="156">
        <f>G35*(1+0.07)^-(B35-Assumptions!$D$11)</f>
        <v>0</v>
      </c>
      <c r="K35" s="24" t="s">
        <v>612</v>
      </c>
      <c r="L35" s="24" t="s">
        <v>594</v>
      </c>
      <c r="Q35" s="61">
        <v>2052</v>
      </c>
      <c r="R35" s="621">
        <f>IF(Q35&gt;=(Assumptions!$D$33),IF(Q35&lt;=Assumptions!$D$15,IF(Q35&gt;=Assumptions!$D$33,TREND($L$31:$L$32,$K$31:$K$32,Q35),0),0),0)</f>
        <v>0</v>
      </c>
      <c r="S35" s="622">
        <f>IF(Q35&gt;=(Assumptions!$D$33),IF(Q35&lt;=Assumptions!$D$15,IF(Q35&gt;=Assumptions!$D$33,TREND($L$36:$L$37,$K$36:$K$37,Q35),0),0),0)</f>
        <v>0</v>
      </c>
      <c r="T35" s="623">
        <f t="shared" si="8"/>
        <v>0</v>
      </c>
      <c r="U35" s="624">
        <f t="shared" si="9"/>
        <v>0</v>
      </c>
      <c r="V35" s="621">
        <f>IF(Q35&gt;=(Assumptions!$D$33),IF(Q35&lt;=Assumptions!$D$15,IF(Q35&gt;=Assumptions!$D$33,TREND($L$41:$L$42,$K$41:$K$42,Q35),0),0),0)</f>
        <v>0</v>
      </c>
      <c r="W35" s="622">
        <f>IF(Q35&gt;=(Assumptions!$D$33),IF(Q35&lt;=Assumptions!$D$15,IF(Q35&gt;=Assumptions!$D$33,TREND($L$46:$L$47,$K$46:$K$47,Q35),0),0),0)</f>
        <v>0</v>
      </c>
      <c r="X35" s="623">
        <f t="shared" si="10"/>
        <v>0</v>
      </c>
      <c r="Y35" s="624">
        <f t="shared" si="11"/>
        <v>0</v>
      </c>
      <c r="Z35" s="621">
        <f t="shared" si="12"/>
        <v>0</v>
      </c>
      <c r="AA35" s="622">
        <f t="shared" si="13"/>
        <v>0</v>
      </c>
      <c r="AB35" s="623">
        <f t="shared" si="14"/>
        <v>0</v>
      </c>
      <c r="AC35" s="624">
        <f t="shared" si="15"/>
        <v>0</v>
      </c>
      <c r="AD35" s="1"/>
      <c r="AE35" s="1"/>
    </row>
    <row r="36" spans="1:31" ht="15" customHeight="1" x14ac:dyDescent="0.25">
      <c r="B36" s="105">
        <f t="shared" si="5"/>
        <v>2056</v>
      </c>
      <c r="C36" s="153">
        <f t="shared" si="0"/>
        <v>0</v>
      </c>
      <c r="D36" s="150">
        <f t="shared" si="1"/>
        <v>0</v>
      </c>
      <c r="E36" s="153">
        <f t="shared" si="2"/>
        <v>0</v>
      </c>
      <c r="F36" s="154">
        <f t="shared" si="3"/>
        <v>0</v>
      </c>
      <c r="G36" s="155">
        <f t="shared" si="4"/>
        <v>0</v>
      </c>
      <c r="H36" s="156">
        <f>G36*(1+0.07)^-(B36-Assumptions!$D$11)</f>
        <v>0</v>
      </c>
      <c r="K36" s="24">
        <v>2021</v>
      </c>
      <c r="L36" s="278">
        <f>$L$11*$L$16*$L$22*365</f>
        <v>6932555.8035714291</v>
      </c>
      <c r="Q36" s="61">
        <v>2053</v>
      </c>
      <c r="R36" s="621">
        <f>IF(Q36&gt;=(Assumptions!$D$33),IF(Q36&lt;=Assumptions!$D$15,IF(Q36&gt;=Assumptions!$D$33,TREND($L$31:$L$32,$K$31:$K$32,Q36),0),0),0)</f>
        <v>0</v>
      </c>
      <c r="S36" s="622">
        <f>IF(Q36&gt;=(Assumptions!$D$33),IF(Q36&lt;=Assumptions!$D$15,IF(Q36&gt;=Assumptions!$D$33,TREND($L$36:$L$37,$K$36:$K$37,Q36),0),0),0)</f>
        <v>0</v>
      </c>
      <c r="T36" s="623">
        <f t="shared" si="8"/>
        <v>0</v>
      </c>
      <c r="U36" s="624">
        <f t="shared" si="9"/>
        <v>0</v>
      </c>
      <c r="V36" s="621">
        <f>IF(Q36&gt;=(Assumptions!$D$33),IF(Q36&lt;=Assumptions!$D$15,IF(Q36&gt;=Assumptions!$D$33,TREND($L$41:$L$42,$K$41:$K$42,Q36),0),0),0)</f>
        <v>0</v>
      </c>
      <c r="W36" s="622">
        <f>IF(Q36&gt;=(Assumptions!$D$33),IF(Q36&lt;=Assumptions!$D$15,IF(Q36&gt;=Assumptions!$D$33,TREND($L$46:$L$47,$K$46:$K$47,Q36),0),0),0)</f>
        <v>0</v>
      </c>
      <c r="X36" s="623">
        <f t="shared" si="10"/>
        <v>0</v>
      </c>
      <c r="Y36" s="624">
        <f t="shared" si="11"/>
        <v>0</v>
      </c>
      <c r="Z36" s="621">
        <f t="shared" si="12"/>
        <v>0</v>
      </c>
      <c r="AA36" s="622">
        <f t="shared" si="13"/>
        <v>0</v>
      </c>
      <c r="AB36" s="623">
        <f t="shared" si="14"/>
        <v>0</v>
      </c>
      <c r="AC36" s="624">
        <f t="shared" si="15"/>
        <v>0</v>
      </c>
      <c r="AD36" s="1"/>
      <c r="AE36" s="1"/>
    </row>
    <row r="37" spans="1:31" ht="15" customHeight="1" x14ac:dyDescent="0.25">
      <c r="B37" s="105">
        <f t="shared" si="5"/>
        <v>2057</v>
      </c>
      <c r="C37" s="153">
        <f t="shared" si="0"/>
        <v>0</v>
      </c>
      <c r="D37" s="150">
        <f t="shared" si="1"/>
        <v>0</v>
      </c>
      <c r="E37" s="153">
        <f t="shared" si="2"/>
        <v>0</v>
      </c>
      <c r="F37" s="154">
        <f t="shared" si="3"/>
        <v>0</v>
      </c>
      <c r="G37" s="155">
        <f t="shared" si="4"/>
        <v>0</v>
      </c>
      <c r="H37" s="156">
        <f>G37*(1+0.07)^-(B37-Assumptions!$D$11)</f>
        <v>0</v>
      </c>
      <c r="K37" s="24">
        <v>2045</v>
      </c>
      <c r="L37" s="278">
        <f>$L$11*$L$17*$L$22*365</f>
        <v>7681271.8303571437</v>
      </c>
      <c r="Q37" s="61">
        <v>2054</v>
      </c>
      <c r="R37" s="621">
        <f>IF(Q37&gt;=(Assumptions!$D$33),IF(Q37&lt;=Assumptions!$D$15,IF(Q37&gt;=Assumptions!$D$33,TREND($L$31:$L$32,$K$31:$K$32,Q37),0),0),0)</f>
        <v>0</v>
      </c>
      <c r="S37" s="622">
        <f>IF(Q37&gt;=(Assumptions!$D$33),IF(Q37&lt;=Assumptions!$D$15,IF(Q37&gt;=Assumptions!$D$33,TREND($L$36:$L$37,$K$36:$K$37,Q37),0),0),0)</f>
        <v>0</v>
      </c>
      <c r="T37" s="623">
        <f t="shared" si="8"/>
        <v>0</v>
      </c>
      <c r="U37" s="624">
        <f t="shared" si="9"/>
        <v>0</v>
      </c>
      <c r="V37" s="621">
        <f>IF(Q37&gt;=(Assumptions!$D$33),IF(Q37&lt;=Assumptions!$D$15,IF(Q37&gt;=Assumptions!$D$33,TREND($L$41:$L$42,$K$41:$K$42,Q37),0),0),0)</f>
        <v>0</v>
      </c>
      <c r="W37" s="622">
        <f>IF(Q37&gt;=(Assumptions!$D$33),IF(Q37&lt;=Assumptions!$D$15,IF(Q37&gt;=Assumptions!$D$33,TREND($L$46:$L$47,$K$46:$K$47,Q37),0),0),0)</f>
        <v>0</v>
      </c>
      <c r="X37" s="623">
        <f t="shared" si="10"/>
        <v>0</v>
      </c>
      <c r="Y37" s="624">
        <f t="shared" si="11"/>
        <v>0</v>
      </c>
      <c r="Z37" s="621">
        <f t="shared" si="12"/>
        <v>0</v>
      </c>
      <c r="AA37" s="622">
        <f t="shared" si="13"/>
        <v>0</v>
      </c>
      <c r="AB37" s="623">
        <f t="shared" si="14"/>
        <v>0</v>
      </c>
      <c r="AC37" s="624">
        <f t="shared" si="15"/>
        <v>0</v>
      </c>
      <c r="AD37" s="1"/>
      <c r="AE37" s="1"/>
    </row>
    <row r="38" spans="1:31" ht="15" customHeight="1" x14ac:dyDescent="0.25">
      <c r="B38" s="105">
        <f t="shared" si="5"/>
        <v>2058</v>
      </c>
      <c r="C38" s="153">
        <f t="shared" si="0"/>
        <v>0</v>
      </c>
      <c r="D38" s="150">
        <f t="shared" si="1"/>
        <v>0</v>
      </c>
      <c r="E38" s="153">
        <f t="shared" si="2"/>
        <v>0</v>
      </c>
      <c r="F38" s="154">
        <f t="shared" si="3"/>
        <v>0</v>
      </c>
      <c r="G38" s="155">
        <f t="shared" si="4"/>
        <v>0</v>
      </c>
      <c r="H38" s="156">
        <f>G38*(1+0.07)^-(B38-Assumptions!$D$11)</f>
        <v>0</v>
      </c>
      <c r="Q38" s="61">
        <v>2055</v>
      </c>
      <c r="R38" s="621">
        <f>IF(Q38&gt;=(Assumptions!$D$33),IF(Q38&lt;=Assumptions!$D$15,IF(Q38&gt;=Assumptions!$D$33,TREND($L$31:$L$32,$K$31:$K$32,Q38),0),0),0)</f>
        <v>0</v>
      </c>
      <c r="S38" s="622">
        <f>IF(Q38&gt;=(Assumptions!$D$33),IF(Q38&lt;=Assumptions!$D$15,IF(Q38&gt;=Assumptions!$D$33,TREND($L$36:$L$37,$K$36:$K$37,Q38),0),0),0)</f>
        <v>0</v>
      </c>
      <c r="T38" s="623">
        <f t="shared" si="8"/>
        <v>0</v>
      </c>
      <c r="U38" s="624">
        <f t="shared" si="9"/>
        <v>0</v>
      </c>
      <c r="V38" s="621">
        <f>IF(Q38&gt;=(Assumptions!$D$33),IF(Q38&lt;=Assumptions!$D$15,IF(Q38&gt;=Assumptions!$D$33,TREND($L$41:$L$42,$K$41:$K$42,Q38),0),0),0)</f>
        <v>0</v>
      </c>
      <c r="W38" s="622">
        <f>IF(Q38&gt;=(Assumptions!$D$33),IF(Q38&lt;=Assumptions!$D$15,IF(Q38&gt;=Assumptions!$D$33,TREND($L$46:$L$47,$K$46:$K$47,Q38),0),0),0)</f>
        <v>0</v>
      </c>
      <c r="X38" s="623">
        <f t="shared" si="10"/>
        <v>0</v>
      </c>
      <c r="Y38" s="624">
        <f t="shared" si="11"/>
        <v>0</v>
      </c>
      <c r="Z38" s="621">
        <f t="shared" si="12"/>
        <v>0</v>
      </c>
      <c r="AA38" s="622">
        <f t="shared" si="13"/>
        <v>0</v>
      </c>
      <c r="AB38" s="623">
        <f t="shared" si="14"/>
        <v>0</v>
      </c>
      <c r="AC38" s="624">
        <f t="shared" si="15"/>
        <v>0</v>
      </c>
      <c r="AD38" s="1"/>
      <c r="AE38" s="1"/>
    </row>
    <row r="39" spans="1:31" ht="15" customHeight="1" x14ac:dyDescent="0.25">
      <c r="B39" s="105">
        <f t="shared" si="5"/>
        <v>2059</v>
      </c>
      <c r="C39" s="153">
        <f t="shared" si="0"/>
        <v>0</v>
      </c>
      <c r="D39" s="150">
        <f t="shared" si="1"/>
        <v>0</v>
      </c>
      <c r="E39" s="153">
        <f t="shared" si="2"/>
        <v>0</v>
      </c>
      <c r="F39" s="154">
        <f t="shared" si="3"/>
        <v>0</v>
      </c>
      <c r="G39" s="155">
        <f t="shared" si="4"/>
        <v>0</v>
      </c>
      <c r="H39" s="156">
        <f>G39*(1+0.07)^-(B39-Assumptions!$D$11)</f>
        <v>0</v>
      </c>
      <c r="K39" s="1" t="s">
        <v>615</v>
      </c>
      <c r="Q39" s="61">
        <v>2056</v>
      </c>
      <c r="R39" s="621">
        <f>IF(Q39&gt;=(Assumptions!$D$33),IF(Q39&lt;=Assumptions!$D$15,IF(Q39&gt;=Assumptions!$D$33,TREND($L$31:$L$32,$K$31:$K$32,Q39),0),0),0)</f>
        <v>0</v>
      </c>
      <c r="S39" s="622">
        <f>IF(Q39&gt;=(Assumptions!$D$33),IF(Q39&lt;=Assumptions!$D$15,IF(Q39&gt;=Assumptions!$D$33,TREND($L$36:$L$37,$K$36:$K$37,Q39),0),0),0)</f>
        <v>0</v>
      </c>
      <c r="T39" s="623">
        <f t="shared" si="8"/>
        <v>0</v>
      </c>
      <c r="U39" s="624">
        <f t="shared" si="9"/>
        <v>0</v>
      </c>
      <c r="V39" s="621">
        <f>IF(Q39&gt;=(Assumptions!$D$33),IF(Q39&lt;=Assumptions!$D$15,IF(Q39&gt;=Assumptions!$D$33,TREND($L$41:$L$42,$K$41:$K$42,Q39),0),0),0)</f>
        <v>0</v>
      </c>
      <c r="W39" s="622">
        <f>IF(Q39&gt;=(Assumptions!$D$33),IF(Q39&lt;=Assumptions!$D$15,IF(Q39&gt;=Assumptions!$D$33,TREND($L$46:$L$47,$K$46:$K$47,Q39),0),0),0)</f>
        <v>0</v>
      </c>
      <c r="X39" s="623">
        <f t="shared" si="10"/>
        <v>0</v>
      </c>
      <c r="Y39" s="624">
        <f t="shared" si="11"/>
        <v>0</v>
      </c>
      <c r="Z39" s="621">
        <f t="shared" si="12"/>
        <v>0</v>
      </c>
      <c r="AA39" s="622">
        <f t="shared" si="13"/>
        <v>0</v>
      </c>
      <c r="AB39" s="623">
        <f t="shared" si="14"/>
        <v>0</v>
      </c>
      <c r="AC39" s="624">
        <f t="shared" si="15"/>
        <v>0</v>
      </c>
      <c r="AD39" s="1"/>
      <c r="AE39" s="1"/>
    </row>
    <row r="40" spans="1:31" ht="15" customHeight="1" x14ac:dyDescent="0.25">
      <c r="B40" s="105">
        <f t="shared" si="5"/>
        <v>2060</v>
      </c>
      <c r="C40" s="153">
        <f t="shared" si="0"/>
        <v>0</v>
      </c>
      <c r="D40" s="150">
        <f t="shared" si="1"/>
        <v>0</v>
      </c>
      <c r="E40" s="153">
        <f t="shared" si="2"/>
        <v>0</v>
      </c>
      <c r="F40" s="154">
        <f t="shared" si="3"/>
        <v>0</v>
      </c>
      <c r="G40" s="155">
        <f t="shared" si="4"/>
        <v>0</v>
      </c>
      <c r="H40" s="156">
        <f>G40*(1+0.07)^-(B40-Assumptions!$D$11)</f>
        <v>0</v>
      </c>
      <c r="K40" s="24" t="s">
        <v>612</v>
      </c>
      <c r="L40" s="24" t="s">
        <v>14</v>
      </c>
      <c r="Q40" s="61">
        <v>2057</v>
      </c>
      <c r="R40" s="621">
        <f>IF(Q40&gt;=(Assumptions!$D$33),IF(Q40&lt;=Assumptions!$D$15,IF(Q40&gt;=Assumptions!$D$33,TREND($L$31:$L$32,$K$31:$K$32,Q40),0),0),0)</f>
        <v>0</v>
      </c>
      <c r="S40" s="622">
        <f>IF(Q40&gt;=(Assumptions!$D$33),IF(Q40&lt;=Assumptions!$D$15,IF(Q40&gt;=Assumptions!$D$33,TREND($L$36:$L$37,$K$36:$K$37,Q40),0),0),0)</f>
        <v>0</v>
      </c>
      <c r="T40" s="623">
        <f t="shared" si="8"/>
        <v>0</v>
      </c>
      <c r="U40" s="624">
        <f t="shared" si="9"/>
        <v>0</v>
      </c>
      <c r="V40" s="621">
        <f>IF(Q40&gt;=(Assumptions!$D$33),IF(Q40&lt;=Assumptions!$D$15,IF(Q40&gt;=Assumptions!$D$33,TREND($L$41:$L$42,$K$41:$K$42,Q40),0),0),0)</f>
        <v>0</v>
      </c>
      <c r="W40" s="622">
        <f>IF(Q40&gt;=(Assumptions!$D$33),IF(Q40&lt;=Assumptions!$D$15,IF(Q40&gt;=Assumptions!$D$33,TREND($L$46:$L$47,$K$46:$K$47,Q40),0),0),0)</f>
        <v>0</v>
      </c>
      <c r="X40" s="623">
        <f t="shared" si="10"/>
        <v>0</v>
      </c>
      <c r="Y40" s="624">
        <f t="shared" si="11"/>
        <v>0</v>
      </c>
      <c r="Z40" s="621">
        <f t="shared" si="12"/>
        <v>0</v>
      </c>
      <c r="AA40" s="622">
        <f t="shared" si="13"/>
        <v>0</v>
      </c>
      <c r="AB40" s="623">
        <f t="shared" si="14"/>
        <v>0</v>
      </c>
      <c r="AC40" s="624">
        <f t="shared" si="15"/>
        <v>0</v>
      </c>
      <c r="AD40" s="1"/>
      <c r="AE40" s="1"/>
    </row>
    <row r="41" spans="1:31" ht="15" customHeight="1" thickBot="1" x14ac:dyDescent="0.3">
      <c r="B41" s="90">
        <f t="shared" si="5"/>
        <v>2061</v>
      </c>
      <c r="C41" s="157">
        <f t="shared" si="0"/>
        <v>0</v>
      </c>
      <c r="D41" s="158">
        <f t="shared" si="1"/>
        <v>0</v>
      </c>
      <c r="E41" s="157">
        <f t="shared" si="2"/>
        <v>0</v>
      </c>
      <c r="F41" s="159">
        <f t="shared" si="3"/>
        <v>0</v>
      </c>
      <c r="G41" s="160">
        <f t="shared" si="4"/>
        <v>0</v>
      </c>
      <c r="H41" s="161">
        <f>G41*(1+0.07)^-(B41-Assumptions!$D$11)</f>
        <v>0</v>
      </c>
      <c r="I41" s="30"/>
      <c r="K41" s="24">
        <v>2021</v>
      </c>
      <c r="L41" s="278">
        <f>$L$10*$L$16*$L$26*365</f>
        <v>3685281.1607142854</v>
      </c>
      <c r="Q41" s="61">
        <v>2058</v>
      </c>
      <c r="R41" s="621">
        <f>IF(Q41&gt;=(Assumptions!$D$33),IF(Q41&lt;=Assumptions!$D$15,IF(Q41&gt;=Assumptions!$D$33,TREND($L$31:$L$32,$K$31:$K$32,Q41),0),0),0)</f>
        <v>0</v>
      </c>
      <c r="S41" s="622">
        <f>IF(Q41&gt;=(Assumptions!$D$33),IF(Q41&lt;=Assumptions!$D$15,IF(Q41&gt;=Assumptions!$D$33,TREND($L$36:$L$37,$K$36:$K$37,Q41),0),0),0)</f>
        <v>0</v>
      </c>
      <c r="T41" s="623">
        <f t="shared" si="8"/>
        <v>0</v>
      </c>
      <c r="U41" s="624">
        <f t="shared" si="9"/>
        <v>0</v>
      </c>
      <c r="V41" s="621">
        <f>IF(Q41&gt;=(Assumptions!$D$33),IF(Q41&lt;=Assumptions!$D$15,IF(Q41&gt;=Assumptions!$D$33,TREND($L$41:$L$42,$K$41:$K$42,Q41),0),0),0)</f>
        <v>0</v>
      </c>
      <c r="W41" s="622">
        <f>IF(Q41&gt;=(Assumptions!$D$33),IF(Q41&lt;=Assumptions!$D$15,IF(Q41&gt;=Assumptions!$D$33,TREND($L$46:$L$47,$K$46:$K$47,Q41),0),0),0)</f>
        <v>0</v>
      </c>
      <c r="X41" s="623">
        <f t="shared" si="10"/>
        <v>0</v>
      </c>
      <c r="Y41" s="624">
        <f t="shared" si="11"/>
        <v>0</v>
      </c>
      <c r="Z41" s="621">
        <f t="shared" si="12"/>
        <v>0</v>
      </c>
      <c r="AA41" s="622">
        <f t="shared" si="13"/>
        <v>0</v>
      </c>
      <c r="AB41" s="623">
        <f t="shared" si="14"/>
        <v>0</v>
      </c>
      <c r="AC41" s="624">
        <f t="shared" si="15"/>
        <v>0</v>
      </c>
      <c r="AD41" s="1"/>
      <c r="AE41" s="1"/>
    </row>
    <row r="42" spans="1:31" ht="15" customHeight="1" thickBot="1" x14ac:dyDescent="0.3">
      <c r="G42" s="95" t="s">
        <v>2</v>
      </c>
      <c r="H42" s="162">
        <f>SUM(H6:H41)</f>
        <v>32079981.795149051</v>
      </c>
      <c r="I42" s="31"/>
      <c r="K42" s="24">
        <v>2045</v>
      </c>
      <c r="L42" s="278">
        <f>$L$10*$L$17*$L$26*365</f>
        <v>4083291.5260714283</v>
      </c>
      <c r="Q42" s="61">
        <v>2059</v>
      </c>
      <c r="R42" s="621">
        <f>IF(Q42&gt;=(Assumptions!$D$33),IF(Q42&lt;=Assumptions!$D$15,IF(Q42&gt;=Assumptions!$D$33,TREND($L$31:$L$32,$K$31:$K$32,Q42),0),0),0)</f>
        <v>0</v>
      </c>
      <c r="S42" s="622">
        <f>IF(Q42&gt;=(Assumptions!$D$33),IF(Q42&lt;=Assumptions!$D$15,IF(Q42&gt;=Assumptions!$D$33,TREND($L$36:$L$37,$K$36:$K$37,Q42),0),0),0)</f>
        <v>0</v>
      </c>
      <c r="T42" s="623">
        <f t="shared" si="8"/>
        <v>0</v>
      </c>
      <c r="U42" s="624">
        <f t="shared" si="9"/>
        <v>0</v>
      </c>
      <c r="V42" s="621">
        <f>IF(Q42&gt;=(Assumptions!$D$33),IF(Q42&lt;=Assumptions!$D$15,IF(Q42&gt;=Assumptions!$D$33,TREND($L$41:$L$42,$K$41:$K$42,Q42),0),0),0)</f>
        <v>0</v>
      </c>
      <c r="W42" s="622">
        <f>IF(Q42&gt;=(Assumptions!$D$33),IF(Q42&lt;=Assumptions!$D$15,IF(Q42&gt;=Assumptions!$D$33,TREND($L$46:$L$47,$K$46:$K$47,Q42),0),0),0)</f>
        <v>0</v>
      </c>
      <c r="X42" s="623">
        <f t="shared" si="10"/>
        <v>0</v>
      </c>
      <c r="Y42" s="624">
        <f t="shared" si="11"/>
        <v>0</v>
      </c>
      <c r="Z42" s="621">
        <f t="shared" si="12"/>
        <v>0</v>
      </c>
      <c r="AA42" s="622">
        <f t="shared" si="13"/>
        <v>0</v>
      </c>
      <c r="AB42" s="623">
        <f t="shared" si="14"/>
        <v>0</v>
      </c>
      <c r="AC42" s="624">
        <f t="shared" si="15"/>
        <v>0</v>
      </c>
      <c r="AD42" s="1"/>
      <c r="AE42" s="1"/>
    </row>
    <row r="43" spans="1:31" ht="15.75" thickBot="1" x14ac:dyDescent="0.3">
      <c r="B43" s="44"/>
      <c r="C43" s="45"/>
      <c r="D43" s="42"/>
      <c r="E43" s="42"/>
      <c r="F43" s="42"/>
      <c r="G43" s="42"/>
      <c r="H43" s="42"/>
      <c r="Q43" s="62">
        <v>2060</v>
      </c>
      <c r="R43" s="626">
        <f>IF(Q43&gt;=(Assumptions!$D$33),IF(Q43&lt;=Assumptions!$D$15,IF(Q43&gt;=Assumptions!$D$33,TREND($L$31:$L$32,$K$31:$K$32,Q43),0),0),0)</f>
        <v>0</v>
      </c>
      <c r="S43" s="627">
        <f>IF(Q43&gt;=(Assumptions!$D$33),IF(Q43&lt;=Assumptions!$D$15,IF(Q43&gt;=Assumptions!$D$33,TREND($L$36:$L$37,$K$36:$K$37,Q43),0),0),0)</f>
        <v>0</v>
      </c>
      <c r="T43" s="628">
        <f t="shared" si="8"/>
        <v>0</v>
      </c>
      <c r="U43" s="629">
        <f t="shared" si="9"/>
        <v>0</v>
      </c>
      <c r="V43" s="626">
        <f>IF(Q43&gt;=(Assumptions!$D$33),IF(Q43&lt;=Assumptions!$D$15,IF(Q43&gt;=Assumptions!$D$33,TREND($L$41:$L$42,$K$41:$K$42,Q43),0),0),0)</f>
        <v>0</v>
      </c>
      <c r="W43" s="627">
        <f>IF(Q43&gt;=(Assumptions!$D$33),IF(Q43&lt;=Assumptions!$D$15,IF(Q43&gt;=Assumptions!$D$33,TREND($L$46:$L$47,$K$46:$K$47,Q43),0),0),0)</f>
        <v>0</v>
      </c>
      <c r="X43" s="628">
        <f t="shared" si="10"/>
        <v>0</v>
      </c>
      <c r="Y43" s="629">
        <f t="shared" si="11"/>
        <v>0</v>
      </c>
      <c r="Z43" s="626">
        <f t="shared" si="12"/>
        <v>0</v>
      </c>
      <c r="AA43" s="627">
        <f t="shared" si="13"/>
        <v>0</v>
      </c>
      <c r="AB43" s="628">
        <f t="shared" si="14"/>
        <v>0</v>
      </c>
      <c r="AC43" s="629">
        <f t="shared" si="15"/>
        <v>0</v>
      </c>
      <c r="AD43" s="1"/>
      <c r="AE43" s="1"/>
    </row>
    <row r="44" spans="1:31" x14ac:dyDescent="0.25">
      <c r="K44" s="1" t="s">
        <v>616</v>
      </c>
    </row>
    <row r="45" spans="1:31" ht="15" customHeight="1" x14ac:dyDescent="0.25">
      <c r="K45" s="24" t="s">
        <v>612</v>
      </c>
      <c r="L45" s="24" t="s">
        <v>14</v>
      </c>
    </row>
    <row r="46" spans="1:31" ht="15" customHeight="1" x14ac:dyDescent="0.25">
      <c r="A46" s="2"/>
      <c r="B46" s="1" t="s">
        <v>3</v>
      </c>
      <c r="C46" s="1"/>
      <c r="K46" s="24">
        <v>2021</v>
      </c>
      <c r="L46" s="278">
        <f>$L$11*$L$16*$L$27*365</f>
        <v>3040498.8839285718</v>
      </c>
      <c r="O46" s="1"/>
    </row>
    <row r="47" spans="1:31" ht="15" customHeight="1" x14ac:dyDescent="0.25">
      <c r="A47" s="2" t="s">
        <v>16</v>
      </c>
      <c r="B47" s="702" t="s">
        <v>160</v>
      </c>
      <c r="C47" s="702"/>
      <c r="D47" s="702"/>
      <c r="E47" s="702"/>
      <c r="F47" s="702"/>
      <c r="G47" s="702"/>
      <c r="H47" s="8"/>
      <c r="K47" s="24">
        <v>2045</v>
      </c>
      <c r="L47" s="278">
        <f>$L$11*$L$17*$L$27*365</f>
        <v>3368872.7633928577</v>
      </c>
      <c r="O47" s="1"/>
    </row>
    <row r="48" spans="1:31" ht="15" customHeight="1" x14ac:dyDescent="0.25">
      <c r="A48" s="2"/>
      <c r="B48" s="702"/>
      <c r="C48" s="702"/>
      <c r="D48" s="702"/>
      <c r="E48" s="702"/>
      <c r="F48" s="702"/>
      <c r="G48" s="702"/>
      <c r="H48" s="8"/>
      <c r="O48" s="1"/>
    </row>
    <row r="49" spans="1:15" ht="15" customHeight="1" x14ac:dyDescent="0.25">
      <c r="A49" s="2"/>
      <c r="B49" s="702"/>
      <c r="C49" s="702"/>
      <c r="D49" s="702"/>
      <c r="E49" s="702"/>
      <c r="F49" s="702"/>
      <c r="G49" s="702"/>
      <c r="H49" s="235"/>
      <c r="O49" s="1"/>
    </row>
    <row r="50" spans="1:15" ht="15" customHeight="1" x14ac:dyDescent="0.25">
      <c r="A50" s="2"/>
      <c r="B50" s="8"/>
      <c r="C50" s="8"/>
      <c r="D50" s="8"/>
      <c r="E50" s="8"/>
      <c r="F50" s="8"/>
      <c r="G50" s="8"/>
      <c r="H50" s="235"/>
    </row>
    <row r="51" spans="1:15" ht="15" customHeight="1" x14ac:dyDescent="0.25">
      <c r="A51" s="2" t="s">
        <v>22</v>
      </c>
      <c r="B51" s="702" t="s">
        <v>609</v>
      </c>
      <c r="C51" s="702"/>
      <c r="D51" s="702"/>
      <c r="E51" s="702"/>
      <c r="F51" s="702"/>
      <c r="G51" s="702"/>
      <c r="H51" s="235"/>
    </row>
    <row r="52" spans="1:15" ht="15" customHeight="1" x14ac:dyDescent="0.25">
      <c r="A52" s="2"/>
      <c r="B52" s="702"/>
      <c r="C52" s="702"/>
      <c r="D52" s="702"/>
      <c r="E52" s="702"/>
      <c r="F52" s="702"/>
      <c r="G52" s="702"/>
      <c r="H52" s="235"/>
    </row>
    <row r="53" spans="1:15" x14ac:dyDescent="0.25">
      <c r="A53" s="2"/>
      <c r="B53" s="702"/>
      <c r="C53" s="702"/>
      <c r="D53" s="702"/>
      <c r="E53" s="702"/>
      <c r="F53" s="702"/>
      <c r="G53" s="702"/>
      <c r="H53" s="235"/>
    </row>
    <row r="54" spans="1:15" ht="15" customHeight="1" x14ac:dyDescent="0.25">
      <c r="A54" s="236"/>
      <c r="B54" s="235"/>
      <c r="C54" s="235"/>
      <c r="D54" s="235"/>
      <c r="E54" s="235"/>
      <c r="F54" s="235"/>
      <c r="G54" s="235"/>
      <c r="H54" s="235"/>
    </row>
    <row r="55" spans="1:15" ht="15" customHeight="1" x14ac:dyDescent="0.25">
      <c r="A55" s="2" t="s">
        <v>23</v>
      </c>
      <c r="B55" s="702" t="s">
        <v>610</v>
      </c>
      <c r="C55" s="702"/>
      <c r="D55" s="702"/>
      <c r="E55" s="702"/>
      <c r="F55" s="702"/>
      <c r="G55" s="702"/>
      <c r="H55" s="235"/>
    </row>
    <row r="56" spans="1:15" ht="15" customHeight="1" x14ac:dyDescent="0.25">
      <c r="A56" s="2"/>
      <c r="B56" s="702"/>
      <c r="C56" s="702"/>
      <c r="D56" s="702"/>
      <c r="E56" s="702"/>
      <c r="F56" s="702"/>
      <c r="G56" s="702"/>
    </row>
    <row r="57" spans="1:15" ht="15" customHeight="1" x14ac:dyDescent="0.25">
      <c r="A57" s="2"/>
      <c r="B57" s="8"/>
      <c r="C57" s="8"/>
      <c r="D57" s="8"/>
      <c r="E57" s="8"/>
      <c r="F57" s="8"/>
      <c r="G57" s="8"/>
    </row>
    <row r="58" spans="1:15" ht="15" customHeight="1" x14ac:dyDescent="0.25">
      <c r="A58" s="2" t="s">
        <v>162</v>
      </c>
      <c r="B58" s="702" t="s">
        <v>608</v>
      </c>
      <c r="C58" s="702"/>
      <c r="D58" s="702"/>
      <c r="E58" s="702"/>
      <c r="F58" s="702"/>
      <c r="G58" s="702"/>
    </row>
    <row r="59" spans="1:15" ht="15" customHeight="1" x14ac:dyDescent="0.25">
      <c r="A59" s="2"/>
      <c r="B59" s="702"/>
      <c r="C59" s="702"/>
      <c r="D59" s="702"/>
      <c r="E59" s="702"/>
      <c r="F59" s="702"/>
      <c r="G59" s="702"/>
    </row>
    <row r="61" spans="1:15" ht="15" customHeight="1" x14ac:dyDescent="0.25"/>
    <row r="62" spans="1:15" ht="15" customHeight="1" x14ac:dyDescent="0.25"/>
    <row r="63" spans="1:15" x14ac:dyDescent="0.25">
      <c r="A63" s="2"/>
      <c r="B63" s="8"/>
    </row>
    <row r="64" spans="1:15" x14ac:dyDescent="0.25">
      <c r="A64" s="2"/>
      <c r="B64" s="8"/>
    </row>
    <row r="65" spans="1:7" ht="15" customHeight="1" x14ac:dyDescent="0.25">
      <c r="A65" s="2"/>
      <c r="B65" s="8"/>
      <c r="C65" s="8"/>
    </row>
    <row r="66" spans="1:7" ht="15" customHeight="1" x14ac:dyDescent="0.25"/>
    <row r="68" spans="1:7" ht="15" customHeight="1" x14ac:dyDescent="0.25"/>
    <row r="71" spans="1:7" ht="15" customHeight="1" x14ac:dyDescent="0.25"/>
    <row r="73" spans="1:7" ht="15" customHeight="1" x14ac:dyDescent="0.25"/>
    <row r="74" spans="1:7" ht="21" customHeight="1" x14ac:dyDescent="0.25">
      <c r="A74" s="2"/>
      <c r="B74" s="8"/>
      <c r="C74" s="8"/>
      <c r="D74" s="8"/>
      <c r="E74" s="8"/>
      <c r="F74" s="8"/>
      <c r="G74" s="8"/>
    </row>
    <row r="75" spans="1:7" x14ac:dyDescent="0.25">
      <c r="A75" s="2"/>
      <c r="B75" s="8"/>
      <c r="C75" s="8"/>
      <c r="D75" s="8"/>
      <c r="E75" s="8"/>
      <c r="F75" s="8"/>
    </row>
    <row r="76" spans="1:7" x14ac:dyDescent="0.25">
      <c r="A76" s="2"/>
    </row>
  </sheetData>
  <mergeCells count="15">
    <mergeCell ref="H4:H5"/>
    <mergeCell ref="K5:L5"/>
    <mergeCell ref="R6:U6"/>
    <mergeCell ref="B4:B5"/>
    <mergeCell ref="C4:C5"/>
    <mergeCell ref="D4:D5"/>
    <mergeCell ref="E4:E5"/>
    <mergeCell ref="F4:F5"/>
    <mergeCell ref="G4:G5"/>
    <mergeCell ref="B51:G53"/>
    <mergeCell ref="B55:G56"/>
    <mergeCell ref="B58:G59"/>
    <mergeCell ref="V6:Y6"/>
    <mergeCell ref="Z6:AC6"/>
    <mergeCell ref="B47:G49"/>
  </mergeCells>
  <hyperlinks>
    <hyperlink ref="N21" r:id="rId1" xr:uid="{109FF1B7-5D1C-4361-ACE0-627E7C3314C3}"/>
    <hyperlink ref="N26" r:id="rId2" xr:uid="{68FB9451-941F-4DBB-B053-FE54BA61916B}"/>
    <hyperlink ref="N22" r:id="rId3" xr:uid="{B39E876A-D039-4EB0-8385-7746C72829C0}"/>
    <hyperlink ref="N27" r:id="rId4" xr:uid="{373399A7-0FC2-453C-9501-F64D8CFE496F}"/>
  </hyperlinks>
  <pageMargins left="0.25" right="0.25" top="0.75" bottom="0.75" header="0.3" footer="0.3"/>
  <pageSetup scale="23" orientation="landscape"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pageSetUpPr fitToPage="1"/>
  </sheetPr>
  <dimension ref="A1:AL104"/>
  <sheetViews>
    <sheetView view="pageBreakPreview" zoomScale="70" zoomScaleNormal="70" zoomScaleSheetLayoutView="70" workbookViewId="0">
      <selection activeCell="H15" sqref="H15"/>
    </sheetView>
  </sheetViews>
  <sheetFormatPr defaultRowHeight="15" x14ac:dyDescent="0.25"/>
  <cols>
    <col min="1" max="1" width="7.7109375" customWidth="1"/>
    <col min="2" max="2" width="25.28515625" customWidth="1"/>
    <col min="3" max="4" width="14.5703125" bestFit="1" customWidth="1"/>
    <col min="5" max="5" width="19.42578125" bestFit="1" customWidth="1"/>
    <col min="6" max="6" width="20.140625" customWidth="1"/>
    <col min="7" max="7" width="9.140625" collapsed="1"/>
    <col min="8" max="8" width="49.85546875" customWidth="1"/>
    <col min="9" max="11" width="39" customWidth="1"/>
    <col min="12" max="12" width="39" customWidth="1" collapsed="1"/>
    <col min="13" max="14" width="39" customWidth="1"/>
    <col min="17" max="17" width="13.140625" bestFit="1" customWidth="1"/>
    <col min="18" max="18" width="5.85546875" bestFit="1" customWidth="1"/>
    <col min="19" max="19" width="15.7109375" bestFit="1" customWidth="1"/>
    <col min="20" max="20" width="6.42578125" bestFit="1" customWidth="1"/>
    <col min="21" max="21" width="5.42578125" bestFit="1" customWidth="1"/>
    <col min="22" max="22" width="4.85546875" bestFit="1" customWidth="1"/>
    <col min="23" max="23" width="4.85546875" customWidth="1"/>
    <col min="24" max="24" width="5.85546875" customWidth="1"/>
    <col min="25" max="25" width="16.85546875" customWidth="1"/>
    <col min="29" max="29" width="5.85546875" bestFit="1" customWidth="1"/>
    <col min="30" max="30" width="15.28515625" bestFit="1" customWidth="1"/>
    <col min="31" max="31" width="15.28515625" customWidth="1"/>
    <col min="32" max="34" width="4.85546875" bestFit="1" customWidth="1"/>
    <col min="35" max="35" width="4.85546875" customWidth="1"/>
    <col min="36" max="36" width="5.85546875" customWidth="1"/>
    <col min="37" max="37" width="16.85546875" bestFit="1" customWidth="1"/>
  </cols>
  <sheetData>
    <row r="1" spans="1:37" ht="15" customHeight="1" x14ac:dyDescent="0.25">
      <c r="A1" s="115"/>
      <c r="B1" s="47"/>
      <c r="C1" s="47"/>
      <c r="D1" s="47"/>
      <c r="E1" s="47"/>
      <c r="F1" s="47"/>
    </row>
    <row r="2" spans="1:37" ht="15.75" thickBot="1" x14ac:dyDescent="0.3">
      <c r="B2" s="1" t="s">
        <v>234</v>
      </c>
      <c r="C2" s="1"/>
      <c r="D2" s="1"/>
    </row>
    <row r="3" spans="1:37" ht="15.75" thickBot="1" x14ac:dyDescent="0.3">
      <c r="B3" s="1"/>
      <c r="C3" s="720" t="s">
        <v>75</v>
      </c>
      <c r="D3" s="721"/>
      <c r="E3" s="721"/>
      <c r="F3" s="722"/>
    </row>
    <row r="4" spans="1:37" ht="30" customHeight="1" x14ac:dyDescent="0.25">
      <c r="B4" s="709" t="s">
        <v>0</v>
      </c>
      <c r="C4" s="709" t="s">
        <v>36</v>
      </c>
      <c r="D4" s="709" t="s">
        <v>37</v>
      </c>
      <c r="E4" s="723" t="s">
        <v>34</v>
      </c>
      <c r="F4" s="706" t="s">
        <v>1</v>
      </c>
      <c r="H4" s="35" t="s">
        <v>118</v>
      </c>
      <c r="I4" s="46"/>
      <c r="J4" s="46"/>
      <c r="K4" s="46"/>
      <c r="L4" s="46"/>
      <c r="M4" s="46"/>
      <c r="N4" s="270"/>
    </row>
    <row r="5" spans="1:37" ht="30" customHeight="1" thickBot="1" x14ac:dyDescent="0.3">
      <c r="B5" s="710"/>
      <c r="C5" s="710"/>
      <c r="D5" s="710"/>
      <c r="E5" s="724"/>
      <c r="F5" s="707"/>
      <c r="H5" s="24" t="s">
        <v>63</v>
      </c>
      <c r="I5" s="24" t="s">
        <v>17</v>
      </c>
      <c r="J5" s="24" t="s">
        <v>18</v>
      </c>
      <c r="K5" s="24" t="s">
        <v>19</v>
      </c>
      <c r="L5" s="24" t="s">
        <v>20</v>
      </c>
      <c r="M5" s="24" t="s">
        <v>21</v>
      </c>
      <c r="N5" s="270"/>
      <c r="Q5" s="1" t="s">
        <v>800</v>
      </c>
      <c r="S5" s="1"/>
      <c r="AB5" s="1" t="s">
        <v>801</v>
      </c>
      <c r="AD5" s="1"/>
      <c r="AE5" s="1"/>
    </row>
    <row r="6" spans="1:37" ht="15" customHeight="1" x14ac:dyDescent="0.25">
      <c r="B6" s="116">
        <f>Assumptions!$D$14</f>
        <v>2026</v>
      </c>
      <c r="C6" s="139">
        <f>IF(B6&lt;=Assumptions!$D$15,IFERROR(_xlfn.XLOOKUP($B6,$R$7:$R$51,$Y$7:$Y$51,0,0,1),0),0)</f>
        <v>117035.35000000006</v>
      </c>
      <c r="D6" s="139">
        <f>IF(B6&lt;=Assumptions!$D$15,IFERROR(_xlfn.XLOOKUP($B6,$AC$7:$AC$51,$AK$7:$AK$51,0,0,1),0),0)</f>
        <v>76424.08355000001</v>
      </c>
      <c r="E6" s="140">
        <f t="shared" ref="E6" si="0">C6-D6</f>
        <v>40611.266450000054</v>
      </c>
      <c r="F6" s="141">
        <f>E6*(1+0.07)^-(B6-Assumptions!$D$11)</f>
        <v>28955.271710178818</v>
      </c>
      <c r="H6" s="24" t="s">
        <v>39</v>
      </c>
      <c r="I6" s="261">
        <v>11800000</v>
      </c>
      <c r="J6" s="261">
        <v>564300</v>
      </c>
      <c r="K6" s="261">
        <v>153700</v>
      </c>
      <c r="L6" s="261">
        <v>78500</v>
      </c>
      <c r="M6" s="261">
        <v>4000</v>
      </c>
      <c r="N6" s="270"/>
      <c r="Q6" s="717" t="s">
        <v>33</v>
      </c>
      <c r="R6" s="24" t="s">
        <v>30</v>
      </c>
      <c r="S6" s="24" t="s">
        <v>617</v>
      </c>
      <c r="T6" s="24" t="s">
        <v>17</v>
      </c>
      <c r="U6" s="32" t="s">
        <v>18</v>
      </c>
      <c r="V6" s="32" t="s">
        <v>19</v>
      </c>
      <c r="W6" s="32" t="s">
        <v>20</v>
      </c>
      <c r="X6" s="32" t="s">
        <v>21</v>
      </c>
      <c r="Y6" s="32" t="s">
        <v>117</v>
      </c>
      <c r="AB6" s="717" t="s">
        <v>14</v>
      </c>
      <c r="AC6" s="24" t="s">
        <v>30</v>
      </c>
      <c r="AD6" s="24" t="s">
        <v>617</v>
      </c>
      <c r="AE6" s="24" t="s">
        <v>624</v>
      </c>
      <c r="AF6" s="24" t="s">
        <v>17</v>
      </c>
      <c r="AG6" s="32" t="s">
        <v>18</v>
      </c>
      <c r="AH6" s="32" t="s">
        <v>19</v>
      </c>
      <c r="AI6" s="32" t="s">
        <v>20</v>
      </c>
      <c r="AJ6" s="32" t="s">
        <v>21</v>
      </c>
      <c r="AK6" s="32" t="s">
        <v>117</v>
      </c>
    </row>
    <row r="7" spans="1:37" x14ac:dyDescent="0.25">
      <c r="B7" s="85">
        <f>B6+1</f>
        <v>2027</v>
      </c>
      <c r="C7" s="142">
        <f>IF(B7&lt;=Assumptions!$D$15,IFERROR(_xlfn.XLOOKUP($B7,$R$7:$R$51,$Y$7:$Y$51,0,0,1),0),0)</f>
        <v>117550.42000000014</v>
      </c>
      <c r="D7" s="142">
        <f>IF(B7&lt;=Assumptions!$D$15,IFERROR(_xlfn.XLOOKUP($B7,$AC$7:$AC$51,$AK$7:$AK$51,0,0,1),0),0)</f>
        <v>76760.424260000058</v>
      </c>
      <c r="E7" s="143">
        <f t="shared" ref="E7:E35" si="1">C7-D7</f>
        <v>40789.995740000086</v>
      </c>
      <c r="F7" s="144">
        <f>E7*(1+0.07)^-(B7-Assumptions!$D$11)</f>
        <v>27180.09647085773</v>
      </c>
      <c r="N7" s="270"/>
      <c r="Q7" s="718"/>
      <c r="R7" s="50">
        <f>H14</f>
        <v>2021</v>
      </c>
      <c r="S7" s="24" t="str">
        <f>IF(R7+1&lt;=Assumptions!$D$33,"Yes","No")</f>
        <v>Yes</v>
      </c>
      <c r="T7" s="51" cm="1">
        <f t="array" ref="T7">IF(S7="Yes",TREND($J$27:$J$28,$I$27:$I$28,R7),0)</f>
        <v>0</v>
      </c>
      <c r="U7" s="51" cm="1">
        <f t="array" ref="U7">IF(S7="Yes",TREND($K$27:$K$28,$I$27:$I$28,R7),0)</f>
        <v>0.20000000000000018</v>
      </c>
      <c r="V7" s="51" cm="1">
        <f t="array" ref="V7">IF(S7="Yes",TREND($L$27:$L$28,$I$27:$I$28,R7),0)</f>
        <v>0</v>
      </c>
      <c r="W7" s="51" cm="1">
        <f t="array" ref="W7">IF(S7="Yes",TREND($M$27:$M$28,$I$27:$I$28,R7),0)</f>
        <v>0</v>
      </c>
      <c r="X7" s="51" cm="1">
        <f t="array" ref="X7">IF(S7="Yes",TREND($N$27:$N$28,$I$27:$I$28,R7),0)</f>
        <v>0.40000000000000036</v>
      </c>
      <c r="Y7" s="78">
        <f t="shared" ref="Y7:Y46" si="2">SUMPRODUCT($I$6:$M$6,T7:X7)</f>
        <v>114460.0000000001</v>
      </c>
      <c r="AB7" s="718"/>
      <c r="AC7" s="50">
        <f>$H$14</f>
        <v>2021</v>
      </c>
      <c r="AD7" s="24" t="s">
        <v>623</v>
      </c>
      <c r="AE7" s="24" t="str">
        <f>IF(R7&gt;=Assumptions!$D$14,"Yes","No")</f>
        <v>No</v>
      </c>
      <c r="AF7" s="51" cm="1">
        <f t="array" ref="AF7">IF(AC7&lt;=Assumptions!$D$15,IF(AC7&lt;Assumptions!$D$14,TREND('Safety Improvements'!$J$32:$J$33,'Safety Improvements'!$I$32:$I$33,AC7),TREND('Safety Improvements'!$J$34:$J$35,'Safety Improvements'!$I$34:$I$35,'Safety Improvements'!AC7)),0)</f>
        <v>0</v>
      </c>
      <c r="AG7" s="51" cm="1">
        <f t="array" ref="AG7">IF(AC7&lt;=Assumptions!$D$15,IF(AC7&lt;Assumptions!$D$14,TREND('Safety Improvements'!$K$32:$K$33,'Safety Improvements'!$I$32:$I$33,AC7),TREND('Safety Improvements'!$K$34:$K$35,'Safety Improvements'!$I$34:$I$35,'Safety Improvements'!AC7)),0)</f>
        <v>0.20000000000000018</v>
      </c>
      <c r="AH7" s="51" cm="1">
        <f t="array" ref="AH7">IF(AC7&lt;=Assumptions!$D$15,IF(AC7&lt;Assumptions!$D$14,TREND('Safety Improvements'!$L$32:$L$33,'Safety Improvements'!$I$32:$I$33,AC7),TREND('Safety Improvements'!$L$34:$L$35,'Safety Improvements'!$I$34:$I$35,'Safety Improvements'!AC7)),0)</f>
        <v>0</v>
      </c>
      <c r="AI7" s="51" cm="1">
        <f t="array" ref="AI7">IF(AC7&lt;=Assumptions!$D$15,IF(AC7&lt;Assumptions!$D$14,TREND('Safety Improvements'!$M$32:$M$33,'Safety Improvements'!$I$32:$I$33,AC7),TREND('Safety Improvements'!$M$34:$M$35,'Safety Improvements'!$I$34:$I$35,'Safety Improvements'!AC7)),0)</f>
        <v>0</v>
      </c>
      <c r="AJ7" s="51" cm="1">
        <f t="array" ref="AJ7">IF(AC7&lt;=Assumptions!$D$15,IF(AC7&lt;Assumptions!$D$14,TREND('Safety Improvements'!$N$32:$N$33,'Safety Improvements'!$I$32:$I$33,AC7),TREND('Safety Improvements'!$N$34:$N$35,'Safety Improvements'!$I$34:$I$35,'Safety Improvements'!AC7)),0)</f>
        <v>0.40000000000000036</v>
      </c>
      <c r="AK7" s="78">
        <f t="shared" ref="AK7:AK46" si="3">SUMPRODUCT($I$6:$M$6,AF7:AJ7)</f>
        <v>114460.0000000001</v>
      </c>
    </row>
    <row r="8" spans="1:37" ht="15" customHeight="1" x14ac:dyDescent="0.25">
      <c r="B8" s="85">
        <f t="shared" ref="B8:B35" si="4">B7+1</f>
        <v>2028</v>
      </c>
      <c r="C8" s="142">
        <f>IF(B8&lt;=Assumptions!$D$15,IFERROR(_xlfn.XLOOKUP($B8,$R$7:$R$51,$Y$7:$Y$51,0,0,1),0),0)</f>
        <v>0</v>
      </c>
      <c r="D8" s="142">
        <f>IF(B8&lt;=Assumptions!$D$15,IFERROR(_xlfn.XLOOKUP($B8,$AC$7:$AC$51,$AK$7:$AK$51,0,0,1),0),0)</f>
        <v>77096.764969999975</v>
      </c>
      <c r="E8" s="143">
        <f t="shared" si="1"/>
        <v>-77096.764969999975</v>
      </c>
      <c r="F8" s="144">
        <f>E8*(1+0.07)^-(B8-Assumptions!$D$11)</f>
        <v>-48011.990485204471</v>
      </c>
      <c r="H8" s="1" t="s">
        <v>244</v>
      </c>
      <c r="N8" s="270"/>
      <c r="Q8" s="718"/>
      <c r="R8" s="50">
        <f>R7+1</f>
        <v>2022</v>
      </c>
      <c r="S8" s="24" t="str">
        <f>IF(R8+1&lt;=Assumptions!$D$33,"Yes","No")</f>
        <v>Yes</v>
      </c>
      <c r="T8" s="51" cm="1">
        <f t="array" ref="T8">IF(S8="Yes",TREND($J$27:$J$28,$I$27:$I$28,R8),0)</f>
        <v>0</v>
      </c>
      <c r="U8" s="51" cm="1">
        <f t="array" ref="U8">IF(S8="Yes",TREND($K$27:$K$28,$I$27:$I$28,R8),0)</f>
        <v>0.20090000000000008</v>
      </c>
      <c r="V8" s="51" cm="1">
        <f t="array" ref="V8">IF(S8="Yes",TREND($L$27:$L$28,$I$27:$I$28,R8),0)</f>
        <v>0</v>
      </c>
      <c r="W8" s="51" cm="1">
        <f t="array" ref="W8">IF(S8="Yes",TREND($M$27:$M$28,$I$27:$I$28,R8),0)</f>
        <v>0</v>
      </c>
      <c r="X8" s="51" cm="1">
        <f t="array" ref="X8">IF(S8="Yes",TREND($N$27:$N$28,$I$27:$I$28,R8),0)</f>
        <v>0.40180000000000016</v>
      </c>
      <c r="Y8" s="78">
        <f t="shared" si="2"/>
        <v>114975.07000000004</v>
      </c>
      <c r="AB8" s="718"/>
      <c r="AC8" s="50">
        <f>AC7+1</f>
        <v>2022</v>
      </c>
      <c r="AD8" s="24" t="s">
        <v>623</v>
      </c>
      <c r="AE8" s="24" t="str">
        <f>IF(R8&gt;=Assumptions!$D$14,"Yes","No")</f>
        <v>No</v>
      </c>
      <c r="AF8" s="51" cm="1">
        <f t="array" ref="AF8">IF(AC8&lt;=Assumptions!$D$15,IF(AC8&lt;Assumptions!$D$14,TREND('Safety Improvements'!$J$32:$J$33,'Safety Improvements'!$I$32:$I$33,AC8),TREND('Safety Improvements'!$J$34:$J$35,'Safety Improvements'!$I$34:$I$35,'Safety Improvements'!AC8)),0)</f>
        <v>0</v>
      </c>
      <c r="AG8" s="51" cm="1">
        <f t="array" ref="AG8">IF(AC8&lt;=Assumptions!$D$15,IF(AC8&lt;Assumptions!$D$14,TREND('Safety Improvements'!$K$32:$K$33,'Safety Improvements'!$I$32:$I$33,AC8),TREND('Safety Improvements'!$K$34:$K$35,'Safety Improvements'!$I$34:$I$35,'Safety Improvements'!AC8)),0)</f>
        <v>0.2009000000000003</v>
      </c>
      <c r="AH8" s="51" cm="1">
        <f t="array" ref="AH8">IF(AC8&lt;=Assumptions!$D$15,IF(AC8&lt;Assumptions!$D$14,TREND('Safety Improvements'!$L$32:$L$33,'Safety Improvements'!$I$32:$I$33,AC8),TREND('Safety Improvements'!$L$34:$L$35,'Safety Improvements'!$I$34:$I$35,'Safety Improvements'!AC8)),0)</f>
        <v>0</v>
      </c>
      <c r="AI8" s="51" cm="1">
        <f t="array" ref="AI8">IF(AC8&lt;=Assumptions!$D$15,IF(AC8&lt;Assumptions!$D$14,TREND('Safety Improvements'!$M$32:$M$33,'Safety Improvements'!$I$32:$I$33,AC8),TREND('Safety Improvements'!$M$34:$M$35,'Safety Improvements'!$I$34:$I$35,'Safety Improvements'!AC8)),0)</f>
        <v>0</v>
      </c>
      <c r="AJ8" s="51" cm="1">
        <f t="array" ref="AJ8">IF(AC8&lt;=Assumptions!$D$15,IF(AC8&lt;Assumptions!$D$14,TREND('Safety Improvements'!$N$32:$N$33,'Safety Improvements'!$I$32:$I$33,AC8),TREND('Safety Improvements'!$N$34:$N$35,'Safety Improvements'!$I$34:$I$35,'Safety Improvements'!AC8)),0)</f>
        <v>0.4018000000000006</v>
      </c>
      <c r="AK8" s="78">
        <f t="shared" si="3"/>
        <v>114975.07000000017</v>
      </c>
    </row>
    <row r="9" spans="1:37" x14ac:dyDescent="0.25">
      <c r="B9" s="85">
        <f t="shared" si="4"/>
        <v>2029</v>
      </c>
      <c r="C9" s="142">
        <f>IF(B9&lt;=Assumptions!$D$15,IFERROR(_xlfn.XLOOKUP($B9,$R$7:$R$51,$Y$7:$Y$51,0,0,1),0),0)</f>
        <v>0</v>
      </c>
      <c r="D9" s="142">
        <f>IF(B9&lt;=Assumptions!$D$15,IFERROR(_xlfn.XLOOKUP($B9,$AC$7:$AC$51,$AK$7:$AK$51,0,0,1),0),0)</f>
        <v>77433.105680000022</v>
      </c>
      <c r="E9" s="143">
        <f t="shared" si="1"/>
        <v>-77433.105680000022</v>
      </c>
      <c r="F9" s="144">
        <f>E9*(1+0.07)^-(B9-Assumptions!$D$11)</f>
        <v>-45066.772500506799</v>
      </c>
      <c r="H9" s="24" t="s">
        <v>38</v>
      </c>
      <c r="I9" s="24" t="s">
        <v>17</v>
      </c>
      <c r="J9" s="32" t="s">
        <v>18</v>
      </c>
      <c r="K9" s="32" t="s">
        <v>19</v>
      </c>
      <c r="L9" s="32" t="s">
        <v>20</v>
      </c>
      <c r="M9" s="32" t="s">
        <v>21</v>
      </c>
      <c r="N9" s="270"/>
      <c r="Q9" s="718"/>
      <c r="R9" s="50">
        <f t="shared" ref="R9:R46" si="5">R8+1</f>
        <v>2023</v>
      </c>
      <c r="S9" s="24" t="str">
        <f>IF(R9+1&lt;=Assumptions!$D$33,"Yes","No")</f>
        <v>Yes</v>
      </c>
      <c r="T9" s="51" cm="1">
        <f t="array" ref="T9">IF(S9="Yes",TREND($J$27:$J$28,$I$27:$I$28,R9),0)</f>
        <v>0</v>
      </c>
      <c r="U9" s="51" cm="1">
        <f t="array" ref="U9">IF(S9="Yes",TREND($K$27:$K$28,$I$27:$I$28,R9),0)</f>
        <v>0.2018000000000002</v>
      </c>
      <c r="V9" s="51" cm="1">
        <f t="array" ref="V9">IF(S9="Yes",TREND($L$27:$L$28,$I$27:$I$28,R9),0)</f>
        <v>0</v>
      </c>
      <c r="W9" s="51" cm="1">
        <f t="array" ref="W9">IF(S9="Yes",TREND($M$27:$M$28,$I$27:$I$28,R9),0)</f>
        <v>0</v>
      </c>
      <c r="X9" s="51" cm="1">
        <f t="array" ref="X9">IF(S9="Yes",TREND($N$27:$N$28,$I$27:$I$28,R9),0)</f>
        <v>0.4036000000000004</v>
      </c>
      <c r="Y9" s="78">
        <f t="shared" si="2"/>
        <v>115490.14000000012</v>
      </c>
      <c r="AB9" s="718"/>
      <c r="AC9" s="50">
        <f t="shared" ref="AC9:AC46" si="6">AC8+1</f>
        <v>2023</v>
      </c>
      <c r="AD9" s="24" t="s">
        <v>623</v>
      </c>
      <c r="AE9" s="24" t="str">
        <f>IF(R9&gt;=Assumptions!$D$14,"Yes","No")</f>
        <v>No</v>
      </c>
      <c r="AF9" s="51" cm="1">
        <f t="array" ref="AF9">IF(AC9&lt;=Assumptions!$D$15,IF(AC9&lt;Assumptions!$D$14,TREND('Safety Improvements'!$J$32:$J$33,'Safety Improvements'!$I$32:$I$33,AC9),TREND('Safety Improvements'!$J$34:$J$35,'Safety Improvements'!$I$34:$I$35,'Safety Improvements'!AC9)),0)</f>
        <v>0</v>
      </c>
      <c r="AG9" s="51" cm="1">
        <f t="array" ref="AG9">IF(AC9&lt;=Assumptions!$D$15,IF(AC9&lt;Assumptions!$D$14,TREND('Safety Improvements'!$K$32:$K$33,'Safety Improvements'!$I$32:$I$33,AC9),TREND('Safety Improvements'!$K$34:$K$35,'Safety Improvements'!$I$34:$I$35,'Safety Improvements'!AC9)),0)</f>
        <v>0.2018000000000002</v>
      </c>
      <c r="AH9" s="51" cm="1">
        <f t="array" ref="AH9">IF(AC9&lt;=Assumptions!$D$15,IF(AC9&lt;Assumptions!$D$14,TREND('Safety Improvements'!$L$32:$L$33,'Safety Improvements'!$I$32:$I$33,AC9),TREND('Safety Improvements'!$L$34:$L$35,'Safety Improvements'!$I$34:$I$35,'Safety Improvements'!AC9)),0)</f>
        <v>0</v>
      </c>
      <c r="AI9" s="51" cm="1">
        <f t="array" ref="AI9">IF(AC9&lt;=Assumptions!$D$15,IF(AC9&lt;Assumptions!$D$14,TREND('Safety Improvements'!$M$32:$M$33,'Safety Improvements'!$I$32:$I$33,AC9),TREND('Safety Improvements'!$M$34:$M$35,'Safety Improvements'!$I$34:$I$35,'Safety Improvements'!AC9)),0)</f>
        <v>0</v>
      </c>
      <c r="AJ9" s="51" cm="1">
        <f t="array" ref="AJ9">IF(AC9&lt;=Assumptions!$D$15,IF(AC9&lt;Assumptions!$D$14,TREND('Safety Improvements'!$N$32:$N$33,'Safety Improvements'!$I$32:$I$33,AC9),TREND('Safety Improvements'!$N$34:$N$35,'Safety Improvements'!$I$34:$I$35,'Safety Improvements'!AC9)),0)</f>
        <v>0.4036000000000004</v>
      </c>
      <c r="AK9" s="78">
        <f t="shared" si="3"/>
        <v>115490.14000000012</v>
      </c>
    </row>
    <row r="10" spans="1:37" x14ac:dyDescent="0.25">
      <c r="B10" s="85">
        <f t="shared" si="4"/>
        <v>2030</v>
      </c>
      <c r="C10" s="142">
        <f>IF(B10&lt;=Assumptions!$D$15,IFERROR(_xlfn.XLOOKUP($B10,$R$7:$R$51,$Y$7:$Y$51,0,0,1),0),0)</f>
        <v>0</v>
      </c>
      <c r="D10" s="142">
        <f>IF(B10&lt;=Assumptions!$D$15,IFERROR(_xlfn.XLOOKUP($B10,$AC$7:$AC$51,$AK$7:$AK$51,0,0,1),0),0)</f>
        <v>77769.44639000007</v>
      </c>
      <c r="E10" s="143">
        <f t="shared" si="1"/>
        <v>-77769.44639000007</v>
      </c>
      <c r="F10" s="144">
        <f>E10*(1+0.07)^-(B10-Assumptions!$D$11)</f>
        <v>-42301.426033609998</v>
      </c>
      <c r="H10" s="24" t="s">
        <v>238</v>
      </c>
      <c r="I10" s="43">
        <f>'Crash Data - Project Segment'!$B$7</f>
        <v>0</v>
      </c>
      <c r="J10" s="43">
        <f>'Crash Data - Project Segment'!$B$8</f>
        <v>1</v>
      </c>
      <c r="K10" s="43">
        <f>'Crash Data - Project Segment'!$B$9</f>
        <v>0</v>
      </c>
      <c r="L10" s="43">
        <f>'Crash Data - Project Segment'!$B$10</f>
        <v>0</v>
      </c>
      <c r="M10" s="43">
        <f>'Crash Data - Project Segment'!$B$11</f>
        <v>2</v>
      </c>
      <c r="N10" s="270"/>
      <c r="Q10" s="718"/>
      <c r="R10" s="50">
        <f t="shared" si="5"/>
        <v>2024</v>
      </c>
      <c r="S10" s="24" t="str">
        <f>IF(R10+1&lt;=Assumptions!$D$33,"Yes","No")</f>
        <v>Yes</v>
      </c>
      <c r="T10" s="51" cm="1">
        <f t="array" ref="T10">IF(S10="Yes",TREND($J$27:$J$28,$I$27:$I$28,R10),0)</f>
        <v>0</v>
      </c>
      <c r="U10" s="51" cm="1">
        <f t="array" ref="U10">IF(S10="Yes",TREND($K$27:$K$28,$I$27:$I$28,R10),0)</f>
        <v>0.2027000000000001</v>
      </c>
      <c r="V10" s="51" cm="1">
        <f t="array" ref="V10">IF(S10="Yes",TREND($L$27:$L$28,$I$27:$I$28,R10),0)</f>
        <v>0</v>
      </c>
      <c r="W10" s="51" cm="1">
        <f t="array" ref="W10">IF(S10="Yes",TREND($M$27:$M$28,$I$27:$I$28,R10),0)</f>
        <v>0</v>
      </c>
      <c r="X10" s="51" cm="1">
        <f t="array" ref="X10">IF(S10="Yes",TREND($N$27:$N$28,$I$27:$I$28,R10),0)</f>
        <v>0.4054000000000002</v>
      </c>
      <c r="Y10" s="78">
        <f t="shared" si="2"/>
        <v>116005.21000000006</v>
      </c>
      <c r="AB10" s="718"/>
      <c r="AC10" s="50">
        <f t="shared" si="6"/>
        <v>2024</v>
      </c>
      <c r="AD10" s="24" t="s">
        <v>623</v>
      </c>
      <c r="AE10" s="24" t="str">
        <f>IF(R10&gt;=Assumptions!$D$14,"Yes","No")</f>
        <v>No</v>
      </c>
      <c r="AF10" s="51" cm="1">
        <f t="array" ref="AF10">IF(AC10&lt;=Assumptions!$D$15,IF(AC10&lt;Assumptions!$D$14,TREND('Safety Improvements'!$J$32:$J$33,'Safety Improvements'!$I$32:$I$33,AC10),TREND('Safety Improvements'!$J$34:$J$35,'Safety Improvements'!$I$34:$I$35,'Safety Improvements'!AC10)),0)</f>
        <v>0</v>
      </c>
      <c r="AG10" s="51" cm="1">
        <f t="array" ref="AG10">IF(AC10&lt;=Assumptions!$D$15,IF(AC10&lt;Assumptions!$D$14,TREND('Safety Improvements'!$K$32:$K$33,'Safety Improvements'!$I$32:$I$33,AC10),TREND('Safety Improvements'!$K$34:$K$35,'Safety Improvements'!$I$34:$I$35,'Safety Improvements'!AC10)),0)</f>
        <v>0.20270000000000032</v>
      </c>
      <c r="AH10" s="51" cm="1">
        <f t="array" ref="AH10">IF(AC10&lt;=Assumptions!$D$15,IF(AC10&lt;Assumptions!$D$14,TREND('Safety Improvements'!$L$32:$L$33,'Safety Improvements'!$I$32:$I$33,AC10),TREND('Safety Improvements'!$L$34:$L$35,'Safety Improvements'!$I$34:$I$35,'Safety Improvements'!AC10)),0)</f>
        <v>0</v>
      </c>
      <c r="AI10" s="51" cm="1">
        <f t="array" ref="AI10">IF(AC10&lt;=Assumptions!$D$15,IF(AC10&lt;Assumptions!$D$14,TREND('Safety Improvements'!$M$32:$M$33,'Safety Improvements'!$I$32:$I$33,AC10),TREND('Safety Improvements'!$M$34:$M$35,'Safety Improvements'!$I$34:$I$35,'Safety Improvements'!AC10)),0)</f>
        <v>0</v>
      </c>
      <c r="AJ10" s="51" cm="1">
        <f t="array" ref="AJ10">IF(AC10&lt;=Assumptions!$D$15,IF(AC10&lt;Assumptions!$D$14,TREND('Safety Improvements'!$N$32:$N$33,'Safety Improvements'!$I$32:$I$33,AC10),TREND('Safety Improvements'!$N$34:$N$35,'Safety Improvements'!$I$34:$I$35,'Safety Improvements'!AC10)),0)</f>
        <v>0.40540000000000065</v>
      </c>
      <c r="AK10" s="78">
        <f t="shared" si="3"/>
        <v>116005.2100000002</v>
      </c>
    </row>
    <row r="11" spans="1:37" x14ac:dyDescent="0.25">
      <c r="B11" s="85">
        <f t="shared" si="4"/>
        <v>2031</v>
      </c>
      <c r="C11" s="142">
        <f>IF(B11&lt;=Assumptions!$D$15,IFERROR(_xlfn.XLOOKUP($B11,$R$7:$R$51,$Y$7:$Y$51,0,0,1),0),0)</f>
        <v>0</v>
      </c>
      <c r="D11" s="142">
        <f>IF(B11&lt;=Assumptions!$D$15,IFERROR(_xlfn.XLOOKUP($B11,$AC$7:$AC$51,$AK$7:$AK$51,0,0,1),0),0)</f>
        <v>78105.787099999987</v>
      </c>
      <c r="E11" s="143">
        <f t="shared" si="1"/>
        <v>-78105.787099999987</v>
      </c>
      <c r="F11" s="144">
        <f>E11*(1+0.07)^-(B11-Assumptions!$D$11)</f>
        <v>-39705.021583909969</v>
      </c>
      <c r="I11" s="251"/>
      <c r="J11" s="251"/>
      <c r="K11" s="251"/>
      <c r="N11" s="270"/>
      <c r="Q11" s="718"/>
      <c r="R11" s="50">
        <f t="shared" si="5"/>
        <v>2025</v>
      </c>
      <c r="S11" s="24" t="str">
        <f>IF(R11+1&lt;=Assumptions!$D$33,"Yes","No")</f>
        <v>Yes</v>
      </c>
      <c r="T11" s="51" cm="1">
        <f t="array" ref="T11">IF(S11="Yes",TREND($J$27:$J$28,$I$27:$I$28,R11),0)</f>
        <v>0</v>
      </c>
      <c r="U11" s="51" cm="1">
        <f t="array" ref="U11">IF(S11="Yes",TREND($K$27:$K$28,$I$27:$I$28,R11),0)</f>
        <v>0.20360000000000023</v>
      </c>
      <c r="V11" s="51" cm="1">
        <f t="array" ref="V11">IF(S11="Yes",TREND($L$27:$L$28,$I$27:$I$28,R11),0)</f>
        <v>0</v>
      </c>
      <c r="W11" s="51" cm="1">
        <f t="array" ref="W11">IF(S11="Yes",TREND($M$27:$M$28,$I$27:$I$28,R11),0)</f>
        <v>0</v>
      </c>
      <c r="X11" s="51" cm="1">
        <f t="array" ref="X11">IF(S11="Yes",TREND($N$27:$N$28,$I$27:$I$28,R11),0)</f>
        <v>0.40720000000000045</v>
      </c>
      <c r="Y11" s="78">
        <f t="shared" si="2"/>
        <v>116520.28000000013</v>
      </c>
      <c r="AB11" s="718"/>
      <c r="AC11" s="50">
        <f t="shared" si="6"/>
        <v>2025</v>
      </c>
      <c r="AD11" s="24" t="s">
        <v>623</v>
      </c>
      <c r="AE11" s="24" t="str">
        <f>IF(R11&gt;=Assumptions!$D$14,"Yes","No")</f>
        <v>No</v>
      </c>
      <c r="AF11" s="51" cm="1">
        <f t="array" ref="AF11">IF(AC11&lt;=Assumptions!$D$15,IF(AC11&lt;Assumptions!$D$14,TREND('Safety Improvements'!$J$32:$J$33,'Safety Improvements'!$I$32:$I$33,AC11),TREND('Safety Improvements'!$J$34:$J$35,'Safety Improvements'!$I$34:$I$35,'Safety Improvements'!AC11)),0)</f>
        <v>0</v>
      </c>
      <c r="AG11" s="51" cm="1">
        <f t="array" ref="AG11">IF(AC11&lt;=Assumptions!$D$15,IF(AC11&lt;Assumptions!$D$14,TREND('Safety Improvements'!$K$32:$K$33,'Safety Improvements'!$I$32:$I$33,AC11),TREND('Safety Improvements'!$K$34:$K$35,'Safety Improvements'!$I$34:$I$35,'Safety Improvements'!AC11)),0)</f>
        <v>0.20360000000000023</v>
      </c>
      <c r="AH11" s="51" cm="1">
        <f t="array" ref="AH11">IF(AC11&lt;=Assumptions!$D$15,IF(AC11&lt;Assumptions!$D$14,TREND('Safety Improvements'!$L$32:$L$33,'Safety Improvements'!$I$32:$I$33,AC11),TREND('Safety Improvements'!$L$34:$L$35,'Safety Improvements'!$I$34:$I$35,'Safety Improvements'!AC11)),0)</f>
        <v>0</v>
      </c>
      <c r="AI11" s="51" cm="1">
        <f t="array" ref="AI11">IF(AC11&lt;=Assumptions!$D$15,IF(AC11&lt;Assumptions!$D$14,TREND('Safety Improvements'!$M$32:$M$33,'Safety Improvements'!$I$32:$I$33,AC11),TREND('Safety Improvements'!$M$34:$M$35,'Safety Improvements'!$I$34:$I$35,'Safety Improvements'!AC11)),0)</f>
        <v>0</v>
      </c>
      <c r="AJ11" s="51" cm="1">
        <f t="array" ref="AJ11">IF(AC11&lt;=Assumptions!$D$15,IF(AC11&lt;Assumptions!$D$14,TREND('Safety Improvements'!$N$32:$N$33,'Safety Improvements'!$I$32:$I$33,AC11),TREND('Safety Improvements'!$N$34:$N$35,'Safety Improvements'!$I$34:$I$35,'Safety Improvements'!AC11)),0)</f>
        <v>0.40720000000000045</v>
      </c>
      <c r="AK11" s="78">
        <f t="shared" si="3"/>
        <v>116520.28000000013</v>
      </c>
    </row>
    <row r="12" spans="1:37" x14ac:dyDescent="0.25">
      <c r="B12" s="85">
        <f t="shared" si="4"/>
        <v>2032</v>
      </c>
      <c r="C12" s="142">
        <f>IF(B12&lt;=Assumptions!$D$15,IFERROR(_xlfn.XLOOKUP($B12,$R$7:$R$51,$Y$7:$Y$51,0,0,1),0),0)</f>
        <v>0</v>
      </c>
      <c r="D12" s="142">
        <f>IF(B12&lt;=Assumptions!$D$15,IFERROR(_xlfn.XLOOKUP($B12,$AC$7:$AC$51,$AK$7:$AK$51,0,0,1),0),0)</f>
        <v>78442.127810000035</v>
      </c>
      <c r="E12" s="143">
        <f t="shared" si="1"/>
        <v>-78442.127810000035</v>
      </c>
      <c r="F12" s="144">
        <f>E12*(1+0.07)^-(B12-Assumptions!$D$11)</f>
        <v>-37267.289855845396</v>
      </c>
      <c r="G12" s="3"/>
      <c r="H12" s="1" t="s">
        <v>235</v>
      </c>
      <c r="L12" s="1"/>
      <c r="M12" s="1"/>
      <c r="N12" s="270"/>
      <c r="Q12" s="718"/>
      <c r="R12" s="50">
        <f t="shared" si="5"/>
        <v>2026</v>
      </c>
      <c r="S12" s="24" t="str">
        <f>IF(R12+1&lt;=Assumptions!$D$33,"Yes","No")</f>
        <v>Yes</v>
      </c>
      <c r="T12" s="51" cm="1">
        <f t="array" ref="T12">IF(S12="Yes",TREND($J$27:$J$28,$I$27:$I$28,R12),0)</f>
        <v>0</v>
      </c>
      <c r="U12" s="51" cm="1">
        <f t="array" ref="U12">IF(S12="Yes",TREND($K$27:$K$28,$I$27:$I$28,R12),0)</f>
        <v>0.20450000000000013</v>
      </c>
      <c r="V12" s="51" cm="1">
        <f t="array" ref="V12">IF(S12="Yes",TREND($L$27:$L$28,$I$27:$I$28,R12),0)</f>
        <v>0</v>
      </c>
      <c r="W12" s="51" cm="1">
        <f t="array" ref="W12">IF(S12="Yes",TREND($M$27:$M$28,$I$27:$I$28,R12),0)</f>
        <v>0</v>
      </c>
      <c r="X12" s="51" cm="1">
        <f t="array" ref="X12">IF(S12="Yes",TREND($N$27:$N$28,$I$27:$I$28,R12),0)</f>
        <v>0.40900000000000025</v>
      </c>
      <c r="Y12" s="78">
        <f t="shared" si="2"/>
        <v>117035.35000000006</v>
      </c>
      <c r="AB12" s="718"/>
      <c r="AC12" s="50">
        <f t="shared" si="6"/>
        <v>2026</v>
      </c>
      <c r="AD12" s="24" t="s">
        <v>623</v>
      </c>
      <c r="AE12" s="24" t="str">
        <f>IF(R12&gt;=Assumptions!$D$14,"Yes","No")</f>
        <v>Yes</v>
      </c>
      <c r="AF12" s="51" cm="1">
        <f t="array" ref="AF12">IF(AC12&lt;=Assumptions!$D$15,IF(AC12&lt;Assumptions!$D$14,TREND('Safety Improvements'!$J$32:$J$33,'Safety Improvements'!$I$32:$I$33,AC12),TREND('Safety Improvements'!$J$34:$J$35,'Safety Improvements'!$I$34:$I$35,'Safety Improvements'!AC12)),0)</f>
        <v>0</v>
      </c>
      <c r="AG12" s="51" cm="1">
        <f t="array" ref="AG12">IF(AC12&lt;=Assumptions!$D$15,IF(AC12&lt;Assumptions!$D$14,TREND('Safety Improvements'!$K$32:$K$33,'Safety Improvements'!$I$32:$I$33,AC12),TREND('Safety Improvements'!$K$34:$K$35,'Safety Improvements'!$I$34:$I$35,'Safety Improvements'!AC12)),0)</f>
        <v>0.1335385</v>
      </c>
      <c r="AH12" s="51" cm="1">
        <f t="array" ref="AH12">IF(AC12&lt;=Assumptions!$D$15,IF(AC12&lt;Assumptions!$D$14,TREND('Safety Improvements'!$L$32:$L$33,'Safety Improvements'!$I$32:$I$33,AC12),TREND('Safety Improvements'!$L$34:$L$35,'Safety Improvements'!$I$34:$I$35,'Safety Improvements'!AC12)),0)</f>
        <v>0</v>
      </c>
      <c r="AI12" s="51" cm="1">
        <f t="array" ref="AI12">IF(AC12&lt;=Assumptions!$D$15,IF(AC12&lt;Assumptions!$D$14,TREND('Safety Improvements'!$M$32:$M$33,'Safety Improvements'!$I$32:$I$33,AC12),TREND('Safety Improvements'!$M$34:$M$35,'Safety Improvements'!$I$34:$I$35,'Safety Improvements'!AC12)),0)</f>
        <v>0</v>
      </c>
      <c r="AJ12" s="51" cm="1">
        <f t="array" ref="AJ12">IF(AC12&lt;=Assumptions!$D$15,IF(AC12&lt;Assumptions!$D$14,TREND('Safety Improvements'!$N$32:$N$33,'Safety Improvements'!$I$32:$I$33,AC12),TREND('Safety Improvements'!$N$34:$N$35,'Safety Improvements'!$I$34:$I$35,'Safety Improvements'!AC12)),0)</f>
        <v>0.26707700000000001</v>
      </c>
      <c r="AK12" s="78">
        <f t="shared" si="3"/>
        <v>76424.08355000001</v>
      </c>
    </row>
    <row r="13" spans="1:37" x14ac:dyDescent="0.25">
      <c r="B13" s="85">
        <f t="shared" si="4"/>
        <v>2033</v>
      </c>
      <c r="C13" s="142">
        <f>IF(B13&lt;=Assumptions!$D$15,IFERROR(_xlfn.XLOOKUP($B13,$R$7:$R$51,$Y$7:$Y$51,0,0,1),0),0)</f>
        <v>0</v>
      </c>
      <c r="D13" s="142">
        <f>IF(B13&lt;=Assumptions!$D$15,IFERROR(_xlfn.XLOOKUP($B13,$AC$7:$AC$51,$AK$7:$AK$51,0,0,1),0),0)</f>
        <v>78778.468520000068</v>
      </c>
      <c r="E13" s="143">
        <f t="shared" si="1"/>
        <v>-78778.468520000068</v>
      </c>
      <c r="F13" s="144">
        <f>E13*(1+0.07)^-(B13-Assumptions!$D$11)</f>
        <v>-34978.582153549818</v>
      </c>
      <c r="H13" s="24" t="s">
        <v>30</v>
      </c>
      <c r="I13" s="24" t="s">
        <v>46</v>
      </c>
      <c r="L13" s="1"/>
      <c r="M13" s="1"/>
      <c r="N13" s="270"/>
      <c r="Q13" s="718"/>
      <c r="R13" s="50">
        <f t="shared" si="5"/>
        <v>2027</v>
      </c>
      <c r="S13" s="24" t="str">
        <f>IF(R13+1&lt;=Assumptions!$D$33,"Yes","No")</f>
        <v>Yes</v>
      </c>
      <c r="T13" s="51" cm="1">
        <f t="array" ref="T13">IF(S13="Yes",TREND($J$27:$J$28,$I$27:$I$28,R13),0)</f>
        <v>0</v>
      </c>
      <c r="U13" s="51" cm="1">
        <f t="array" ref="U13">IF(S13="Yes",TREND($K$27:$K$28,$I$27:$I$28,R13),0)</f>
        <v>0.20540000000000025</v>
      </c>
      <c r="V13" s="51" cm="1">
        <f t="array" ref="V13">IF(S13="Yes",TREND($L$27:$L$28,$I$27:$I$28,R13),0)</f>
        <v>0</v>
      </c>
      <c r="W13" s="51" cm="1">
        <f t="array" ref="W13">IF(S13="Yes",TREND($M$27:$M$28,$I$27:$I$28,R13),0)</f>
        <v>0</v>
      </c>
      <c r="X13" s="51" cm="1">
        <f t="array" ref="X13">IF(S13="Yes",TREND($N$27:$N$28,$I$27:$I$28,R13),0)</f>
        <v>0.4108000000000005</v>
      </c>
      <c r="Y13" s="78">
        <f t="shared" si="2"/>
        <v>117550.42000000014</v>
      </c>
      <c r="AB13" s="718"/>
      <c r="AC13" s="50">
        <f t="shared" si="6"/>
        <v>2027</v>
      </c>
      <c r="AD13" s="24" t="s">
        <v>623</v>
      </c>
      <c r="AE13" s="24" t="str">
        <f>IF(R13&gt;=Assumptions!$D$14,"Yes","No")</f>
        <v>Yes</v>
      </c>
      <c r="AF13" s="51" cm="1">
        <f t="array" ref="AF13">IF(AC13&lt;=Assumptions!$D$15,IF(AC13&lt;Assumptions!$D$14,TREND('Safety Improvements'!$J$32:$J$33,'Safety Improvements'!$I$32:$I$33,AC13),TREND('Safety Improvements'!$J$34:$J$35,'Safety Improvements'!$I$34:$I$35,'Safety Improvements'!AC13)),0)</f>
        <v>0</v>
      </c>
      <c r="AG13" s="51" cm="1">
        <f t="array" ref="AG13">IF(AC13&lt;=Assumptions!$D$15,IF(AC13&lt;Assumptions!$D$14,TREND('Safety Improvements'!$K$32:$K$33,'Safety Improvements'!$I$32:$I$33,AC13),TREND('Safety Improvements'!$K$34:$K$35,'Safety Improvements'!$I$34:$I$35,'Safety Improvements'!AC13)),0)</f>
        <v>0.13412620000000008</v>
      </c>
      <c r="AH13" s="51" cm="1">
        <f t="array" ref="AH13">IF(AC13&lt;=Assumptions!$D$15,IF(AC13&lt;Assumptions!$D$14,TREND('Safety Improvements'!$L$32:$L$33,'Safety Improvements'!$I$32:$I$33,AC13),TREND('Safety Improvements'!$L$34:$L$35,'Safety Improvements'!$I$34:$I$35,'Safety Improvements'!AC13)),0)</f>
        <v>0</v>
      </c>
      <c r="AI13" s="51" cm="1">
        <f t="array" ref="AI13">IF(AC13&lt;=Assumptions!$D$15,IF(AC13&lt;Assumptions!$D$14,TREND('Safety Improvements'!$M$32:$M$33,'Safety Improvements'!$I$32:$I$33,AC13),TREND('Safety Improvements'!$M$34:$M$35,'Safety Improvements'!$I$34:$I$35,'Safety Improvements'!AC13)),0)</f>
        <v>0</v>
      </c>
      <c r="AJ13" s="51" cm="1">
        <f t="array" ref="AJ13">IF(AC13&lt;=Assumptions!$D$15,IF(AC13&lt;Assumptions!$D$14,TREND('Safety Improvements'!$N$32:$N$33,'Safety Improvements'!$I$32:$I$33,AC13),TREND('Safety Improvements'!$N$34:$N$35,'Safety Improvements'!$I$34:$I$35,'Safety Improvements'!AC13)),0)</f>
        <v>0.26825240000000017</v>
      </c>
      <c r="AK13" s="78">
        <f t="shared" si="3"/>
        <v>76760.424260000058</v>
      </c>
    </row>
    <row r="14" spans="1:37" ht="15" customHeight="1" x14ac:dyDescent="0.25">
      <c r="B14" s="85">
        <f t="shared" si="4"/>
        <v>2034</v>
      </c>
      <c r="C14" s="142">
        <f>IF(B14&lt;=Assumptions!$D$15,IFERROR(_xlfn.XLOOKUP($B14,$R$7:$R$51,$Y$7:$Y$51,0,0,1),0),0)</f>
        <v>0</v>
      </c>
      <c r="D14" s="142">
        <f>IF(B14&lt;=Assumptions!$D$15,IFERROR(_xlfn.XLOOKUP($B14,$AC$7:$AC$51,$AK$7:$AK$51,0,0,1),0),0)</f>
        <v>79114.809229999984</v>
      </c>
      <c r="E14" s="143">
        <f t="shared" si="1"/>
        <v>-79114.809229999984</v>
      </c>
      <c r="F14" s="144">
        <f>E14*(1+0.07)^-(B14-Assumptions!$D$11)</f>
        <v>-32829.83313193392</v>
      </c>
      <c r="H14" s="24">
        <f>Assumptions!$C$34</f>
        <v>2021</v>
      </c>
      <c r="I14" s="260">
        <f>Assumptions!$D$34</f>
        <v>670</v>
      </c>
      <c r="L14" s="1"/>
      <c r="M14" s="1"/>
      <c r="N14" s="270"/>
      <c r="Q14" s="718"/>
      <c r="R14" s="50">
        <f t="shared" si="5"/>
        <v>2028</v>
      </c>
      <c r="S14" s="24" t="str">
        <f>IF(R14+1&lt;=Assumptions!$D$33,"Yes","No")</f>
        <v>No</v>
      </c>
      <c r="T14" s="51" cm="1">
        <f t="array" ref="T14">IF(S14="Yes",TREND($J$27:$J$28,$I$27:$I$28,R14),0)</f>
        <v>0</v>
      </c>
      <c r="U14" s="51" cm="1">
        <f t="array" ref="U14">IF(S14="Yes",TREND($K$27:$K$28,$I$27:$I$28,R14),0)</f>
        <v>0</v>
      </c>
      <c r="V14" s="51" cm="1">
        <f t="array" ref="V14">IF(S14="Yes",TREND($L$27:$L$28,$I$27:$I$28,R14),0)</f>
        <v>0</v>
      </c>
      <c r="W14" s="51" cm="1">
        <f t="array" ref="W14">IF(S14="Yes",TREND($M$27:$M$28,$I$27:$I$28,R14),0)</f>
        <v>0</v>
      </c>
      <c r="X14" s="51" cm="1">
        <f t="array" ref="X14">IF(S14="Yes",TREND($N$27:$N$28,$I$27:$I$28,R14),0)</f>
        <v>0</v>
      </c>
      <c r="Y14" s="78">
        <f t="shared" si="2"/>
        <v>0</v>
      </c>
      <c r="AB14" s="718"/>
      <c r="AC14" s="50">
        <f t="shared" si="6"/>
        <v>2028</v>
      </c>
      <c r="AD14" s="24" t="s">
        <v>623</v>
      </c>
      <c r="AE14" s="24" t="str">
        <f>IF(R14&gt;=Assumptions!$D$14,"Yes","No")</f>
        <v>Yes</v>
      </c>
      <c r="AF14" s="51" cm="1">
        <f t="array" ref="AF14">IF(AC14&lt;=Assumptions!$D$15,IF(AC14&lt;Assumptions!$D$14,TREND('Safety Improvements'!$J$32:$J$33,'Safety Improvements'!$I$32:$I$33,AC14),TREND('Safety Improvements'!$J$34:$J$35,'Safety Improvements'!$I$34:$I$35,'Safety Improvements'!AC14)),0)</f>
        <v>0</v>
      </c>
      <c r="AG14" s="51" cm="1">
        <f t="array" ref="AG14">IF(AC14&lt;=Assumptions!$D$15,IF(AC14&lt;Assumptions!$D$14,TREND('Safety Improvements'!$K$32:$K$33,'Safety Improvements'!$I$32:$I$33,AC14),TREND('Safety Improvements'!$K$34:$K$35,'Safety Improvements'!$I$34:$I$35,'Safety Improvements'!AC14)),0)</f>
        <v>0.13471389999999994</v>
      </c>
      <c r="AH14" s="51" cm="1">
        <f t="array" ref="AH14">IF(AC14&lt;=Assumptions!$D$15,IF(AC14&lt;Assumptions!$D$14,TREND('Safety Improvements'!$L$32:$L$33,'Safety Improvements'!$I$32:$I$33,AC14),TREND('Safety Improvements'!$L$34:$L$35,'Safety Improvements'!$I$34:$I$35,'Safety Improvements'!AC14)),0)</f>
        <v>0</v>
      </c>
      <c r="AI14" s="51" cm="1">
        <f t="array" ref="AI14">IF(AC14&lt;=Assumptions!$D$15,IF(AC14&lt;Assumptions!$D$14,TREND('Safety Improvements'!$M$32:$M$33,'Safety Improvements'!$I$32:$I$33,AC14),TREND('Safety Improvements'!$M$34:$M$35,'Safety Improvements'!$I$34:$I$35,'Safety Improvements'!AC14)),0)</f>
        <v>0</v>
      </c>
      <c r="AJ14" s="51" cm="1">
        <f t="array" ref="AJ14">IF(AC14&lt;=Assumptions!$D$15,IF(AC14&lt;Assumptions!$D$14,TREND('Safety Improvements'!$N$32:$N$33,'Safety Improvements'!$I$32:$I$33,AC14),TREND('Safety Improvements'!$N$34:$N$35,'Safety Improvements'!$I$34:$I$35,'Safety Improvements'!AC14)),0)</f>
        <v>0.26942779999999988</v>
      </c>
      <c r="AK14" s="78">
        <f t="shared" si="3"/>
        <v>77096.764969999975</v>
      </c>
    </row>
    <row r="15" spans="1:37" x14ac:dyDescent="0.25">
      <c r="B15" s="85">
        <f t="shared" si="4"/>
        <v>2035</v>
      </c>
      <c r="C15" s="142">
        <f>IF(B15&lt;=Assumptions!$D$15,IFERROR(_xlfn.XLOOKUP($B15,$R$7:$R$51,$Y$7:$Y$51,0,0,1),0),0)</f>
        <v>0</v>
      </c>
      <c r="D15" s="142">
        <f>IF(B15&lt;=Assumptions!$D$15,IFERROR(_xlfn.XLOOKUP($B15,$AC$7:$AC$51,$AK$7:$AK$51,0,0,1),0),0)</f>
        <v>79451.149940000047</v>
      </c>
      <c r="E15" s="143">
        <f t="shared" si="1"/>
        <v>-79451.149940000047</v>
      </c>
      <c r="F15" s="144">
        <f>E15*(1+0.07)^-(B15-Assumptions!$D$11)</f>
        <v>-30812.525765384617</v>
      </c>
      <c r="H15" s="24">
        <f>Assumptions!$C$35</f>
        <v>2045</v>
      </c>
      <c r="I15" s="260">
        <f>Assumptions!$D$35</f>
        <v>742.36</v>
      </c>
      <c r="L15" s="1"/>
      <c r="M15" s="1"/>
      <c r="N15" s="270"/>
      <c r="Q15" s="718"/>
      <c r="R15" s="50">
        <f t="shared" si="5"/>
        <v>2029</v>
      </c>
      <c r="S15" s="24" t="str">
        <f>IF(R15+1&lt;=Assumptions!$D$33,"Yes","No")</f>
        <v>No</v>
      </c>
      <c r="T15" s="51" cm="1">
        <f t="array" ref="T15">IF(S15="Yes",TREND($J$27:$J$28,$I$27:$I$28,R15),0)</f>
        <v>0</v>
      </c>
      <c r="U15" s="51" cm="1">
        <f t="array" ref="U15">IF(S15="Yes",TREND($K$27:$K$28,$I$27:$I$28,R15),0)</f>
        <v>0</v>
      </c>
      <c r="V15" s="51" cm="1">
        <f t="array" ref="V15">IF(S15="Yes",TREND($L$27:$L$28,$I$27:$I$28,R15),0)</f>
        <v>0</v>
      </c>
      <c r="W15" s="51" cm="1">
        <f t="array" ref="W15">IF(S15="Yes",TREND($M$27:$M$28,$I$27:$I$28,R15),0)</f>
        <v>0</v>
      </c>
      <c r="X15" s="51" cm="1">
        <f t="array" ref="X15">IF(S15="Yes",TREND($N$27:$N$28,$I$27:$I$28,R15),0)</f>
        <v>0</v>
      </c>
      <c r="Y15" s="78">
        <f t="shared" si="2"/>
        <v>0</v>
      </c>
      <c r="AB15" s="718"/>
      <c r="AC15" s="50">
        <f t="shared" si="6"/>
        <v>2029</v>
      </c>
      <c r="AD15" s="24" t="s">
        <v>623</v>
      </c>
      <c r="AE15" s="24" t="str">
        <f>IF(R15&gt;=Assumptions!$D$14,"Yes","No")</f>
        <v>Yes</v>
      </c>
      <c r="AF15" s="51" cm="1">
        <f t="array" ref="AF15">IF(AC15&lt;=Assumptions!$D$15,IF(AC15&lt;Assumptions!$D$14,TREND('Safety Improvements'!$J$32:$J$33,'Safety Improvements'!$I$32:$I$33,AC15),TREND('Safety Improvements'!$J$34:$J$35,'Safety Improvements'!$I$34:$I$35,'Safety Improvements'!AC15)),0)</f>
        <v>0</v>
      </c>
      <c r="AG15" s="51" cm="1">
        <f t="array" ref="AG15">IF(AC15&lt;=Assumptions!$D$15,IF(AC15&lt;Assumptions!$D$14,TREND('Safety Improvements'!$K$32:$K$33,'Safety Improvements'!$I$32:$I$33,AC15),TREND('Safety Improvements'!$K$34:$K$35,'Safety Improvements'!$I$34:$I$35,'Safety Improvements'!AC15)),0)</f>
        <v>0.13530160000000002</v>
      </c>
      <c r="AH15" s="51" cm="1">
        <f t="array" ref="AH15">IF(AC15&lt;=Assumptions!$D$15,IF(AC15&lt;Assumptions!$D$14,TREND('Safety Improvements'!$L$32:$L$33,'Safety Improvements'!$I$32:$I$33,AC15),TREND('Safety Improvements'!$L$34:$L$35,'Safety Improvements'!$I$34:$I$35,'Safety Improvements'!AC15)),0)</f>
        <v>0</v>
      </c>
      <c r="AI15" s="51" cm="1">
        <f t="array" ref="AI15">IF(AC15&lt;=Assumptions!$D$15,IF(AC15&lt;Assumptions!$D$14,TREND('Safety Improvements'!$M$32:$M$33,'Safety Improvements'!$I$32:$I$33,AC15),TREND('Safety Improvements'!$M$34:$M$35,'Safety Improvements'!$I$34:$I$35,'Safety Improvements'!AC15)),0)</f>
        <v>0</v>
      </c>
      <c r="AJ15" s="51" cm="1">
        <f t="array" ref="AJ15">IF(AC15&lt;=Assumptions!$D$15,IF(AC15&lt;Assumptions!$D$14,TREND('Safety Improvements'!$N$32:$N$33,'Safety Improvements'!$I$32:$I$33,AC15),TREND('Safety Improvements'!$N$34:$N$35,'Safety Improvements'!$I$34:$I$35,'Safety Improvements'!AC15)),0)</f>
        <v>0.27060320000000004</v>
      </c>
      <c r="AK15" s="78">
        <f t="shared" si="3"/>
        <v>77433.105680000022</v>
      </c>
    </row>
    <row r="16" spans="1:37" x14ac:dyDescent="0.25">
      <c r="B16" s="85">
        <f t="shared" si="4"/>
        <v>2036</v>
      </c>
      <c r="C16" s="142">
        <f>IF(B16&lt;=Assumptions!$D$15,IFERROR(_xlfn.XLOOKUP($B16,$R$7:$R$51,$Y$7:$Y$51,0,0,1),0),0)</f>
        <v>0</v>
      </c>
      <c r="D16" s="142">
        <f>IF(B16&lt;=Assumptions!$D$15,IFERROR(_xlfn.XLOOKUP($B16,$AC$7:$AC$51,$AK$7:$AK$51,0,0,1),0),0)</f>
        <v>79787.490649999949</v>
      </c>
      <c r="E16" s="143">
        <f t="shared" si="1"/>
        <v>-79787.490649999949</v>
      </c>
      <c r="F16" s="144">
        <f>E16*(1+0.07)^-(B16-Assumptions!$D$11)</f>
        <v>-28918.658403344471</v>
      </c>
      <c r="H16" s="1"/>
      <c r="I16" s="1"/>
      <c r="J16" s="1"/>
      <c r="K16" s="1"/>
      <c r="L16" s="1"/>
      <c r="M16" s="1"/>
      <c r="N16" s="270"/>
      <c r="Q16" s="718"/>
      <c r="R16" s="50">
        <f t="shared" si="5"/>
        <v>2030</v>
      </c>
      <c r="S16" s="24" t="str">
        <f>IF(R16+1&lt;=Assumptions!$D$33,"Yes","No")</f>
        <v>No</v>
      </c>
      <c r="T16" s="51" cm="1">
        <f t="array" ref="T16">IF(S16="Yes",TREND($J$27:$J$28,$I$27:$I$28,R16),0)</f>
        <v>0</v>
      </c>
      <c r="U16" s="51" cm="1">
        <f t="array" ref="U16">IF(S16="Yes",TREND($K$27:$K$28,$I$27:$I$28,R16),0)</f>
        <v>0</v>
      </c>
      <c r="V16" s="51" cm="1">
        <f t="array" ref="V16">IF(S16="Yes",TREND($L$27:$L$28,$I$27:$I$28,R16),0)</f>
        <v>0</v>
      </c>
      <c r="W16" s="51" cm="1">
        <f t="array" ref="W16">IF(S16="Yes",TREND($M$27:$M$28,$I$27:$I$28,R16),0)</f>
        <v>0</v>
      </c>
      <c r="X16" s="51" cm="1">
        <f t="array" ref="X16">IF(S16="Yes",TREND($N$27:$N$28,$I$27:$I$28,R16),0)</f>
        <v>0</v>
      </c>
      <c r="Y16" s="78">
        <f t="shared" si="2"/>
        <v>0</v>
      </c>
      <c r="AB16" s="718"/>
      <c r="AC16" s="50">
        <f t="shared" si="6"/>
        <v>2030</v>
      </c>
      <c r="AD16" s="24" t="s">
        <v>623</v>
      </c>
      <c r="AE16" s="24" t="str">
        <f>IF(R16&gt;=Assumptions!$D$14,"Yes","No")</f>
        <v>Yes</v>
      </c>
      <c r="AF16" s="51" cm="1">
        <f t="array" ref="AF16">IF(AC16&lt;=Assumptions!$D$15,IF(AC16&lt;Assumptions!$D$14,TREND('Safety Improvements'!$J$32:$J$33,'Safety Improvements'!$I$32:$I$33,AC16),TREND('Safety Improvements'!$J$34:$J$35,'Safety Improvements'!$I$34:$I$35,'Safety Improvements'!AC16)),0)</f>
        <v>0</v>
      </c>
      <c r="AG16" s="51" cm="1">
        <f t="array" ref="AG16">IF(AC16&lt;=Assumptions!$D$15,IF(AC16&lt;Assumptions!$D$14,TREND('Safety Improvements'!$K$32:$K$33,'Safety Improvements'!$I$32:$I$33,AC16),TREND('Safety Improvements'!$K$34:$K$35,'Safety Improvements'!$I$34:$I$35,'Safety Improvements'!AC16)),0)</f>
        <v>0.1358893000000001</v>
      </c>
      <c r="AH16" s="51" cm="1">
        <f t="array" ref="AH16">IF(AC16&lt;=Assumptions!$D$15,IF(AC16&lt;Assumptions!$D$14,TREND('Safety Improvements'!$L$32:$L$33,'Safety Improvements'!$I$32:$I$33,AC16),TREND('Safety Improvements'!$L$34:$L$35,'Safety Improvements'!$I$34:$I$35,'Safety Improvements'!AC16)),0)</f>
        <v>0</v>
      </c>
      <c r="AI16" s="51" cm="1">
        <f t="array" ref="AI16">IF(AC16&lt;=Assumptions!$D$15,IF(AC16&lt;Assumptions!$D$14,TREND('Safety Improvements'!$M$32:$M$33,'Safety Improvements'!$I$32:$I$33,AC16),TREND('Safety Improvements'!$M$34:$M$35,'Safety Improvements'!$I$34:$I$35,'Safety Improvements'!AC16)),0)</f>
        <v>0</v>
      </c>
      <c r="AJ16" s="51" cm="1">
        <f t="array" ref="AJ16">IF(AC16&lt;=Assumptions!$D$15,IF(AC16&lt;Assumptions!$D$14,TREND('Safety Improvements'!$N$32:$N$33,'Safety Improvements'!$I$32:$I$33,AC16),TREND('Safety Improvements'!$N$34:$N$35,'Safety Improvements'!$I$34:$I$35,'Safety Improvements'!AC16)),0)</f>
        <v>0.2717786000000002</v>
      </c>
      <c r="AK16" s="78">
        <f t="shared" si="3"/>
        <v>77769.44639000007</v>
      </c>
    </row>
    <row r="17" spans="1:37" ht="15" customHeight="1" x14ac:dyDescent="0.25">
      <c r="B17" s="85">
        <f t="shared" si="4"/>
        <v>2037</v>
      </c>
      <c r="C17" s="142">
        <f>IF(B17&lt;=Assumptions!$D$15,IFERROR(_xlfn.XLOOKUP($B17,$R$7:$R$51,$Y$7:$Y$51,0,0,1),0),0)</f>
        <v>0</v>
      </c>
      <c r="D17" s="142">
        <f>IF(B17&lt;=Assumptions!$D$15,IFERROR(_xlfn.XLOOKUP($B17,$AC$7:$AC$51,$AK$7:$AK$51,0,0,1),0),0)</f>
        <v>80123.831359999996</v>
      </c>
      <c r="E17" s="143">
        <f t="shared" si="1"/>
        <v>-80123.831359999996</v>
      </c>
      <c r="F17" s="144">
        <f>E17*(1+0.07)^-(B17-Assumptions!$D$11)</f>
        <v>-27140.713789652033</v>
      </c>
      <c r="H17" s="1" t="s">
        <v>206</v>
      </c>
      <c r="I17" s="1"/>
      <c r="J17" s="1"/>
      <c r="K17" s="1"/>
      <c r="L17" s="1"/>
      <c r="M17" s="1"/>
      <c r="N17" s="270"/>
      <c r="Q17" s="718"/>
      <c r="R17" s="50">
        <f t="shared" si="5"/>
        <v>2031</v>
      </c>
      <c r="S17" s="24" t="str">
        <f>IF(R17+1&lt;=Assumptions!$D$33,"Yes","No")</f>
        <v>No</v>
      </c>
      <c r="T17" s="51" cm="1">
        <f t="array" ref="T17">IF(S17="Yes",TREND($J$27:$J$28,$I$27:$I$28,R17),0)</f>
        <v>0</v>
      </c>
      <c r="U17" s="51" cm="1">
        <f t="array" ref="U17">IF(S17="Yes",TREND($K$27:$K$28,$I$27:$I$28,R17),0)</f>
        <v>0</v>
      </c>
      <c r="V17" s="51" cm="1">
        <f t="array" ref="V17">IF(S17="Yes",TREND($L$27:$L$28,$I$27:$I$28,R17),0)</f>
        <v>0</v>
      </c>
      <c r="W17" s="51" cm="1">
        <f t="array" ref="W17">IF(S17="Yes",TREND($M$27:$M$28,$I$27:$I$28,R17),0)</f>
        <v>0</v>
      </c>
      <c r="X17" s="51" cm="1">
        <f t="array" ref="X17">IF(S17="Yes",TREND($N$27:$N$28,$I$27:$I$28,R17),0)</f>
        <v>0</v>
      </c>
      <c r="Y17" s="78">
        <f t="shared" si="2"/>
        <v>0</v>
      </c>
      <c r="AB17" s="718"/>
      <c r="AC17" s="50">
        <f t="shared" si="6"/>
        <v>2031</v>
      </c>
      <c r="AD17" s="24" t="s">
        <v>623</v>
      </c>
      <c r="AE17" s="24" t="str">
        <f>IF(R17&gt;=Assumptions!$D$14,"Yes","No")</f>
        <v>Yes</v>
      </c>
      <c r="AF17" s="51" cm="1">
        <f t="array" ref="AF17">IF(AC17&lt;=Assumptions!$D$15,IF(AC17&lt;Assumptions!$D$14,TREND('Safety Improvements'!$J$32:$J$33,'Safety Improvements'!$I$32:$I$33,AC17),TREND('Safety Improvements'!$J$34:$J$35,'Safety Improvements'!$I$34:$I$35,'Safety Improvements'!AC17)),0)</f>
        <v>0</v>
      </c>
      <c r="AG17" s="51" cm="1">
        <f t="array" ref="AG17">IF(AC17&lt;=Assumptions!$D$15,IF(AC17&lt;Assumptions!$D$14,TREND('Safety Improvements'!$K$32:$K$33,'Safety Improvements'!$I$32:$I$33,AC17),TREND('Safety Improvements'!$K$34:$K$35,'Safety Improvements'!$I$34:$I$35,'Safety Improvements'!AC17)),0)</f>
        <v>0.13647699999999996</v>
      </c>
      <c r="AH17" s="51" cm="1">
        <f t="array" ref="AH17">IF(AC17&lt;=Assumptions!$D$15,IF(AC17&lt;Assumptions!$D$14,TREND('Safety Improvements'!$L$32:$L$33,'Safety Improvements'!$I$32:$I$33,AC17),TREND('Safety Improvements'!$L$34:$L$35,'Safety Improvements'!$I$34:$I$35,'Safety Improvements'!AC17)),0)</f>
        <v>0</v>
      </c>
      <c r="AI17" s="51" cm="1">
        <f t="array" ref="AI17">IF(AC17&lt;=Assumptions!$D$15,IF(AC17&lt;Assumptions!$D$14,TREND('Safety Improvements'!$M$32:$M$33,'Safety Improvements'!$I$32:$I$33,AC17),TREND('Safety Improvements'!$M$34:$M$35,'Safety Improvements'!$I$34:$I$35,'Safety Improvements'!AC17)),0)</f>
        <v>0</v>
      </c>
      <c r="AJ17" s="51" cm="1">
        <f t="array" ref="AJ17">IF(AC17&lt;=Assumptions!$D$15,IF(AC17&lt;Assumptions!$D$14,TREND('Safety Improvements'!$N$32:$N$33,'Safety Improvements'!$I$32:$I$33,AC17),TREND('Safety Improvements'!$N$34:$N$35,'Safety Improvements'!$I$34:$I$35,'Safety Improvements'!AC17)),0)</f>
        <v>0.27295399999999992</v>
      </c>
      <c r="AK17" s="78">
        <f t="shared" si="3"/>
        <v>78105.787099999987</v>
      </c>
    </row>
    <row r="18" spans="1:37" ht="15" customHeight="1" x14ac:dyDescent="0.25">
      <c r="B18" s="85">
        <f t="shared" si="4"/>
        <v>2038</v>
      </c>
      <c r="C18" s="142">
        <f>IF(B18&lt;=Assumptions!$D$15,IFERROR(_xlfn.XLOOKUP($B18,$R$7:$R$51,$Y$7:$Y$51,0,0,1),0),0)</f>
        <v>0</v>
      </c>
      <c r="D18" s="142">
        <f>IF(B18&lt;=Assumptions!$D$15,IFERROR(_xlfn.XLOOKUP($B18,$AC$7:$AC$51,$AK$7:$AK$51,0,0,1),0),0)</f>
        <v>80460.17207000003</v>
      </c>
      <c r="E18" s="143">
        <f t="shared" si="1"/>
        <v>-80460.17207000003</v>
      </c>
      <c r="F18" s="144">
        <f>E18*(1+0.07)^-(B18-Assumptions!$D$11)</f>
        <v>-25471.629929697683</v>
      </c>
      <c r="H18" s="23" t="s">
        <v>231</v>
      </c>
      <c r="I18" s="24" t="s">
        <v>232</v>
      </c>
      <c r="J18" s="1"/>
      <c r="K18" s="1"/>
      <c r="L18" s="1"/>
      <c r="M18" s="1"/>
      <c r="N18" s="1"/>
      <c r="Q18" s="718"/>
      <c r="R18" s="50">
        <f t="shared" si="5"/>
        <v>2032</v>
      </c>
      <c r="S18" s="24" t="str">
        <f>IF(R18+1&lt;=Assumptions!$D$33,"Yes","No")</f>
        <v>No</v>
      </c>
      <c r="T18" s="51" cm="1">
        <f t="array" ref="T18">IF(S18="Yes",TREND($J$27:$J$28,$I$27:$I$28,R18),0)</f>
        <v>0</v>
      </c>
      <c r="U18" s="51" cm="1">
        <f t="array" ref="U18">IF(S18="Yes",TREND($K$27:$K$28,$I$27:$I$28,R18),0)</f>
        <v>0</v>
      </c>
      <c r="V18" s="51" cm="1">
        <f t="array" ref="V18">IF(S18="Yes",TREND($L$27:$L$28,$I$27:$I$28,R18),0)</f>
        <v>0</v>
      </c>
      <c r="W18" s="51" cm="1">
        <f t="array" ref="W18">IF(S18="Yes",TREND($M$27:$M$28,$I$27:$I$28,R18),0)</f>
        <v>0</v>
      </c>
      <c r="X18" s="51" cm="1">
        <f t="array" ref="X18">IF(S18="Yes",TREND($N$27:$N$28,$I$27:$I$28,R18),0)</f>
        <v>0</v>
      </c>
      <c r="Y18" s="78">
        <f t="shared" si="2"/>
        <v>0</v>
      </c>
      <c r="AB18" s="718"/>
      <c r="AC18" s="50">
        <f t="shared" si="6"/>
        <v>2032</v>
      </c>
      <c r="AD18" s="24" t="s">
        <v>623</v>
      </c>
      <c r="AE18" s="24" t="str">
        <f>IF(R18&gt;=Assumptions!$D$14,"Yes","No")</f>
        <v>Yes</v>
      </c>
      <c r="AF18" s="51" cm="1">
        <f t="array" ref="AF18">IF(AC18&lt;=Assumptions!$D$15,IF(AC18&lt;Assumptions!$D$14,TREND('Safety Improvements'!$J$32:$J$33,'Safety Improvements'!$I$32:$I$33,AC18),TREND('Safety Improvements'!$J$34:$J$35,'Safety Improvements'!$I$34:$I$35,'Safety Improvements'!AC18)),0)</f>
        <v>0</v>
      </c>
      <c r="AG18" s="51" cm="1">
        <f t="array" ref="AG18">IF(AC18&lt;=Assumptions!$D$15,IF(AC18&lt;Assumptions!$D$14,TREND('Safety Improvements'!$K$32:$K$33,'Safety Improvements'!$I$32:$I$33,AC18),TREND('Safety Improvements'!$K$34:$K$35,'Safety Improvements'!$I$34:$I$35,'Safety Improvements'!AC18)),0)</f>
        <v>0.13706470000000004</v>
      </c>
      <c r="AH18" s="51" cm="1">
        <f t="array" ref="AH18">IF(AC18&lt;=Assumptions!$D$15,IF(AC18&lt;Assumptions!$D$14,TREND('Safety Improvements'!$L$32:$L$33,'Safety Improvements'!$I$32:$I$33,AC18),TREND('Safety Improvements'!$L$34:$L$35,'Safety Improvements'!$I$34:$I$35,'Safety Improvements'!AC18)),0)</f>
        <v>0</v>
      </c>
      <c r="AI18" s="51" cm="1">
        <f t="array" ref="AI18">IF(AC18&lt;=Assumptions!$D$15,IF(AC18&lt;Assumptions!$D$14,TREND('Safety Improvements'!$M$32:$M$33,'Safety Improvements'!$I$32:$I$33,AC18),TREND('Safety Improvements'!$M$34:$M$35,'Safety Improvements'!$I$34:$I$35,'Safety Improvements'!AC18)),0)</f>
        <v>0</v>
      </c>
      <c r="AJ18" s="51" cm="1">
        <f t="array" ref="AJ18">IF(AC18&lt;=Assumptions!$D$15,IF(AC18&lt;Assumptions!$D$14,TREND('Safety Improvements'!$N$32:$N$33,'Safety Improvements'!$I$32:$I$33,AC18),TREND('Safety Improvements'!$N$34:$N$35,'Safety Improvements'!$I$34:$I$35,'Safety Improvements'!AC18)),0)</f>
        <v>0.27412940000000008</v>
      </c>
      <c r="AK18" s="78">
        <f t="shared" si="3"/>
        <v>78442.127810000035</v>
      </c>
    </row>
    <row r="19" spans="1:37" ht="15" customHeight="1" x14ac:dyDescent="0.25">
      <c r="B19" s="85">
        <f t="shared" si="4"/>
        <v>2039</v>
      </c>
      <c r="C19" s="142">
        <f>IF(B19&lt;=Assumptions!$D$15,IFERROR(_xlfn.XLOOKUP($B19,$R$7:$R$51,$Y$7:$Y$51,0,0,1),0),0)</f>
        <v>0</v>
      </c>
      <c r="D19" s="142">
        <f>IF(B19&lt;=Assumptions!$D$15,IFERROR(_xlfn.XLOOKUP($B19,$AC$7:$AC$51,$AK$7:$AK$51,0,0,1),0),0)</f>
        <v>80796.512779999961</v>
      </c>
      <c r="E19" s="143">
        <f t="shared" si="1"/>
        <v>-80796.512779999961</v>
      </c>
      <c r="F19" s="144">
        <f>E19*(1+0.07)^-(B19-Assumptions!$D$11)</f>
        <v>-23904.772696218854</v>
      </c>
      <c r="H19" s="23" t="s">
        <v>197</v>
      </c>
      <c r="I19" s="43">
        <v>6942</v>
      </c>
      <c r="J19" s="1"/>
      <c r="K19" s="1"/>
      <c r="L19" s="1"/>
      <c r="M19" s="1"/>
      <c r="N19" s="1"/>
      <c r="Q19" s="718"/>
      <c r="R19" s="50">
        <f t="shared" si="5"/>
        <v>2033</v>
      </c>
      <c r="S19" s="24" t="str">
        <f>IF(R19+1&lt;=Assumptions!$D$33,"Yes","No")</f>
        <v>No</v>
      </c>
      <c r="T19" s="51" cm="1">
        <f t="array" ref="T19">IF(S19="Yes",TREND($J$27:$J$28,$I$27:$I$28,R19),0)</f>
        <v>0</v>
      </c>
      <c r="U19" s="51" cm="1">
        <f t="array" ref="U19">IF(S19="Yes",TREND($K$27:$K$28,$I$27:$I$28,R19),0)</f>
        <v>0</v>
      </c>
      <c r="V19" s="51" cm="1">
        <f t="array" ref="V19">IF(S19="Yes",TREND($L$27:$L$28,$I$27:$I$28,R19),0)</f>
        <v>0</v>
      </c>
      <c r="W19" s="51" cm="1">
        <f t="array" ref="W19">IF(S19="Yes",TREND($M$27:$M$28,$I$27:$I$28,R19),0)</f>
        <v>0</v>
      </c>
      <c r="X19" s="51" cm="1">
        <f t="array" ref="X19">IF(S19="Yes",TREND($N$27:$N$28,$I$27:$I$28,R19),0)</f>
        <v>0</v>
      </c>
      <c r="Y19" s="78">
        <f t="shared" si="2"/>
        <v>0</v>
      </c>
      <c r="AB19" s="718"/>
      <c r="AC19" s="50">
        <f t="shared" si="6"/>
        <v>2033</v>
      </c>
      <c r="AD19" s="24" t="s">
        <v>623</v>
      </c>
      <c r="AE19" s="24" t="str">
        <f>IF(R19&gt;=Assumptions!$D$14,"Yes","No")</f>
        <v>Yes</v>
      </c>
      <c r="AF19" s="51" cm="1">
        <f t="array" ref="AF19">IF(AC19&lt;=Assumptions!$D$15,IF(AC19&lt;Assumptions!$D$14,TREND('Safety Improvements'!$J$32:$J$33,'Safety Improvements'!$I$32:$I$33,AC19),TREND('Safety Improvements'!$J$34:$J$35,'Safety Improvements'!$I$34:$I$35,'Safety Improvements'!AC19)),0)</f>
        <v>0</v>
      </c>
      <c r="AG19" s="51" cm="1">
        <f t="array" ref="AG19">IF(AC19&lt;=Assumptions!$D$15,IF(AC19&lt;Assumptions!$D$14,TREND('Safety Improvements'!$K$32:$K$33,'Safety Improvements'!$I$32:$I$33,AC19),TREND('Safety Improvements'!$K$34:$K$35,'Safety Improvements'!$I$34:$I$35,'Safety Improvements'!AC19)),0)</f>
        <v>0.13765240000000012</v>
      </c>
      <c r="AH19" s="51" cm="1">
        <f t="array" ref="AH19">IF(AC19&lt;=Assumptions!$D$15,IF(AC19&lt;Assumptions!$D$14,TREND('Safety Improvements'!$L$32:$L$33,'Safety Improvements'!$I$32:$I$33,AC19),TREND('Safety Improvements'!$L$34:$L$35,'Safety Improvements'!$I$34:$I$35,'Safety Improvements'!AC19)),0)</f>
        <v>0</v>
      </c>
      <c r="AI19" s="51" cm="1">
        <f t="array" ref="AI19">IF(AC19&lt;=Assumptions!$D$15,IF(AC19&lt;Assumptions!$D$14,TREND('Safety Improvements'!$M$32:$M$33,'Safety Improvements'!$I$32:$I$33,AC19),TREND('Safety Improvements'!$M$34:$M$35,'Safety Improvements'!$I$34:$I$35,'Safety Improvements'!AC19)),0)</f>
        <v>0</v>
      </c>
      <c r="AJ19" s="51" cm="1">
        <f t="array" ref="AJ19">IF(AC19&lt;=Assumptions!$D$15,IF(AC19&lt;Assumptions!$D$14,TREND('Safety Improvements'!$N$32:$N$33,'Safety Improvements'!$I$32:$I$33,AC19),TREND('Safety Improvements'!$N$34:$N$35,'Safety Improvements'!$I$34:$I$35,'Safety Improvements'!AC19)),0)</f>
        <v>0.27530480000000024</v>
      </c>
      <c r="AK19" s="78">
        <f t="shared" si="3"/>
        <v>78778.468520000068</v>
      </c>
    </row>
    <row r="20" spans="1:37" x14ac:dyDescent="0.25">
      <c r="B20" s="85">
        <f t="shared" si="4"/>
        <v>2040</v>
      </c>
      <c r="C20" s="142">
        <f>IF(B20&lt;=Assumptions!$D$15,IFERROR(_xlfn.XLOOKUP($B20,$R$7:$R$51,$Y$7:$Y$51,0,0,1),0),0)</f>
        <v>0</v>
      </c>
      <c r="D20" s="142">
        <f>IF(B20&lt;=Assumptions!$D$15,IFERROR(_xlfn.XLOOKUP($B20,$AC$7:$AC$51,$AK$7:$AK$51,0,0,1),0),0)</f>
        <v>81132.853489999994</v>
      </c>
      <c r="E20" s="143">
        <f t="shared" si="1"/>
        <v>-81132.853489999994</v>
      </c>
      <c r="F20" s="144">
        <f>E20*(1+0.07)^-(B20-Assumptions!$D$11)</f>
        <v>-22433.910070932568</v>
      </c>
      <c r="H20" s="23" t="s">
        <v>196</v>
      </c>
      <c r="I20" s="265">
        <v>0.65300000000000002</v>
      </c>
      <c r="J20" s="1"/>
      <c r="K20" s="1"/>
      <c r="L20" s="1"/>
      <c r="M20" s="1"/>
      <c r="N20" s="1"/>
      <c r="Q20" s="718"/>
      <c r="R20" s="50">
        <f t="shared" si="5"/>
        <v>2034</v>
      </c>
      <c r="S20" s="24" t="str">
        <f>IF(R20+1&lt;=Assumptions!$D$33,"Yes","No")</f>
        <v>No</v>
      </c>
      <c r="T20" s="51" cm="1">
        <f t="array" ref="T20">IF(S20="Yes",TREND($J$27:$J$28,$I$27:$I$28,R20),0)</f>
        <v>0</v>
      </c>
      <c r="U20" s="51" cm="1">
        <f t="array" ref="U20">IF(S20="Yes",TREND($K$27:$K$28,$I$27:$I$28,R20),0)</f>
        <v>0</v>
      </c>
      <c r="V20" s="51" cm="1">
        <f t="array" ref="V20">IF(S20="Yes",TREND($L$27:$L$28,$I$27:$I$28,R20),0)</f>
        <v>0</v>
      </c>
      <c r="W20" s="51" cm="1">
        <f t="array" ref="W20">IF(S20="Yes",TREND($M$27:$M$28,$I$27:$I$28,R20),0)</f>
        <v>0</v>
      </c>
      <c r="X20" s="51" cm="1">
        <f t="array" ref="X20">IF(S20="Yes",TREND($N$27:$N$28,$I$27:$I$28,R20),0)</f>
        <v>0</v>
      </c>
      <c r="Y20" s="78">
        <f t="shared" si="2"/>
        <v>0</v>
      </c>
      <c r="AB20" s="718"/>
      <c r="AC20" s="50">
        <f t="shared" si="6"/>
        <v>2034</v>
      </c>
      <c r="AD20" s="24" t="s">
        <v>623</v>
      </c>
      <c r="AE20" s="24" t="str">
        <f>IF(R20&gt;=Assumptions!$D$14,"Yes","No")</f>
        <v>Yes</v>
      </c>
      <c r="AF20" s="51" cm="1">
        <f t="array" ref="AF20">IF(AC20&lt;=Assumptions!$D$15,IF(AC20&lt;Assumptions!$D$14,TREND('Safety Improvements'!$J$32:$J$33,'Safety Improvements'!$I$32:$I$33,AC20),TREND('Safety Improvements'!$J$34:$J$35,'Safety Improvements'!$I$34:$I$35,'Safety Improvements'!AC20)),0)</f>
        <v>0</v>
      </c>
      <c r="AG20" s="51" cm="1">
        <f t="array" ref="AG20">IF(AC20&lt;=Assumptions!$D$15,IF(AC20&lt;Assumptions!$D$14,TREND('Safety Improvements'!$K$32:$K$33,'Safety Improvements'!$I$32:$I$33,AC20),TREND('Safety Improvements'!$K$34:$K$35,'Safety Improvements'!$I$34:$I$35,'Safety Improvements'!AC20)),0)</f>
        <v>0.13824009999999998</v>
      </c>
      <c r="AH20" s="51" cm="1">
        <f t="array" ref="AH20">IF(AC20&lt;=Assumptions!$D$15,IF(AC20&lt;Assumptions!$D$14,TREND('Safety Improvements'!$L$32:$L$33,'Safety Improvements'!$I$32:$I$33,AC20),TREND('Safety Improvements'!$L$34:$L$35,'Safety Improvements'!$I$34:$I$35,'Safety Improvements'!AC20)),0)</f>
        <v>0</v>
      </c>
      <c r="AI20" s="51" cm="1">
        <f t="array" ref="AI20">IF(AC20&lt;=Assumptions!$D$15,IF(AC20&lt;Assumptions!$D$14,TREND('Safety Improvements'!$M$32:$M$33,'Safety Improvements'!$I$32:$I$33,AC20),TREND('Safety Improvements'!$M$34:$M$35,'Safety Improvements'!$I$34:$I$35,'Safety Improvements'!AC20)),0)</f>
        <v>0</v>
      </c>
      <c r="AJ20" s="51" cm="1">
        <f t="array" ref="AJ20">IF(AC20&lt;=Assumptions!$D$15,IF(AC20&lt;Assumptions!$D$14,TREND('Safety Improvements'!$N$32:$N$33,'Safety Improvements'!$I$32:$I$33,AC20),TREND('Safety Improvements'!$N$34:$N$35,'Safety Improvements'!$I$34:$I$35,'Safety Improvements'!AC20)),0)</f>
        <v>0.27648019999999995</v>
      </c>
      <c r="AK20" s="78">
        <f t="shared" si="3"/>
        <v>79114.809229999984</v>
      </c>
    </row>
    <row r="21" spans="1:37" x14ac:dyDescent="0.25">
      <c r="B21" s="85">
        <f t="shared" si="4"/>
        <v>2041</v>
      </c>
      <c r="C21" s="142">
        <f>IF(B21&lt;=Assumptions!$D$15,IFERROR(_xlfn.XLOOKUP($B21,$R$7:$R$51,$Y$7:$Y$51,0,0,1),0),0)</f>
        <v>0</v>
      </c>
      <c r="D21" s="142">
        <f>IF(B21&lt;=Assumptions!$D$15,IFERROR(_xlfn.XLOOKUP($B21,$AC$7:$AC$51,$AK$7:$AK$51,0,0,1),0),0)</f>
        <v>81469.194200000042</v>
      </c>
      <c r="E21" s="143">
        <f t="shared" si="1"/>
        <v>-81469.194200000042</v>
      </c>
      <c r="F21" s="144">
        <f>E21*(1+0.07)^-(B21-Assumptions!$D$11)</f>
        <v>-21053.187925213428</v>
      </c>
      <c r="H21" s="23" t="s">
        <v>192</v>
      </c>
      <c r="I21" s="43" t="s">
        <v>195</v>
      </c>
      <c r="J21" s="1"/>
      <c r="K21" s="1"/>
      <c r="L21" s="1"/>
      <c r="M21" s="1"/>
      <c r="N21" s="1"/>
      <c r="Q21" s="718"/>
      <c r="R21" s="50">
        <f t="shared" si="5"/>
        <v>2035</v>
      </c>
      <c r="S21" s="24" t="str">
        <f>IF(R21+1&lt;=Assumptions!$D$33,"Yes","No")</f>
        <v>No</v>
      </c>
      <c r="T21" s="51" cm="1">
        <f t="array" ref="T21">IF(S21="Yes",TREND($J$27:$J$28,$I$27:$I$28,R21),0)</f>
        <v>0</v>
      </c>
      <c r="U21" s="51" cm="1">
        <f t="array" ref="U21">IF(S21="Yes",TREND($K$27:$K$28,$I$27:$I$28,R21),0)</f>
        <v>0</v>
      </c>
      <c r="V21" s="51" cm="1">
        <f t="array" ref="V21">IF(S21="Yes",TREND($L$27:$L$28,$I$27:$I$28,R21),0)</f>
        <v>0</v>
      </c>
      <c r="W21" s="51" cm="1">
        <f t="array" ref="W21">IF(S21="Yes",TREND($M$27:$M$28,$I$27:$I$28,R21),0)</f>
        <v>0</v>
      </c>
      <c r="X21" s="51" cm="1">
        <f t="array" ref="X21">IF(S21="Yes",TREND($N$27:$N$28,$I$27:$I$28,R21),0)</f>
        <v>0</v>
      </c>
      <c r="Y21" s="78">
        <f t="shared" si="2"/>
        <v>0</v>
      </c>
      <c r="AB21" s="718"/>
      <c r="AC21" s="50">
        <f t="shared" si="6"/>
        <v>2035</v>
      </c>
      <c r="AD21" s="24" t="s">
        <v>623</v>
      </c>
      <c r="AE21" s="24" t="str">
        <f>IF(R21&gt;=Assumptions!$D$14,"Yes","No")</f>
        <v>Yes</v>
      </c>
      <c r="AF21" s="51" cm="1">
        <f t="array" ref="AF21">IF(AC21&lt;=Assumptions!$D$15,IF(AC21&lt;Assumptions!$D$14,TREND('Safety Improvements'!$J$32:$J$33,'Safety Improvements'!$I$32:$I$33,AC21),TREND('Safety Improvements'!$J$34:$J$35,'Safety Improvements'!$I$34:$I$35,'Safety Improvements'!AC21)),0)</f>
        <v>0</v>
      </c>
      <c r="AG21" s="51" cm="1">
        <f t="array" ref="AG21">IF(AC21&lt;=Assumptions!$D$15,IF(AC21&lt;Assumptions!$D$14,TREND('Safety Improvements'!$K$32:$K$33,'Safety Improvements'!$I$32:$I$33,AC21),TREND('Safety Improvements'!$K$34:$K$35,'Safety Improvements'!$I$34:$I$35,'Safety Improvements'!AC21)),0)</f>
        <v>0.13882780000000006</v>
      </c>
      <c r="AH21" s="51" cm="1">
        <f t="array" ref="AH21">IF(AC21&lt;=Assumptions!$D$15,IF(AC21&lt;Assumptions!$D$14,TREND('Safety Improvements'!$L$32:$L$33,'Safety Improvements'!$I$32:$I$33,AC21),TREND('Safety Improvements'!$L$34:$L$35,'Safety Improvements'!$I$34:$I$35,'Safety Improvements'!AC21)),0)</f>
        <v>0</v>
      </c>
      <c r="AI21" s="51" cm="1">
        <f t="array" ref="AI21">IF(AC21&lt;=Assumptions!$D$15,IF(AC21&lt;Assumptions!$D$14,TREND('Safety Improvements'!$M$32:$M$33,'Safety Improvements'!$I$32:$I$33,AC21),TREND('Safety Improvements'!$M$34:$M$35,'Safety Improvements'!$I$34:$I$35,'Safety Improvements'!AC21)),0)</f>
        <v>0</v>
      </c>
      <c r="AJ21" s="51" cm="1">
        <f t="array" ref="AJ21">IF(AC21&lt;=Assumptions!$D$15,IF(AC21&lt;Assumptions!$D$14,TREND('Safety Improvements'!$N$32:$N$33,'Safety Improvements'!$I$32:$I$33,AC21),TREND('Safety Improvements'!$N$34:$N$35,'Safety Improvements'!$I$34:$I$35,'Safety Improvements'!AC21)),0)</f>
        <v>0.27765560000000011</v>
      </c>
      <c r="AK21" s="78">
        <f t="shared" si="3"/>
        <v>79451.149940000047</v>
      </c>
    </row>
    <row r="22" spans="1:37" x14ac:dyDescent="0.25">
      <c r="B22" s="85">
        <f t="shared" si="4"/>
        <v>2042</v>
      </c>
      <c r="C22" s="142">
        <f>IF(B22&lt;=Assumptions!$D$15,IFERROR(_xlfn.XLOOKUP($B22,$R$7:$R$51,$Y$7:$Y$51,0,0,1),0),0)</f>
        <v>0</v>
      </c>
      <c r="D22" s="142">
        <f>IF(B22&lt;=Assumptions!$D$15,IFERROR(_xlfn.XLOOKUP($B22,$AC$7:$AC$51,$AK$7:$AK$51,0,0,1),0),0)</f>
        <v>81805.534909999973</v>
      </c>
      <c r="E22" s="143">
        <f t="shared" si="1"/>
        <v>-81805.534909999973</v>
      </c>
      <c r="F22" s="144">
        <f>E22*(1+0.07)^-(B22-Assumptions!$D$11)</f>
        <v>-19757.107248689081</v>
      </c>
      <c r="H22" s="23" t="s">
        <v>193</v>
      </c>
      <c r="I22" s="43" t="s">
        <v>194</v>
      </c>
      <c r="J22" s="1"/>
      <c r="K22" s="1"/>
      <c r="L22" s="1"/>
      <c r="M22" s="1"/>
      <c r="N22" s="1"/>
      <c r="Q22" s="718"/>
      <c r="R22" s="50">
        <f t="shared" si="5"/>
        <v>2036</v>
      </c>
      <c r="S22" s="24" t="str">
        <f>IF(R22+1&lt;=Assumptions!$D$33,"Yes","No")</f>
        <v>No</v>
      </c>
      <c r="T22" s="51" cm="1">
        <f t="array" ref="T22">IF(S22="Yes",TREND($J$27:$J$28,$I$27:$I$28,R22),0)</f>
        <v>0</v>
      </c>
      <c r="U22" s="51" cm="1">
        <f t="array" ref="U22">IF(S22="Yes",TREND($K$27:$K$28,$I$27:$I$28,R22),0)</f>
        <v>0</v>
      </c>
      <c r="V22" s="51" cm="1">
        <f t="array" ref="V22">IF(S22="Yes",TREND($L$27:$L$28,$I$27:$I$28,R22),0)</f>
        <v>0</v>
      </c>
      <c r="W22" s="51" cm="1">
        <f t="array" ref="W22">IF(S22="Yes",TREND($M$27:$M$28,$I$27:$I$28,R22),0)</f>
        <v>0</v>
      </c>
      <c r="X22" s="51" cm="1">
        <f t="array" ref="X22">IF(S22="Yes",TREND($N$27:$N$28,$I$27:$I$28,R22),0)</f>
        <v>0</v>
      </c>
      <c r="Y22" s="78">
        <f t="shared" si="2"/>
        <v>0</v>
      </c>
      <c r="AB22" s="718"/>
      <c r="AC22" s="50">
        <f t="shared" si="6"/>
        <v>2036</v>
      </c>
      <c r="AD22" s="24" t="s">
        <v>623</v>
      </c>
      <c r="AE22" s="24" t="str">
        <f>IF(R22&gt;=Assumptions!$D$14,"Yes","No")</f>
        <v>Yes</v>
      </c>
      <c r="AF22" s="51" cm="1">
        <f t="array" ref="AF22">IF(AC22&lt;=Assumptions!$D$15,IF(AC22&lt;Assumptions!$D$14,TREND('Safety Improvements'!$J$32:$J$33,'Safety Improvements'!$I$32:$I$33,AC22),TREND('Safety Improvements'!$J$34:$J$35,'Safety Improvements'!$I$34:$I$35,'Safety Improvements'!AC22)),0)</f>
        <v>0</v>
      </c>
      <c r="AG22" s="51" cm="1">
        <f t="array" ref="AG22">IF(AC22&lt;=Assumptions!$D$15,IF(AC22&lt;Assumptions!$D$14,TREND('Safety Improvements'!$K$32:$K$33,'Safety Improvements'!$I$32:$I$33,AC22),TREND('Safety Improvements'!$K$34:$K$35,'Safety Improvements'!$I$34:$I$35,'Safety Improvements'!AC22)),0)</f>
        <v>0.13941549999999991</v>
      </c>
      <c r="AH22" s="51" cm="1">
        <f t="array" ref="AH22">IF(AC22&lt;=Assumptions!$D$15,IF(AC22&lt;Assumptions!$D$14,TREND('Safety Improvements'!$L$32:$L$33,'Safety Improvements'!$I$32:$I$33,AC22),TREND('Safety Improvements'!$L$34:$L$35,'Safety Improvements'!$I$34:$I$35,'Safety Improvements'!AC22)),0)</f>
        <v>0</v>
      </c>
      <c r="AI22" s="51" cm="1">
        <f t="array" ref="AI22">IF(AC22&lt;=Assumptions!$D$15,IF(AC22&lt;Assumptions!$D$14,TREND('Safety Improvements'!$M$32:$M$33,'Safety Improvements'!$I$32:$I$33,AC22),TREND('Safety Improvements'!$M$34:$M$35,'Safety Improvements'!$I$34:$I$35,'Safety Improvements'!AC22)),0)</f>
        <v>0</v>
      </c>
      <c r="AJ22" s="51" cm="1">
        <f t="array" ref="AJ22">IF(AC22&lt;=Assumptions!$D$15,IF(AC22&lt;Assumptions!$D$14,TREND('Safety Improvements'!$N$32:$N$33,'Safety Improvements'!$I$32:$I$33,AC22),TREND('Safety Improvements'!$N$34:$N$35,'Safety Improvements'!$I$34:$I$35,'Safety Improvements'!AC22)),0)</f>
        <v>0.27883099999999983</v>
      </c>
      <c r="AK22" s="78">
        <f t="shared" si="3"/>
        <v>79787.490649999949</v>
      </c>
    </row>
    <row r="23" spans="1:37" x14ac:dyDescent="0.25">
      <c r="B23" s="85">
        <f t="shared" si="4"/>
        <v>2043</v>
      </c>
      <c r="C23" s="142">
        <f>IF(B23&lt;=Assumptions!$D$15,IFERROR(_xlfn.XLOOKUP($B23,$R$7:$R$51,$Y$7:$Y$51,0,0,1),0),0)</f>
        <v>0</v>
      </c>
      <c r="D23" s="142">
        <f>IF(B23&lt;=Assumptions!$D$15,IFERROR(_xlfn.XLOOKUP($B23,$AC$7:$AC$51,$AK$7:$AK$51,0,0,1),0),0)</f>
        <v>82141.875620000006</v>
      </c>
      <c r="E23" s="143">
        <f t="shared" si="1"/>
        <v>-82141.875620000006</v>
      </c>
      <c r="F23" s="144">
        <f>E23*(1+0.07)^-(B23-Assumptions!$D$11)</f>
        <v>-18540.502739960899</v>
      </c>
      <c r="H23" s="23" t="s">
        <v>207</v>
      </c>
      <c r="I23" s="43" t="s">
        <v>194</v>
      </c>
      <c r="J23" s="1"/>
      <c r="K23" s="1"/>
      <c r="L23" s="1"/>
      <c r="M23" s="1"/>
      <c r="N23" s="1"/>
      <c r="Q23" s="718"/>
      <c r="R23" s="50">
        <f t="shared" si="5"/>
        <v>2037</v>
      </c>
      <c r="S23" s="24" t="str">
        <f>IF(R23+1&lt;=Assumptions!$D$33,"Yes","No")</f>
        <v>No</v>
      </c>
      <c r="T23" s="51" cm="1">
        <f t="array" ref="T23">IF(S23="Yes",TREND($J$27:$J$28,$I$27:$I$28,R23),0)</f>
        <v>0</v>
      </c>
      <c r="U23" s="51" cm="1">
        <f t="array" ref="U23">IF(S23="Yes",TREND($K$27:$K$28,$I$27:$I$28,R23),0)</f>
        <v>0</v>
      </c>
      <c r="V23" s="51" cm="1">
        <f t="array" ref="V23">IF(S23="Yes",TREND($L$27:$L$28,$I$27:$I$28,R23),0)</f>
        <v>0</v>
      </c>
      <c r="W23" s="51" cm="1">
        <f t="array" ref="W23">IF(S23="Yes",TREND($M$27:$M$28,$I$27:$I$28,R23),0)</f>
        <v>0</v>
      </c>
      <c r="X23" s="51" cm="1">
        <f t="array" ref="X23">IF(S23="Yes",TREND($N$27:$N$28,$I$27:$I$28,R23),0)</f>
        <v>0</v>
      </c>
      <c r="Y23" s="78">
        <f t="shared" si="2"/>
        <v>0</v>
      </c>
      <c r="AB23" s="718"/>
      <c r="AC23" s="50">
        <f t="shared" si="6"/>
        <v>2037</v>
      </c>
      <c r="AD23" s="24" t="s">
        <v>623</v>
      </c>
      <c r="AE23" s="24" t="str">
        <f>IF(R23&gt;=Assumptions!$D$14,"Yes","No")</f>
        <v>Yes</v>
      </c>
      <c r="AF23" s="51" cm="1">
        <f t="array" ref="AF23">IF(AC23&lt;=Assumptions!$D$15,IF(AC23&lt;Assumptions!$D$14,TREND('Safety Improvements'!$J$32:$J$33,'Safety Improvements'!$I$32:$I$33,AC23),TREND('Safety Improvements'!$J$34:$J$35,'Safety Improvements'!$I$34:$I$35,'Safety Improvements'!AC23)),0)</f>
        <v>0</v>
      </c>
      <c r="AG23" s="51" cm="1">
        <f t="array" ref="AG23">IF(AC23&lt;=Assumptions!$D$15,IF(AC23&lt;Assumptions!$D$14,TREND('Safety Improvements'!$K$32:$K$33,'Safety Improvements'!$I$32:$I$33,AC23),TREND('Safety Improvements'!$K$34:$K$35,'Safety Improvements'!$I$34:$I$35,'Safety Improvements'!AC23)),0)</f>
        <v>0.14000319999999999</v>
      </c>
      <c r="AH23" s="51" cm="1">
        <f t="array" ref="AH23">IF(AC23&lt;=Assumptions!$D$15,IF(AC23&lt;Assumptions!$D$14,TREND('Safety Improvements'!$L$32:$L$33,'Safety Improvements'!$I$32:$I$33,AC23),TREND('Safety Improvements'!$L$34:$L$35,'Safety Improvements'!$I$34:$I$35,'Safety Improvements'!AC23)),0)</f>
        <v>0</v>
      </c>
      <c r="AI23" s="51" cm="1">
        <f t="array" ref="AI23">IF(AC23&lt;=Assumptions!$D$15,IF(AC23&lt;Assumptions!$D$14,TREND('Safety Improvements'!$M$32:$M$33,'Safety Improvements'!$I$32:$I$33,AC23),TREND('Safety Improvements'!$M$34:$M$35,'Safety Improvements'!$I$34:$I$35,'Safety Improvements'!AC23)),0)</f>
        <v>0</v>
      </c>
      <c r="AJ23" s="51" cm="1">
        <f t="array" ref="AJ23">IF(AC23&lt;=Assumptions!$D$15,IF(AC23&lt;Assumptions!$D$14,TREND('Safety Improvements'!$N$32:$N$33,'Safety Improvements'!$I$32:$I$33,AC23),TREND('Safety Improvements'!$N$34:$N$35,'Safety Improvements'!$I$34:$I$35,'Safety Improvements'!AC23)),0)</f>
        <v>0.28000639999999999</v>
      </c>
      <c r="AK23" s="78">
        <f t="shared" si="3"/>
        <v>80123.831359999996</v>
      </c>
    </row>
    <row r="24" spans="1:37" x14ac:dyDescent="0.25">
      <c r="B24" s="85">
        <f t="shared" si="4"/>
        <v>2044</v>
      </c>
      <c r="C24" s="142">
        <f>IF(B24&lt;=Assumptions!$D$15,IFERROR(_xlfn.XLOOKUP($B24,$R$7:$R$51,$Y$7:$Y$51,0,0,1),0),0)</f>
        <v>0</v>
      </c>
      <c r="D24" s="142">
        <f>IF(B24&lt;=Assumptions!$D$15,IFERROR(_xlfn.XLOOKUP($B24,$AC$7:$AC$51,$AK$7:$AK$51,0,0,1),0),0)</f>
        <v>82478.216329999937</v>
      </c>
      <c r="E24" s="143">
        <f t="shared" si="1"/>
        <v>-82478.216329999937</v>
      </c>
      <c r="F24" s="144">
        <f>E24*(1+0.07)^-(B24-Assumptions!$D$11)</f>
        <v>-17398.522678685666</v>
      </c>
      <c r="J24" s="1"/>
      <c r="K24" s="1"/>
      <c r="L24" s="1"/>
      <c r="M24" s="1"/>
      <c r="N24" s="1"/>
      <c r="Q24" s="718"/>
      <c r="R24" s="50">
        <f t="shared" si="5"/>
        <v>2038</v>
      </c>
      <c r="S24" s="24" t="str">
        <f>IF(R24+1&lt;=Assumptions!$D$33,"Yes","No")</f>
        <v>No</v>
      </c>
      <c r="T24" s="51" cm="1">
        <f t="array" ref="T24">IF(S24="Yes",TREND($J$27:$J$28,$I$27:$I$28,R24),0)</f>
        <v>0</v>
      </c>
      <c r="U24" s="51" cm="1">
        <f t="array" ref="U24">IF(S24="Yes",TREND($K$27:$K$28,$I$27:$I$28,R24),0)</f>
        <v>0</v>
      </c>
      <c r="V24" s="51" cm="1">
        <f t="array" ref="V24">IF(S24="Yes",TREND($L$27:$L$28,$I$27:$I$28,R24),0)</f>
        <v>0</v>
      </c>
      <c r="W24" s="51" cm="1">
        <f t="array" ref="W24">IF(S24="Yes",TREND($M$27:$M$28,$I$27:$I$28,R24),0)</f>
        <v>0</v>
      </c>
      <c r="X24" s="51" cm="1">
        <f t="array" ref="X24">IF(S24="Yes",TREND($N$27:$N$28,$I$27:$I$28,R24),0)</f>
        <v>0</v>
      </c>
      <c r="Y24" s="78">
        <f t="shared" si="2"/>
        <v>0</v>
      </c>
      <c r="AB24" s="718"/>
      <c r="AC24" s="50">
        <f t="shared" si="6"/>
        <v>2038</v>
      </c>
      <c r="AD24" s="24" t="s">
        <v>623</v>
      </c>
      <c r="AE24" s="24" t="str">
        <f>IF(R24&gt;=Assumptions!$D$14,"Yes","No")</f>
        <v>Yes</v>
      </c>
      <c r="AF24" s="51" cm="1">
        <f t="array" ref="AF24">IF(AC24&lt;=Assumptions!$D$15,IF(AC24&lt;Assumptions!$D$14,TREND('Safety Improvements'!$J$32:$J$33,'Safety Improvements'!$I$32:$I$33,AC24),TREND('Safety Improvements'!$J$34:$J$35,'Safety Improvements'!$I$34:$I$35,'Safety Improvements'!AC24)),0)</f>
        <v>0</v>
      </c>
      <c r="AG24" s="51" cm="1">
        <f t="array" ref="AG24">IF(AC24&lt;=Assumptions!$D$15,IF(AC24&lt;Assumptions!$D$14,TREND('Safety Improvements'!$K$32:$K$33,'Safety Improvements'!$I$32:$I$33,AC24),TREND('Safety Improvements'!$K$34:$K$35,'Safety Improvements'!$I$34:$I$35,'Safety Improvements'!AC24)),0)</f>
        <v>0.14059090000000007</v>
      </c>
      <c r="AH24" s="51" cm="1">
        <f t="array" ref="AH24">IF(AC24&lt;=Assumptions!$D$15,IF(AC24&lt;Assumptions!$D$14,TREND('Safety Improvements'!$L$32:$L$33,'Safety Improvements'!$I$32:$I$33,AC24),TREND('Safety Improvements'!$L$34:$L$35,'Safety Improvements'!$I$34:$I$35,'Safety Improvements'!AC24)),0)</f>
        <v>0</v>
      </c>
      <c r="AI24" s="51" cm="1">
        <f t="array" ref="AI24">IF(AC24&lt;=Assumptions!$D$15,IF(AC24&lt;Assumptions!$D$14,TREND('Safety Improvements'!$M$32:$M$33,'Safety Improvements'!$I$32:$I$33,AC24),TREND('Safety Improvements'!$M$34:$M$35,'Safety Improvements'!$I$34:$I$35,'Safety Improvements'!AC24)),0)</f>
        <v>0</v>
      </c>
      <c r="AJ24" s="51" cm="1">
        <f t="array" ref="AJ24">IF(AC24&lt;=Assumptions!$D$15,IF(AC24&lt;Assumptions!$D$14,TREND('Safety Improvements'!$N$32:$N$33,'Safety Improvements'!$I$32:$I$33,AC24),TREND('Safety Improvements'!$N$34:$N$35,'Safety Improvements'!$I$34:$I$35,'Safety Improvements'!AC24)),0)</f>
        <v>0.28118180000000015</v>
      </c>
      <c r="AK24" s="78">
        <f t="shared" si="3"/>
        <v>80460.17207000003</v>
      </c>
    </row>
    <row r="25" spans="1:37" x14ac:dyDescent="0.25">
      <c r="B25" s="85">
        <f t="shared" si="4"/>
        <v>2045</v>
      </c>
      <c r="C25" s="142">
        <f>IF(B25&lt;=Assumptions!$D$15,IFERROR(_xlfn.XLOOKUP($B25,$R$7:$R$51,$Y$7:$Y$51,0,0,1),0),0)</f>
        <v>0</v>
      </c>
      <c r="D25" s="142">
        <f>IF(B25&lt;=Assumptions!$D$15,IFERROR(_xlfn.XLOOKUP($B25,$AC$7:$AC$51,$AK$7:$AK$51,0,0,1),0),0)</f>
        <v>82814.557039999971</v>
      </c>
      <c r="E25" s="143">
        <f t="shared" si="1"/>
        <v>-82814.557039999971</v>
      </c>
      <c r="F25" s="144">
        <f>E25*(1+0.07)^-(B25-Assumptions!$D$11)</f>
        <v>-16326.610002992793</v>
      </c>
      <c r="H25" s="1" t="s">
        <v>618</v>
      </c>
      <c r="K25" s="1"/>
      <c r="L25" s="1"/>
      <c r="M25" s="1"/>
      <c r="N25" s="1"/>
      <c r="Q25" s="718"/>
      <c r="R25" s="50">
        <f t="shared" si="5"/>
        <v>2039</v>
      </c>
      <c r="S25" s="24" t="str">
        <f>IF(R25+1&lt;=Assumptions!$D$33,"Yes","No")</f>
        <v>No</v>
      </c>
      <c r="T25" s="51" cm="1">
        <f t="array" ref="T25">IF(S25="Yes",TREND($J$27:$J$28,$I$27:$I$28,R25),0)</f>
        <v>0</v>
      </c>
      <c r="U25" s="51" cm="1">
        <f t="array" ref="U25">IF(S25="Yes",TREND($K$27:$K$28,$I$27:$I$28,R25),0)</f>
        <v>0</v>
      </c>
      <c r="V25" s="51" cm="1">
        <f t="array" ref="V25">IF(S25="Yes",TREND($L$27:$L$28,$I$27:$I$28,R25),0)</f>
        <v>0</v>
      </c>
      <c r="W25" s="51" cm="1">
        <f t="array" ref="W25">IF(S25="Yes",TREND($M$27:$M$28,$I$27:$I$28,R25),0)</f>
        <v>0</v>
      </c>
      <c r="X25" s="51" cm="1">
        <f t="array" ref="X25">IF(S25="Yes",TREND($N$27:$N$28,$I$27:$I$28,R25),0)</f>
        <v>0</v>
      </c>
      <c r="Y25" s="78">
        <f t="shared" si="2"/>
        <v>0</v>
      </c>
      <c r="AB25" s="718"/>
      <c r="AC25" s="50">
        <f t="shared" si="6"/>
        <v>2039</v>
      </c>
      <c r="AD25" s="24" t="s">
        <v>623</v>
      </c>
      <c r="AE25" s="24" t="str">
        <f>IF(R25&gt;=Assumptions!$D$14,"Yes","No")</f>
        <v>Yes</v>
      </c>
      <c r="AF25" s="51" cm="1">
        <f t="array" ref="AF25">IF(AC25&lt;=Assumptions!$D$15,IF(AC25&lt;Assumptions!$D$14,TREND('Safety Improvements'!$J$32:$J$33,'Safety Improvements'!$I$32:$I$33,AC25),TREND('Safety Improvements'!$J$34:$J$35,'Safety Improvements'!$I$34:$I$35,'Safety Improvements'!AC25)),0)</f>
        <v>0</v>
      </c>
      <c r="AG25" s="51" cm="1">
        <f t="array" ref="AG25">IF(AC25&lt;=Assumptions!$D$15,IF(AC25&lt;Assumptions!$D$14,TREND('Safety Improvements'!$K$32:$K$33,'Safety Improvements'!$I$32:$I$33,AC25),TREND('Safety Improvements'!$K$34:$K$35,'Safety Improvements'!$I$34:$I$35,'Safety Improvements'!AC25)),0)</f>
        <v>0.14117859999999993</v>
      </c>
      <c r="AH25" s="51" cm="1">
        <f t="array" ref="AH25">IF(AC25&lt;=Assumptions!$D$15,IF(AC25&lt;Assumptions!$D$14,TREND('Safety Improvements'!$L$32:$L$33,'Safety Improvements'!$I$32:$I$33,AC25),TREND('Safety Improvements'!$L$34:$L$35,'Safety Improvements'!$I$34:$I$35,'Safety Improvements'!AC25)),0)</f>
        <v>0</v>
      </c>
      <c r="AI25" s="51" cm="1">
        <f t="array" ref="AI25">IF(AC25&lt;=Assumptions!$D$15,IF(AC25&lt;Assumptions!$D$14,TREND('Safety Improvements'!$M$32:$M$33,'Safety Improvements'!$I$32:$I$33,AC25),TREND('Safety Improvements'!$M$34:$M$35,'Safety Improvements'!$I$34:$I$35,'Safety Improvements'!AC25)),0)</f>
        <v>0</v>
      </c>
      <c r="AJ25" s="51" cm="1">
        <f t="array" ref="AJ25">IF(AC25&lt;=Assumptions!$D$15,IF(AC25&lt;Assumptions!$D$14,TREND('Safety Improvements'!$N$32:$N$33,'Safety Improvements'!$I$32:$I$33,AC25),TREND('Safety Improvements'!$N$34:$N$35,'Safety Improvements'!$I$34:$I$35,'Safety Improvements'!AC25)),0)</f>
        <v>0.28235719999999986</v>
      </c>
      <c r="AK25" s="78">
        <f t="shared" si="3"/>
        <v>80796.512779999961</v>
      </c>
    </row>
    <row r="26" spans="1:37" x14ac:dyDescent="0.25">
      <c r="B26" s="85">
        <f t="shared" si="4"/>
        <v>2046</v>
      </c>
      <c r="C26" s="142">
        <f>IF(B26&lt;=Assumptions!$D$15,IFERROR(_xlfn.XLOOKUP($B26,$R$7:$R$51,$Y$7:$Y$51,0,0,1),0),0)</f>
        <v>0</v>
      </c>
      <c r="D26" s="142">
        <f>IF(B26&lt;=Assumptions!$D$15,IFERROR(_xlfn.XLOOKUP($B26,$AC$7:$AC$51,$AK$7:$AK$51,0,0,1),0),0)</f>
        <v>0</v>
      </c>
      <c r="E26" s="143">
        <f t="shared" si="1"/>
        <v>0</v>
      </c>
      <c r="F26" s="144">
        <f>E26*(1+0.07)^-(B26-Assumptions!$D$11)</f>
        <v>0</v>
      </c>
      <c r="H26" s="24" t="s">
        <v>620</v>
      </c>
      <c r="I26" s="24" t="s">
        <v>30</v>
      </c>
      <c r="J26" s="24" t="s">
        <v>17</v>
      </c>
      <c r="K26" s="32" t="s">
        <v>18</v>
      </c>
      <c r="L26" s="32" t="s">
        <v>19</v>
      </c>
      <c r="M26" s="32" t="s">
        <v>20</v>
      </c>
      <c r="N26" s="32" t="s">
        <v>21</v>
      </c>
      <c r="Q26" s="718"/>
      <c r="R26" s="50">
        <f t="shared" si="5"/>
        <v>2040</v>
      </c>
      <c r="S26" s="24" t="str">
        <f>IF(R26+1&lt;=Assumptions!$D$33,"Yes","No")</f>
        <v>No</v>
      </c>
      <c r="T26" s="51" cm="1">
        <f t="array" ref="T26">IF(S26="Yes",TREND($J$27:$J$28,$I$27:$I$28,R26),0)</f>
        <v>0</v>
      </c>
      <c r="U26" s="51" cm="1">
        <f t="array" ref="U26">IF(S26="Yes",TREND($K$27:$K$28,$I$27:$I$28,R26),0)</f>
        <v>0</v>
      </c>
      <c r="V26" s="51" cm="1">
        <f t="array" ref="V26">IF(S26="Yes",TREND($L$27:$L$28,$I$27:$I$28,R26),0)</f>
        <v>0</v>
      </c>
      <c r="W26" s="51" cm="1">
        <f t="array" ref="W26">IF(S26="Yes",TREND($M$27:$M$28,$I$27:$I$28,R26),0)</f>
        <v>0</v>
      </c>
      <c r="X26" s="51" cm="1">
        <f t="array" ref="X26">IF(S26="Yes",TREND($N$27:$N$28,$I$27:$I$28,R26),0)</f>
        <v>0</v>
      </c>
      <c r="Y26" s="78">
        <f t="shared" si="2"/>
        <v>0</v>
      </c>
      <c r="AB26" s="718"/>
      <c r="AC26" s="50">
        <f t="shared" si="6"/>
        <v>2040</v>
      </c>
      <c r="AD26" s="24" t="s">
        <v>623</v>
      </c>
      <c r="AE26" s="24" t="str">
        <f>IF(R26&gt;=Assumptions!$D$14,"Yes","No")</f>
        <v>Yes</v>
      </c>
      <c r="AF26" s="51" cm="1">
        <f t="array" ref="AF26">IF(AC26&lt;=Assumptions!$D$15,IF(AC26&lt;Assumptions!$D$14,TREND('Safety Improvements'!$J$32:$J$33,'Safety Improvements'!$I$32:$I$33,AC26),TREND('Safety Improvements'!$J$34:$J$35,'Safety Improvements'!$I$34:$I$35,'Safety Improvements'!AC26)),0)</f>
        <v>0</v>
      </c>
      <c r="AG26" s="51" cm="1">
        <f t="array" ref="AG26">IF(AC26&lt;=Assumptions!$D$15,IF(AC26&lt;Assumptions!$D$14,TREND('Safety Improvements'!$K$32:$K$33,'Safety Improvements'!$I$32:$I$33,AC26),TREND('Safety Improvements'!$K$34:$K$35,'Safety Improvements'!$I$34:$I$35,'Safety Improvements'!AC26)),0)</f>
        <v>0.14176630000000001</v>
      </c>
      <c r="AH26" s="51" cm="1">
        <f t="array" ref="AH26">IF(AC26&lt;=Assumptions!$D$15,IF(AC26&lt;Assumptions!$D$14,TREND('Safety Improvements'!$L$32:$L$33,'Safety Improvements'!$I$32:$I$33,AC26),TREND('Safety Improvements'!$L$34:$L$35,'Safety Improvements'!$I$34:$I$35,'Safety Improvements'!AC26)),0)</f>
        <v>0</v>
      </c>
      <c r="AI26" s="51" cm="1">
        <f t="array" ref="AI26">IF(AC26&lt;=Assumptions!$D$15,IF(AC26&lt;Assumptions!$D$14,TREND('Safety Improvements'!$M$32:$M$33,'Safety Improvements'!$I$32:$I$33,AC26),TREND('Safety Improvements'!$M$34:$M$35,'Safety Improvements'!$I$34:$I$35,'Safety Improvements'!AC26)),0)</f>
        <v>0</v>
      </c>
      <c r="AJ26" s="51" cm="1">
        <f t="array" ref="AJ26">IF(AC26&lt;=Assumptions!$D$15,IF(AC26&lt;Assumptions!$D$14,TREND('Safety Improvements'!$N$32:$N$33,'Safety Improvements'!$I$32:$I$33,AC26),TREND('Safety Improvements'!$N$34:$N$35,'Safety Improvements'!$I$34:$I$35,'Safety Improvements'!AC26)),0)</f>
        <v>0.28353260000000002</v>
      </c>
      <c r="AK26" s="78">
        <f t="shared" si="3"/>
        <v>81132.853489999994</v>
      </c>
    </row>
    <row r="27" spans="1:37" x14ac:dyDescent="0.25">
      <c r="B27" s="85">
        <f t="shared" si="4"/>
        <v>2047</v>
      </c>
      <c r="C27" s="142">
        <f>IF(B27&lt;=Assumptions!$D$15,IFERROR(_xlfn.XLOOKUP($B27,$R$7:$R$51,$Y$7:$Y$51,0,0,1),0),0)</f>
        <v>0</v>
      </c>
      <c r="D27" s="142">
        <f>IF(B27&lt;=Assumptions!$D$15,IFERROR(_xlfn.XLOOKUP($B27,$AC$7:$AC$51,$AK$7:$AK$51,0,0,1),0),0)</f>
        <v>0</v>
      </c>
      <c r="E27" s="143">
        <f t="shared" si="1"/>
        <v>0</v>
      </c>
      <c r="F27" s="144">
        <f>E27*(1+0.07)^-(B27-Assumptions!$D$11)</f>
        <v>0</v>
      </c>
      <c r="H27" s="25" t="s">
        <v>621</v>
      </c>
      <c r="I27" s="72">
        <f>Assumptions!$C$34</f>
        <v>2021</v>
      </c>
      <c r="J27" s="259">
        <f>I10/5</f>
        <v>0</v>
      </c>
      <c r="K27" s="259">
        <f>J10/5</f>
        <v>0.2</v>
      </c>
      <c r="L27" s="259">
        <f>K10/5</f>
        <v>0</v>
      </c>
      <c r="M27" s="259">
        <f>L10/5</f>
        <v>0</v>
      </c>
      <c r="N27" s="259">
        <f>M10/5</f>
        <v>0.4</v>
      </c>
      <c r="Q27" s="718"/>
      <c r="R27" s="50">
        <f t="shared" si="5"/>
        <v>2041</v>
      </c>
      <c r="S27" s="24" t="str">
        <f>IF(R27+1&lt;=Assumptions!$D$33,"Yes","No")</f>
        <v>No</v>
      </c>
      <c r="T27" s="51" cm="1">
        <f t="array" ref="T27">IF(S27="Yes",TREND($J$27:$J$28,$I$27:$I$28,R27),0)</f>
        <v>0</v>
      </c>
      <c r="U27" s="51" cm="1">
        <f t="array" ref="U27">IF(S27="Yes",TREND($K$27:$K$28,$I$27:$I$28,R27),0)</f>
        <v>0</v>
      </c>
      <c r="V27" s="51" cm="1">
        <f t="array" ref="V27">IF(S27="Yes",TREND($L$27:$L$28,$I$27:$I$28,R27),0)</f>
        <v>0</v>
      </c>
      <c r="W27" s="51" cm="1">
        <f t="array" ref="W27">IF(S27="Yes",TREND($M$27:$M$28,$I$27:$I$28,R27),0)</f>
        <v>0</v>
      </c>
      <c r="X27" s="51" cm="1">
        <f t="array" ref="X27">IF(S27="Yes",TREND($N$27:$N$28,$I$27:$I$28,R27),0)</f>
        <v>0</v>
      </c>
      <c r="Y27" s="78">
        <f t="shared" si="2"/>
        <v>0</v>
      </c>
      <c r="AB27" s="718"/>
      <c r="AC27" s="50">
        <f t="shared" si="6"/>
        <v>2041</v>
      </c>
      <c r="AD27" s="24" t="s">
        <v>623</v>
      </c>
      <c r="AE27" s="24" t="str">
        <f>IF(R27&gt;=Assumptions!$D$14,"Yes","No")</f>
        <v>Yes</v>
      </c>
      <c r="AF27" s="51" cm="1">
        <f t="array" ref="AF27">IF(AC27&lt;=Assumptions!$D$15,IF(AC27&lt;Assumptions!$D$14,TREND('Safety Improvements'!$J$32:$J$33,'Safety Improvements'!$I$32:$I$33,AC27),TREND('Safety Improvements'!$J$34:$J$35,'Safety Improvements'!$I$34:$I$35,'Safety Improvements'!AC27)),0)</f>
        <v>0</v>
      </c>
      <c r="AG27" s="51" cm="1">
        <f t="array" ref="AG27">IF(AC27&lt;=Assumptions!$D$15,IF(AC27&lt;Assumptions!$D$14,TREND('Safety Improvements'!$K$32:$K$33,'Safety Improvements'!$I$32:$I$33,AC27),TREND('Safety Improvements'!$K$34:$K$35,'Safety Improvements'!$I$34:$I$35,'Safety Improvements'!AC27)),0)</f>
        <v>0.14235400000000009</v>
      </c>
      <c r="AH27" s="51" cm="1">
        <f t="array" ref="AH27">IF(AC27&lt;=Assumptions!$D$15,IF(AC27&lt;Assumptions!$D$14,TREND('Safety Improvements'!$L$32:$L$33,'Safety Improvements'!$I$32:$I$33,AC27),TREND('Safety Improvements'!$L$34:$L$35,'Safety Improvements'!$I$34:$I$35,'Safety Improvements'!AC27)),0)</f>
        <v>0</v>
      </c>
      <c r="AI27" s="51" cm="1">
        <f t="array" ref="AI27">IF(AC27&lt;=Assumptions!$D$15,IF(AC27&lt;Assumptions!$D$14,TREND('Safety Improvements'!$M$32:$M$33,'Safety Improvements'!$I$32:$I$33,AC27),TREND('Safety Improvements'!$M$34:$M$35,'Safety Improvements'!$I$34:$I$35,'Safety Improvements'!AC27)),0)</f>
        <v>0</v>
      </c>
      <c r="AJ27" s="51" cm="1">
        <f t="array" ref="AJ27">IF(AC27&lt;=Assumptions!$D$15,IF(AC27&lt;Assumptions!$D$14,TREND('Safety Improvements'!$N$32:$N$33,'Safety Improvements'!$I$32:$I$33,AC27),TREND('Safety Improvements'!$N$34:$N$35,'Safety Improvements'!$I$34:$I$35,'Safety Improvements'!AC27)),0)</f>
        <v>0.28470800000000018</v>
      </c>
      <c r="AK27" s="78">
        <f t="shared" si="3"/>
        <v>81469.194200000042</v>
      </c>
    </row>
    <row r="28" spans="1:37" x14ac:dyDescent="0.25">
      <c r="B28" s="85">
        <f t="shared" si="4"/>
        <v>2048</v>
      </c>
      <c r="C28" s="142">
        <f>IF(B28&lt;=Assumptions!$D$15,IFERROR(_xlfn.XLOOKUP($B28,$R$7:$R$51,$Y$7:$Y$51,0,0,1),0),0)</f>
        <v>0</v>
      </c>
      <c r="D28" s="142">
        <f>IF(B28&lt;=Assumptions!$D$15,IFERROR(_xlfn.XLOOKUP($B28,$AC$7:$AC$51,$AK$7:$AK$51,0,0,1),0),0)</f>
        <v>0</v>
      </c>
      <c r="E28" s="143">
        <f t="shared" si="1"/>
        <v>0</v>
      </c>
      <c r="F28" s="144">
        <f>E28*(1+0.07)^-(B28-Assumptions!$D$11)</f>
        <v>0</v>
      </c>
      <c r="H28" s="25" t="s">
        <v>226</v>
      </c>
      <c r="I28" s="72">
        <f>Assumptions!$D$33</f>
        <v>2028</v>
      </c>
      <c r="J28" s="259">
        <f>TREND($I$14:$I$15,$H$14:$H$15,$I$28)/$I$14*I10/5</f>
        <v>0</v>
      </c>
      <c r="K28" s="259">
        <f>TREND($I$14:$I$15,$H$14:$H$15,$I$28)/$I$14*J10/5</f>
        <v>0.20630000000000015</v>
      </c>
      <c r="L28" s="259">
        <f>TREND($I$14:$I$15,$H$14:$H$15,$I$28)/$I$14*K10/5</f>
        <v>0</v>
      </c>
      <c r="M28" s="259">
        <f>TREND($I$14:$I$15,$H$14:$H$15,$I$28)/$I$14*L10/5</f>
        <v>0</v>
      </c>
      <c r="N28" s="259">
        <f>TREND($I$14:$I$15,$H$14:$H$15,$I$28)/$I$14*M10/5</f>
        <v>0.4126000000000003</v>
      </c>
      <c r="Q28" s="718"/>
      <c r="R28" s="50">
        <f t="shared" si="5"/>
        <v>2042</v>
      </c>
      <c r="S28" s="24" t="str">
        <f>IF(R28+1&lt;=Assumptions!$D$33,"Yes","No")</f>
        <v>No</v>
      </c>
      <c r="T28" s="51" cm="1">
        <f t="array" ref="T28">IF(S28="Yes",TREND($J$27:$J$28,$I$27:$I$28,R28),0)</f>
        <v>0</v>
      </c>
      <c r="U28" s="51" cm="1">
        <f t="array" ref="U28">IF(S28="Yes",TREND($K$27:$K$28,$I$27:$I$28,R28),0)</f>
        <v>0</v>
      </c>
      <c r="V28" s="51" cm="1">
        <f t="array" ref="V28">IF(S28="Yes",TREND($L$27:$L$28,$I$27:$I$28,R28),0)</f>
        <v>0</v>
      </c>
      <c r="W28" s="51" cm="1">
        <f t="array" ref="W28">IF(S28="Yes",TREND($M$27:$M$28,$I$27:$I$28,R28),0)</f>
        <v>0</v>
      </c>
      <c r="X28" s="51" cm="1">
        <f t="array" ref="X28">IF(S28="Yes",TREND($N$27:$N$28,$I$27:$I$28,R28),0)</f>
        <v>0</v>
      </c>
      <c r="Y28" s="78">
        <f t="shared" si="2"/>
        <v>0</v>
      </c>
      <c r="AB28" s="718"/>
      <c r="AC28" s="50">
        <f t="shared" si="6"/>
        <v>2042</v>
      </c>
      <c r="AD28" s="24" t="s">
        <v>623</v>
      </c>
      <c r="AE28" s="24" t="str">
        <f>IF(R28&gt;=Assumptions!$D$14,"Yes","No")</f>
        <v>Yes</v>
      </c>
      <c r="AF28" s="51" cm="1">
        <f t="array" ref="AF28">IF(AC28&lt;=Assumptions!$D$15,IF(AC28&lt;Assumptions!$D$14,TREND('Safety Improvements'!$J$32:$J$33,'Safety Improvements'!$I$32:$I$33,AC28),TREND('Safety Improvements'!$J$34:$J$35,'Safety Improvements'!$I$34:$I$35,'Safety Improvements'!AC28)),0)</f>
        <v>0</v>
      </c>
      <c r="AG28" s="51" cm="1">
        <f t="array" ref="AG28">IF(AC28&lt;=Assumptions!$D$15,IF(AC28&lt;Assumptions!$D$14,TREND('Safety Improvements'!$K$32:$K$33,'Safety Improvements'!$I$32:$I$33,AC28),TREND('Safety Improvements'!$K$34:$K$35,'Safety Improvements'!$I$34:$I$35,'Safety Improvements'!AC28)),0)</f>
        <v>0.14294169999999995</v>
      </c>
      <c r="AH28" s="51" cm="1">
        <f t="array" ref="AH28">IF(AC28&lt;=Assumptions!$D$15,IF(AC28&lt;Assumptions!$D$14,TREND('Safety Improvements'!$L$32:$L$33,'Safety Improvements'!$I$32:$I$33,AC28),TREND('Safety Improvements'!$L$34:$L$35,'Safety Improvements'!$I$34:$I$35,'Safety Improvements'!AC28)),0)</f>
        <v>0</v>
      </c>
      <c r="AI28" s="51" cm="1">
        <f t="array" ref="AI28">IF(AC28&lt;=Assumptions!$D$15,IF(AC28&lt;Assumptions!$D$14,TREND('Safety Improvements'!$M$32:$M$33,'Safety Improvements'!$I$32:$I$33,AC28),TREND('Safety Improvements'!$M$34:$M$35,'Safety Improvements'!$I$34:$I$35,'Safety Improvements'!AC28)),0)</f>
        <v>0</v>
      </c>
      <c r="AJ28" s="51" cm="1">
        <f t="array" ref="AJ28">IF(AC28&lt;=Assumptions!$D$15,IF(AC28&lt;Assumptions!$D$14,TREND('Safety Improvements'!$N$32:$N$33,'Safety Improvements'!$I$32:$I$33,AC28),TREND('Safety Improvements'!$N$34:$N$35,'Safety Improvements'!$I$34:$I$35,'Safety Improvements'!AC28)),0)</f>
        <v>0.2858833999999999</v>
      </c>
      <c r="AK28" s="78">
        <f t="shared" si="3"/>
        <v>81805.534909999973</v>
      </c>
    </row>
    <row r="29" spans="1:37" ht="15" customHeight="1" x14ac:dyDescent="0.25">
      <c r="B29" s="85">
        <f t="shared" si="4"/>
        <v>2049</v>
      </c>
      <c r="C29" s="142">
        <f>IF(B29&lt;=Assumptions!$D$15,IFERROR(_xlfn.XLOOKUP($B29,$R$7:$R$51,$Y$7:$Y$51,0,0,1),0),0)</f>
        <v>0</v>
      </c>
      <c r="D29" s="142">
        <f>IF(B29&lt;=Assumptions!$D$15,IFERROR(_xlfn.XLOOKUP($B29,$AC$7:$AC$51,$AK$7:$AK$51,0,0,1),0),0)</f>
        <v>0</v>
      </c>
      <c r="E29" s="143">
        <f t="shared" si="1"/>
        <v>0</v>
      </c>
      <c r="F29" s="144">
        <f>E29*(1+0.07)^-(B29-Assumptions!$D$11)</f>
        <v>0</v>
      </c>
      <c r="G29" s="258"/>
      <c r="Q29" s="718"/>
      <c r="R29" s="50">
        <f t="shared" si="5"/>
        <v>2043</v>
      </c>
      <c r="S29" s="24" t="str">
        <f>IF(R29+1&lt;=Assumptions!$D$33,"Yes","No")</f>
        <v>No</v>
      </c>
      <c r="T29" s="51" cm="1">
        <f t="array" ref="T29">IF(S29="Yes",TREND($J$27:$J$28,$I$27:$I$28,R29),0)</f>
        <v>0</v>
      </c>
      <c r="U29" s="51" cm="1">
        <f t="array" ref="U29">IF(S29="Yes",TREND($K$27:$K$28,$I$27:$I$28,R29),0)</f>
        <v>0</v>
      </c>
      <c r="V29" s="51" cm="1">
        <f t="array" ref="V29">IF(S29="Yes",TREND($L$27:$L$28,$I$27:$I$28,R29),0)</f>
        <v>0</v>
      </c>
      <c r="W29" s="51" cm="1">
        <f t="array" ref="W29">IF(S29="Yes",TREND($M$27:$M$28,$I$27:$I$28,R29),0)</f>
        <v>0</v>
      </c>
      <c r="X29" s="51" cm="1">
        <f t="array" ref="X29">IF(S29="Yes",TREND($N$27:$N$28,$I$27:$I$28,R29),0)</f>
        <v>0</v>
      </c>
      <c r="Y29" s="78">
        <f t="shared" si="2"/>
        <v>0</v>
      </c>
      <c r="AB29" s="718"/>
      <c r="AC29" s="50">
        <f t="shared" si="6"/>
        <v>2043</v>
      </c>
      <c r="AD29" s="24" t="s">
        <v>623</v>
      </c>
      <c r="AE29" s="24" t="str">
        <f>IF(R29&gt;=Assumptions!$D$14,"Yes","No")</f>
        <v>Yes</v>
      </c>
      <c r="AF29" s="51" cm="1">
        <f t="array" ref="AF29">IF(AC29&lt;=Assumptions!$D$15,IF(AC29&lt;Assumptions!$D$14,TREND('Safety Improvements'!$J$32:$J$33,'Safety Improvements'!$I$32:$I$33,AC29),TREND('Safety Improvements'!$J$34:$J$35,'Safety Improvements'!$I$34:$I$35,'Safety Improvements'!AC29)),0)</f>
        <v>0</v>
      </c>
      <c r="AG29" s="51" cm="1">
        <f t="array" ref="AG29">IF(AC29&lt;=Assumptions!$D$15,IF(AC29&lt;Assumptions!$D$14,TREND('Safety Improvements'!$K$32:$K$33,'Safety Improvements'!$I$32:$I$33,AC29),TREND('Safety Improvements'!$K$34:$K$35,'Safety Improvements'!$I$34:$I$35,'Safety Improvements'!AC29)),0)</f>
        <v>0.14352940000000003</v>
      </c>
      <c r="AH29" s="51" cm="1">
        <f t="array" ref="AH29">IF(AC29&lt;=Assumptions!$D$15,IF(AC29&lt;Assumptions!$D$14,TREND('Safety Improvements'!$L$32:$L$33,'Safety Improvements'!$I$32:$I$33,AC29),TREND('Safety Improvements'!$L$34:$L$35,'Safety Improvements'!$I$34:$I$35,'Safety Improvements'!AC29)),0)</f>
        <v>0</v>
      </c>
      <c r="AI29" s="51" cm="1">
        <f t="array" ref="AI29">IF(AC29&lt;=Assumptions!$D$15,IF(AC29&lt;Assumptions!$D$14,TREND('Safety Improvements'!$M$32:$M$33,'Safety Improvements'!$I$32:$I$33,AC29),TREND('Safety Improvements'!$M$34:$M$35,'Safety Improvements'!$I$34:$I$35,'Safety Improvements'!AC29)),0)</f>
        <v>0</v>
      </c>
      <c r="AJ29" s="51" cm="1">
        <f t="array" ref="AJ29">IF(AC29&lt;=Assumptions!$D$15,IF(AC29&lt;Assumptions!$D$14,TREND('Safety Improvements'!$N$32:$N$33,'Safety Improvements'!$I$32:$I$33,AC29),TREND('Safety Improvements'!$N$34:$N$35,'Safety Improvements'!$I$34:$I$35,'Safety Improvements'!AC29)),0)</f>
        <v>0.28705880000000006</v>
      </c>
      <c r="AK29" s="78">
        <f t="shared" si="3"/>
        <v>82141.875620000006</v>
      </c>
    </row>
    <row r="30" spans="1:37" ht="15.75" customHeight="1" x14ac:dyDescent="0.25">
      <c r="B30" s="85">
        <f t="shared" si="4"/>
        <v>2050</v>
      </c>
      <c r="C30" s="142">
        <f>IF(B30&lt;=Assumptions!$D$15,IFERROR(_xlfn.XLOOKUP($B30,$R$7:$R$51,$Y$7:$Y$51,0,0,1),0),0)</f>
        <v>0</v>
      </c>
      <c r="D30" s="142">
        <f>IF(B30&lt;=Assumptions!$D$15,IFERROR(_xlfn.XLOOKUP($B30,$AC$7:$AC$51,$AK$7:$AK$51,0,0,1),0),0)</f>
        <v>0</v>
      </c>
      <c r="E30" s="143">
        <f t="shared" si="1"/>
        <v>0</v>
      </c>
      <c r="F30" s="144">
        <f>E30*(1+0.07)^-(B30-Assumptions!$D$11)</f>
        <v>0</v>
      </c>
      <c r="G30" s="258"/>
      <c r="H30" s="1" t="s">
        <v>619</v>
      </c>
      <c r="K30" s="1"/>
      <c r="L30" s="1"/>
      <c r="M30" s="1"/>
      <c r="N30" s="1"/>
      <c r="Q30" s="718"/>
      <c r="R30" s="50">
        <f t="shared" si="5"/>
        <v>2044</v>
      </c>
      <c r="S30" s="24" t="str">
        <f>IF(R30+1&lt;=Assumptions!$D$33,"Yes","No")</f>
        <v>No</v>
      </c>
      <c r="T30" s="51" cm="1">
        <f t="array" ref="T30">IF(S30="Yes",TREND($J$27:$J$28,$I$27:$I$28,R30),0)</f>
        <v>0</v>
      </c>
      <c r="U30" s="51" cm="1">
        <f t="array" ref="U30">IF(S30="Yes",TREND($K$27:$K$28,$I$27:$I$28,R30),0)</f>
        <v>0</v>
      </c>
      <c r="V30" s="51" cm="1">
        <f t="array" ref="V30">IF(S30="Yes",TREND($L$27:$L$28,$I$27:$I$28,R30),0)</f>
        <v>0</v>
      </c>
      <c r="W30" s="51" cm="1">
        <f t="array" ref="W30">IF(S30="Yes",TREND($M$27:$M$28,$I$27:$I$28,R30),0)</f>
        <v>0</v>
      </c>
      <c r="X30" s="51" cm="1">
        <f t="array" ref="X30">IF(S30="Yes",TREND($N$27:$N$28,$I$27:$I$28,R30),0)</f>
        <v>0</v>
      </c>
      <c r="Y30" s="78">
        <f t="shared" si="2"/>
        <v>0</v>
      </c>
      <c r="AB30" s="718"/>
      <c r="AC30" s="50">
        <f t="shared" si="6"/>
        <v>2044</v>
      </c>
      <c r="AD30" s="24" t="s">
        <v>623</v>
      </c>
      <c r="AE30" s="24" t="str">
        <f>IF(R30&gt;=Assumptions!$D$14,"Yes","No")</f>
        <v>Yes</v>
      </c>
      <c r="AF30" s="51" cm="1">
        <f t="array" ref="AF30">IF(AC30&lt;=Assumptions!$D$15,IF(AC30&lt;Assumptions!$D$14,TREND('Safety Improvements'!$J$32:$J$33,'Safety Improvements'!$I$32:$I$33,AC30),TREND('Safety Improvements'!$J$34:$J$35,'Safety Improvements'!$I$34:$I$35,'Safety Improvements'!AC30)),0)</f>
        <v>0</v>
      </c>
      <c r="AG30" s="51" cm="1">
        <f t="array" ref="AG30">IF(AC30&lt;=Assumptions!$D$15,IF(AC30&lt;Assumptions!$D$14,TREND('Safety Improvements'!$K$32:$K$33,'Safety Improvements'!$I$32:$I$33,AC30),TREND('Safety Improvements'!$K$34:$K$35,'Safety Improvements'!$I$34:$I$35,'Safety Improvements'!AC30)),0)</f>
        <v>0.14411709999999989</v>
      </c>
      <c r="AH30" s="51" cm="1">
        <f t="array" ref="AH30">IF(AC30&lt;=Assumptions!$D$15,IF(AC30&lt;Assumptions!$D$14,TREND('Safety Improvements'!$L$32:$L$33,'Safety Improvements'!$I$32:$I$33,AC30),TREND('Safety Improvements'!$L$34:$L$35,'Safety Improvements'!$I$34:$I$35,'Safety Improvements'!AC30)),0)</f>
        <v>0</v>
      </c>
      <c r="AI30" s="51" cm="1">
        <f t="array" ref="AI30">IF(AC30&lt;=Assumptions!$D$15,IF(AC30&lt;Assumptions!$D$14,TREND('Safety Improvements'!$M$32:$M$33,'Safety Improvements'!$I$32:$I$33,AC30),TREND('Safety Improvements'!$M$34:$M$35,'Safety Improvements'!$I$34:$I$35,'Safety Improvements'!AC30)),0)</f>
        <v>0</v>
      </c>
      <c r="AJ30" s="51" cm="1">
        <f t="array" ref="AJ30">IF(AC30&lt;=Assumptions!$D$15,IF(AC30&lt;Assumptions!$D$14,TREND('Safety Improvements'!$N$32:$N$33,'Safety Improvements'!$I$32:$I$33,AC30),TREND('Safety Improvements'!$N$34:$N$35,'Safety Improvements'!$I$34:$I$35,'Safety Improvements'!AC30)),0)</f>
        <v>0.28823419999999977</v>
      </c>
      <c r="AK30" s="78">
        <f t="shared" si="3"/>
        <v>82478.216329999937</v>
      </c>
    </row>
    <row r="31" spans="1:37" ht="15" customHeight="1" x14ac:dyDescent="0.25">
      <c r="B31" s="85">
        <f t="shared" si="4"/>
        <v>2051</v>
      </c>
      <c r="C31" s="142">
        <f>IF(B31&lt;=Assumptions!$D$15,IFERROR(_xlfn.XLOOKUP($B31,$R$7:$R$51,$Y$7:$Y$51,0,0,1),0),0)</f>
        <v>0</v>
      </c>
      <c r="D31" s="142">
        <f>IF(B31&lt;=Assumptions!$D$15,IFERROR(_xlfn.XLOOKUP($B31,$AC$7:$AC$51,$AK$7:$AK$51,0,0,1),0),0)</f>
        <v>0</v>
      </c>
      <c r="E31" s="143">
        <f t="shared" si="1"/>
        <v>0</v>
      </c>
      <c r="F31" s="144">
        <f>E31*(1+0.07)^-(B31-Assumptions!$D$11)</f>
        <v>0</v>
      </c>
      <c r="G31" s="258"/>
      <c r="H31" s="24" t="s">
        <v>30</v>
      </c>
      <c r="I31" s="24" t="s">
        <v>30</v>
      </c>
      <c r="J31" s="24" t="s">
        <v>17</v>
      </c>
      <c r="K31" s="32" t="s">
        <v>18</v>
      </c>
      <c r="L31" s="32" t="s">
        <v>19</v>
      </c>
      <c r="M31" s="32" t="s">
        <v>20</v>
      </c>
      <c r="N31" s="32" t="s">
        <v>21</v>
      </c>
      <c r="Q31" s="718"/>
      <c r="R31" s="50">
        <f t="shared" si="5"/>
        <v>2045</v>
      </c>
      <c r="S31" s="24" t="str">
        <f>IF(R31+1&lt;=Assumptions!$D$33,"Yes","No")</f>
        <v>No</v>
      </c>
      <c r="T31" s="51" cm="1">
        <f t="array" ref="T31">IF(S31="Yes",TREND($J$27:$J$28,$I$27:$I$28,R31),0)</f>
        <v>0</v>
      </c>
      <c r="U31" s="51" cm="1">
        <f t="array" ref="U31">IF(S31="Yes",TREND($K$27:$K$28,$I$27:$I$28,R31),0)</f>
        <v>0</v>
      </c>
      <c r="V31" s="51" cm="1">
        <f t="array" ref="V31">IF(S31="Yes",TREND($L$27:$L$28,$I$27:$I$28,R31),0)</f>
        <v>0</v>
      </c>
      <c r="W31" s="51" cm="1">
        <f t="array" ref="W31">IF(S31="Yes",TREND($M$27:$M$28,$I$27:$I$28,R31),0)</f>
        <v>0</v>
      </c>
      <c r="X31" s="51" cm="1">
        <f t="array" ref="X31">IF(S31="Yes",TREND($N$27:$N$28,$I$27:$I$28,R31),0)</f>
        <v>0</v>
      </c>
      <c r="Y31" s="78">
        <f t="shared" si="2"/>
        <v>0</v>
      </c>
      <c r="AB31" s="718"/>
      <c r="AC31" s="50">
        <f t="shared" si="6"/>
        <v>2045</v>
      </c>
      <c r="AD31" s="24" t="s">
        <v>623</v>
      </c>
      <c r="AE31" s="24" t="str">
        <f>IF(R31&gt;=Assumptions!$D$14,"Yes","No")</f>
        <v>Yes</v>
      </c>
      <c r="AF31" s="51" cm="1">
        <f t="array" ref="AF31">IF(AC31&lt;=Assumptions!$D$15,IF(AC31&lt;Assumptions!$D$14,TREND('Safety Improvements'!$J$32:$J$33,'Safety Improvements'!$I$32:$I$33,AC31),TREND('Safety Improvements'!$J$34:$J$35,'Safety Improvements'!$I$34:$I$35,'Safety Improvements'!AC31)),0)</f>
        <v>0</v>
      </c>
      <c r="AG31" s="51" cm="1">
        <f t="array" ref="AG31">IF(AC31&lt;=Assumptions!$D$15,IF(AC31&lt;Assumptions!$D$14,TREND('Safety Improvements'!$K$32:$K$33,'Safety Improvements'!$I$32:$I$33,AC31),TREND('Safety Improvements'!$K$34:$K$35,'Safety Improvements'!$I$34:$I$35,'Safety Improvements'!AC31)),0)</f>
        <v>0.14470479999999997</v>
      </c>
      <c r="AH31" s="51" cm="1">
        <f t="array" ref="AH31">IF(AC31&lt;=Assumptions!$D$15,IF(AC31&lt;Assumptions!$D$14,TREND('Safety Improvements'!$L$32:$L$33,'Safety Improvements'!$I$32:$I$33,AC31),TREND('Safety Improvements'!$L$34:$L$35,'Safety Improvements'!$I$34:$I$35,'Safety Improvements'!AC31)),0)</f>
        <v>0</v>
      </c>
      <c r="AI31" s="51" cm="1">
        <f t="array" ref="AI31">IF(AC31&lt;=Assumptions!$D$15,IF(AC31&lt;Assumptions!$D$14,TREND('Safety Improvements'!$M$32:$M$33,'Safety Improvements'!$I$32:$I$33,AC31),TREND('Safety Improvements'!$M$34:$M$35,'Safety Improvements'!$I$34:$I$35,'Safety Improvements'!AC31)),0)</f>
        <v>0</v>
      </c>
      <c r="AJ31" s="51" cm="1">
        <f t="array" ref="AJ31">IF(AC31&lt;=Assumptions!$D$15,IF(AC31&lt;Assumptions!$D$14,TREND('Safety Improvements'!$N$32:$N$33,'Safety Improvements'!$I$32:$I$33,AC31),TREND('Safety Improvements'!$N$34:$N$35,'Safety Improvements'!$I$34:$I$35,'Safety Improvements'!AC31)),0)</f>
        <v>0.28940959999999993</v>
      </c>
      <c r="AK31" s="78">
        <f t="shared" si="3"/>
        <v>82814.557039999971</v>
      </c>
    </row>
    <row r="32" spans="1:37" ht="15" customHeight="1" x14ac:dyDescent="0.25">
      <c r="A32" s="2"/>
      <c r="B32" s="85">
        <f t="shared" si="4"/>
        <v>2052</v>
      </c>
      <c r="C32" s="142">
        <f>IF(B32&lt;=Assumptions!$D$15,IFERROR(_xlfn.XLOOKUP($B32,$R$7:$R$51,$Y$7:$Y$51,0,0,1),0),0)</f>
        <v>0</v>
      </c>
      <c r="D32" s="142">
        <f>IF(B32&lt;=Assumptions!$D$15,IFERROR(_xlfn.XLOOKUP($B32,$AC$7:$AC$51,$AK$7:$AK$51,0,0,1),0),0)</f>
        <v>0</v>
      </c>
      <c r="E32" s="143">
        <f t="shared" si="1"/>
        <v>0</v>
      </c>
      <c r="F32" s="144">
        <f>E32*(1+0.07)^-(B32-Assumptions!$D$11)</f>
        <v>0</v>
      </c>
      <c r="H32" s="25" t="s">
        <v>621</v>
      </c>
      <c r="I32" s="72">
        <f>Assumptions!$C$34</f>
        <v>2021</v>
      </c>
      <c r="J32" s="259">
        <f>I10/5</f>
        <v>0</v>
      </c>
      <c r="K32" s="259">
        <f>J10/5</f>
        <v>0.2</v>
      </c>
      <c r="L32" s="259">
        <f>K10/5</f>
        <v>0</v>
      </c>
      <c r="M32" s="259">
        <f>L10/5</f>
        <v>0</v>
      </c>
      <c r="N32" s="259">
        <f>M10/5</f>
        <v>0.4</v>
      </c>
      <c r="Q32" s="718"/>
      <c r="R32" s="50">
        <f t="shared" si="5"/>
        <v>2046</v>
      </c>
      <c r="S32" s="24" t="str">
        <f>IF(R32+1&lt;=Assumptions!$D$33,"Yes","No")</f>
        <v>No</v>
      </c>
      <c r="T32" s="51" cm="1">
        <f t="array" ref="T32">IF(S32="Yes",TREND($J$27:$J$28,$I$27:$I$28,R32),0)</f>
        <v>0</v>
      </c>
      <c r="U32" s="51" cm="1">
        <f t="array" ref="U32">IF(S32="Yes",TREND($K$27:$K$28,$I$27:$I$28,R32),0)</f>
        <v>0</v>
      </c>
      <c r="V32" s="51" cm="1">
        <f t="array" ref="V32">IF(S32="Yes",TREND($L$27:$L$28,$I$27:$I$28,R32),0)</f>
        <v>0</v>
      </c>
      <c r="W32" s="51" cm="1">
        <f t="array" ref="W32">IF(S32="Yes",TREND($M$27:$M$28,$I$27:$I$28,R32),0)</f>
        <v>0</v>
      </c>
      <c r="X32" s="51" cm="1">
        <f t="array" ref="X32">IF(S32="Yes",TREND($N$27:$N$28,$I$27:$I$28,R32),0)</f>
        <v>0</v>
      </c>
      <c r="Y32" s="78">
        <f t="shared" si="2"/>
        <v>0</v>
      </c>
      <c r="AB32" s="718"/>
      <c r="AC32" s="50">
        <f t="shared" si="6"/>
        <v>2046</v>
      </c>
      <c r="AD32" s="24" t="s">
        <v>623</v>
      </c>
      <c r="AE32" s="24" t="str">
        <f>IF(R32&gt;=Assumptions!$D$14,"Yes","No")</f>
        <v>Yes</v>
      </c>
      <c r="AF32" s="51" cm="1">
        <f t="array" ref="AF32">IF(AC32&lt;=Assumptions!$D$15,IF(AC32&lt;Assumptions!$D$14,TREND('Safety Improvements'!$J$32:$J$33,'Safety Improvements'!$I$32:$I$33,AC32),TREND('Safety Improvements'!$J$34:$J$35,'Safety Improvements'!$I$34:$I$35,'Safety Improvements'!AC32)),0)</f>
        <v>0</v>
      </c>
      <c r="AG32" s="51" cm="1">
        <f t="array" ref="AG32">IF(AC32&lt;=Assumptions!$D$15,IF(AC32&lt;Assumptions!$D$14,TREND('Safety Improvements'!$K$32:$K$33,'Safety Improvements'!$I$32:$I$33,AC32),TREND('Safety Improvements'!$K$34:$K$35,'Safety Improvements'!$I$34:$I$35,'Safety Improvements'!AC32)),0)</f>
        <v>0</v>
      </c>
      <c r="AH32" s="51" cm="1">
        <f t="array" ref="AH32">IF(AC32&lt;=Assumptions!$D$15,IF(AC32&lt;Assumptions!$D$14,TREND('Safety Improvements'!$L$32:$L$33,'Safety Improvements'!$I$32:$I$33,AC32),TREND('Safety Improvements'!$L$34:$L$35,'Safety Improvements'!$I$34:$I$35,'Safety Improvements'!AC32)),0)</f>
        <v>0</v>
      </c>
      <c r="AI32" s="51" cm="1">
        <f t="array" ref="AI32">IF(AC32&lt;=Assumptions!$D$15,IF(AC32&lt;Assumptions!$D$14,TREND('Safety Improvements'!$M$32:$M$33,'Safety Improvements'!$I$32:$I$33,AC32),TREND('Safety Improvements'!$M$34:$M$35,'Safety Improvements'!$I$34:$I$35,'Safety Improvements'!AC32)),0)</f>
        <v>0</v>
      </c>
      <c r="AJ32" s="51" cm="1">
        <f t="array" ref="AJ32">IF(AC32&lt;=Assumptions!$D$15,IF(AC32&lt;Assumptions!$D$14,TREND('Safety Improvements'!$N$32:$N$33,'Safety Improvements'!$I$32:$I$33,AC32),TREND('Safety Improvements'!$N$34:$N$35,'Safety Improvements'!$I$34:$I$35,'Safety Improvements'!AC32)),0)</f>
        <v>0</v>
      </c>
      <c r="AK32" s="78">
        <f t="shared" si="3"/>
        <v>0</v>
      </c>
    </row>
    <row r="33" spans="1:38" ht="15" customHeight="1" thickBot="1" x14ac:dyDescent="0.3">
      <c r="B33" s="85">
        <f t="shared" si="4"/>
        <v>2053</v>
      </c>
      <c r="C33" s="142">
        <f>IF(B33&lt;=Assumptions!$D$15,IFERROR(_xlfn.XLOOKUP($B33,$R$7:$R$51,$Y$7:$Y$51,0,0,1),0),0)</f>
        <v>0</v>
      </c>
      <c r="D33" s="142">
        <f>IF(B33&lt;=Assumptions!$D$15,IFERROR(_xlfn.XLOOKUP($B33,$AC$7:$AC$51,$AK$7:$AK$51,0,0,1),0),0)</f>
        <v>0</v>
      </c>
      <c r="E33" s="143">
        <f t="shared" si="1"/>
        <v>0</v>
      </c>
      <c r="F33" s="144">
        <f>E33*(1+0.07)^-(B33-Assumptions!$D$11)</f>
        <v>0</v>
      </c>
      <c r="H33" s="266" t="s">
        <v>834</v>
      </c>
      <c r="I33" s="651">
        <f>Assumptions!$D$14-1</f>
        <v>2025</v>
      </c>
      <c r="J33" s="264">
        <f>TREND($I$14:$I$15,$H$14:$H$15,$I$33)/$I$14*I10/5</f>
        <v>0</v>
      </c>
      <c r="K33" s="264">
        <f>TREND($I$14:$I$15,$H$14:$H$15,$I$33)/$I$14*J10/5</f>
        <v>0.20360000000000014</v>
      </c>
      <c r="L33" s="264">
        <f>TREND($I$14:$I$15,$H$14:$H$15,$I$33)/$I$14*K10/5</f>
        <v>0</v>
      </c>
      <c r="M33" s="264">
        <f>TREND($I$14:$I$15,$H$14:$H$15,$I$33)/$I$14*L10/5</f>
        <v>0</v>
      </c>
      <c r="N33" s="264">
        <f>TREND($I$14:$I$15,$H$14:$H$15,$I$33)/$I$14*M10/5</f>
        <v>0.40720000000000028</v>
      </c>
      <c r="Q33" s="718"/>
      <c r="R33" s="50">
        <f t="shared" si="5"/>
        <v>2047</v>
      </c>
      <c r="S33" s="24" t="str">
        <f>IF(R33+1&lt;=Assumptions!$D$33,"Yes","No")</f>
        <v>No</v>
      </c>
      <c r="T33" s="51" cm="1">
        <f t="array" ref="T33">IF(S33="Yes",TREND($J$27:$J$28,$I$27:$I$28,R33),0)</f>
        <v>0</v>
      </c>
      <c r="U33" s="51" cm="1">
        <f t="array" ref="U33">IF(S33="Yes",TREND($K$27:$K$28,$I$27:$I$28,R33),0)</f>
        <v>0</v>
      </c>
      <c r="V33" s="51" cm="1">
        <f t="array" ref="V33">IF(S33="Yes",TREND($L$27:$L$28,$I$27:$I$28,R33),0)</f>
        <v>0</v>
      </c>
      <c r="W33" s="51" cm="1">
        <f t="array" ref="W33">IF(S33="Yes",TREND($M$27:$M$28,$I$27:$I$28,R33),0)</f>
        <v>0</v>
      </c>
      <c r="X33" s="51" cm="1">
        <f t="array" ref="X33">IF(S33="Yes",TREND($N$27:$N$28,$I$27:$I$28,R33),0)</f>
        <v>0</v>
      </c>
      <c r="Y33" s="78">
        <f t="shared" si="2"/>
        <v>0</v>
      </c>
      <c r="AB33" s="718"/>
      <c r="AC33" s="50">
        <f t="shared" si="6"/>
        <v>2047</v>
      </c>
      <c r="AD33" s="24" t="s">
        <v>623</v>
      </c>
      <c r="AE33" s="24" t="str">
        <f>IF(R33&gt;=Assumptions!$D$14,"Yes","No")</f>
        <v>Yes</v>
      </c>
      <c r="AF33" s="51" cm="1">
        <f t="array" ref="AF33">IF(AC33&lt;=Assumptions!$D$15,IF(AC33&lt;Assumptions!$D$14,TREND('Safety Improvements'!$J$32:$J$33,'Safety Improvements'!$I$32:$I$33,AC33),TREND('Safety Improvements'!$J$34:$J$35,'Safety Improvements'!$I$34:$I$35,'Safety Improvements'!AC33)),0)</f>
        <v>0</v>
      </c>
      <c r="AG33" s="51" cm="1">
        <f t="array" ref="AG33">IF(AC33&lt;=Assumptions!$D$15,IF(AC33&lt;Assumptions!$D$14,TREND('Safety Improvements'!$K$32:$K$33,'Safety Improvements'!$I$32:$I$33,AC33),TREND('Safety Improvements'!$K$34:$K$35,'Safety Improvements'!$I$34:$I$35,'Safety Improvements'!AC33)),0)</f>
        <v>0</v>
      </c>
      <c r="AH33" s="51" cm="1">
        <f t="array" ref="AH33">IF(AC33&lt;=Assumptions!$D$15,IF(AC33&lt;Assumptions!$D$14,TREND('Safety Improvements'!$L$32:$L$33,'Safety Improvements'!$I$32:$I$33,AC33),TREND('Safety Improvements'!$L$34:$L$35,'Safety Improvements'!$I$34:$I$35,'Safety Improvements'!AC33)),0)</f>
        <v>0</v>
      </c>
      <c r="AI33" s="51" cm="1">
        <f t="array" ref="AI33">IF(AC33&lt;=Assumptions!$D$15,IF(AC33&lt;Assumptions!$D$14,TREND('Safety Improvements'!$M$32:$M$33,'Safety Improvements'!$I$32:$I$33,AC33),TREND('Safety Improvements'!$M$34:$M$35,'Safety Improvements'!$I$34:$I$35,'Safety Improvements'!AC33)),0)</f>
        <v>0</v>
      </c>
      <c r="AJ33" s="51" cm="1">
        <f t="array" ref="AJ33">IF(AC33&lt;=Assumptions!$D$15,IF(AC33&lt;Assumptions!$D$14,TREND('Safety Improvements'!$N$32:$N$33,'Safety Improvements'!$I$32:$I$33,AC33),TREND('Safety Improvements'!$N$34:$N$35,'Safety Improvements'!$I$34:$I$35,'Safety Improvements'!AC33)),0)</f>
        <v>0</v>
      </c>
      <c r="AK33" s="78">
        <f t="shared" si="3"/>
        <v>0</v>
      </c>
    </row>
    <row r="34" spans="1:38" ht="15" customHeight="1" thickTop="1" x14ac:dyDescent="0.25">
      <c r="B34" s="85">
        <f t="shared" si="4"/>
        <v>2054</v>
      </c>
      <c r="C34" s="142">
        <f>IF(B34&lt;=Assumptions!$D$15,IFERROR(_xlfn.XLOOKUP($B34,$R$7:$R$51,$Y$7:$Y$51,0,0,1),0),0)</f>
        <v>0</v>
      </c>
      <c r="D34" s="142">
        <f>IF(B34&lt;=Assumptions!$D$15,IFERROR(_xlfn.XLOOKUP($B34,$AC$7:$AC$51,$AK$7:$AK$51,0,0,1),0),0)</f>
        <v>0</v>
      </c>
      <c r="E34" s="143">
        <f t="shared" si="1"/>
        <v>0</v>
      </c>
      <c r="F34" s="144">
        <f>E34*(1+0.07)^-(B34-Assumptions!$D$11)</f>
        <v>0</v>
      </c>
      <c r="H34" s="267" t="s">
        <v>835</v>
      </c>
      <c r="I34" s="72">
        <f>Assumptions!$D$14</f>
        <v>2026</v>
      </c>
      <c r="J34" s="259">
        <f>TREND($I$14:$I$15,$H$14:$H$15,$I$34)/$I$14*I10/5*$I$20</f>
        <v>0</v>
      </c>
      <c r="K34" s="259">
        <f>TREND($I$14:$I$15,$H$14:$H$15,$I$34)/$I$14*J10/5*$I$20</f>
        <v>0.13353850000000014</v>
      </c>
      <c r="L34" s="259">
        <f>TREND($I$14:$I$15,$H$14:$H$15,$I$34)/$I$14*K10/5*$I$20</f>
        <v>0</v>
      </c>
      <c r="M34" s="259">
        <f>TREND($I$14:$I$15,$H$14:$H$15,$I$34)/$I$14*L10/5*$I$20</f>
        <v>0</v>
      </c>
      <c r="N34" s="259">
        <f>TREND($I$14:$I$15,$H$14:$H$15,$I$34)/$I$14*M10/5*$I$20</f>
        <v>0.26707700000000029</v>
      </c>
      <c r="Q34" s="718"/>
      <c r="R34" s="50">
        <f t="shared" si="5"/>
        <v>2048</v>
      </c>
      <c r="S34" s="24" t="str">
        <f>IF(R34+1&lt;=Assumptions!$D$33,"Yes","No")</f>
        <v>No</v>
      </c>
      <c r="T34" s="51" cm="1">
        <f t="array" ref="T34">IF(S34="Yes",TREND($J$27:$J$28,$I$27:$I$28,R34),0)</f>
        <v>0</v>
      </c>
      <c r="U34" s="51" cm="1">
        <f t="array" ref="U34">IF(S34="Yes",TREND($K$27:$K$28,$I$27:$I$28,R34),0)</f>
        <v>0</v>
      </c>
      <c r="V34" s="51" cm="1">
        <f t="array" ref="V34">IF(S34="Yes",TREND($L$27:$L$28,$I$27:$I$28,R34),0)</f>
        <v>0</v>
      </c>
      <c r="W34" s="51" cm="1">
        <f t="array" ref="W34">IF(S34="Yes",TREND($M$27:$M$28,$I$27:$I$28,R34),0)</f>
        <v>0</v>
      </c>
      <c r="X34" s="51" cm="1">
        <f t="array" ref="X34">IF(S34="Yes",TREND($N$27:$N$28,$I$27:$I$28,R34),0)</f>
        <v>0</v>
      </c>
      <c r="Y34" s="78">
        <f t="shared" si="2"/>
        <v>0</v>
      </c>
      <c r="AB34" s="718"/>
      <c r="AC34" s="50">
        <f t="shared" si="6"/>
        <v>2048</v>
      </c>
      <c r="AD34" s="24" t="s">
        <v>623</v>
      </c>
      <c r="AE34" s="24" t="str">
        <f>IF(R34&gt;=Assumptions!$D$14,"Yes","No")</f>
        <v>Yes</v>
      </c>
      <c r="AF34" s="51" cm="1">
        <f t="array" ref="AF34">IF(AC34&lt;=Assumptions!$D$15,IF(AC34&lt;Assumptions!$D$14,TREND('Safety Improvements'!$J$32:$J$33,'Safety Improvements'!$I$32:$I$33,AC34),TREND('Safety Improvements'!$J$34:$J$35,'Safety Improvements'!$I$34:$I$35,'Safety Improvements'!AC34)),0)</f>
        <v>0</v>
      </c>
      <c r="AG34" s="51" cm="1">
        <f t="array" ref="AG34">IF(AC34&lt;=Assumptions!$D$15,IF(AC34&lt;Assumptions!$D$14,TREND('Safety Improvements'!$K$32:$K$33,'Safety Improvements'!$I$32:$I$33,AC34),TREND('Safety Improvements'!$K$34:$K$35,'Safety Improvements'!$I$34:$I$35,'Safety Improvements'!AC34)),0)</f>
        <v>0</v>
      </c>
      <c r="AH34" s="51" cm="1">
        <f t="array" ref="AH34">IF(AC34&lt;=Assumptions!$D$15,IF(AC34&lt;Assumptions!$D$14,TREND('Safety Improvements'!$L$32:$L$33,'Safety Improvements'!$I$32:$I$33,AC34),TREND('Safety Improvements'!$L$34:$L$35,'Safety Improvements'!$I$34:$I$35,'Safety Improvements'!AC34)),0)</f>
        <v>0</v>
      </c>
      <c r="AI34" s="51" cm="1">
        <f t="array" ref="AI34">IF(AC34&lt;=Assumptions!$D$15,IF(AC34&lt;Assumptions!$D$14,TREND('Safety Improvements'!$M$32:$M$33,'Safety Improvements'!$I$32:$I$33,AC34),TREND('Safety Improvements'!$M$34:$M$35,'Safety Improvements'!$I$34:$I$35,'Safety Improvements'!AC34)),0)</f>
        <v>0</v>
      </c>
      <c r="AJ34" s="51" cm="1">
        <f t="array" ref="AJ34">IF(AC34&lt;=Assumptions!$D$15,IF(AC34&lt;Assumptions!$D$14,TREND('Safety Improvements'!$N$32:$N$33,'Safety Improvements'!$I$32:$I$33,AC34),TREND('Safety Improvements'!$N$34:$N$35,'Safety Improvements'!$I$34:$I$35,'Safety Improvements'!AC34)),0)</f>
        <v>0</v>
      </c>
      <c r="AK34" s="78">
        <f t="shared" si="3"/>
        <v>0</v>
      </c>
    </row>
    <row r="35" spans="1:38" ht="15" customHeight="1" thickBot="1" x14ac:dyDescent="0.3">
      <c r="B35" s="86">
        <f t="shared" si="4"/>
        <v>2055</v>
      </c>
      <c r="C35" s="145">
        <f>IF(B35&lt;=Assumptions!$D$15,IFERROR(_xlfn.XLOOKUP($B35,$R$7:$R$51,$Y$7:$Y$51,0,0,1),0),0)</f>
        <v>0</v>
      </c>
      <c r="D35" s="145">
        <f>IF(B35&lt;=Assumptions!$D$15,IFERROR(_xlfn.XLOOKUP($B35,$AC$7:$AC$51,$AK$7:$AK$51,0,0,1),0),0)</f>
        <v>0</v>
      </c>
      <c r="E35" s="146">
        <f t="shared" si="1"/>
        <v>0</v>
      </c>
      <c r="F35" s="147">
        <f>E35*(1+0.07)^-(B35-Assumptions!$D$11)</f>
        <v>0</v>
      </c>
      <c r="H35" s="25" t="s">
        <v>622</v>
      </c>
      <c r="I35" s="72">
        <f>Assumptions!$C$35</f>
        <v>2045</v>
      </c>
      <c r="J35" s="259">
        <f>TREND($I$14:$I$15,$H$14:$H$15,$I$35)/$I$14*I10/5*$I$20</f>
        <v>0</v>
      </c>
      <c r="K35" s="259">
        <f>TREND($I$14:$I$15,$H$14:$H$15,$I$35)/$I$14*J10/5*$I$20</f>
        <v>0.14470480000000011</v>
      </c>
      <c r="L35" s="259">
        <f>TREND($I$14:$I$15,$H$14:$H$15,$I$35)/$I$14*K10/5*$I$20</f>
        <v>0</v>
      </c>
      <c r="M35" s="259">
        <f>TREND($I$14:$I$15,$H$14:$H$15,$I$35)/$I$14*L10/5*$I$20</f>
        <v>0</v>
      </c>
      <c r="N35" s="259">
        <f>TREND($I$14:$I$15,$H$14:$H$15,$I$35)/$I$14*M10/5*$I$20</f>
        <v>0.28940960000000021</v>
      </c>
      <c r="Q35" s="718"/>
      <c r="R35" s="50">
        <f t="shared" si="5"/>
        <v>2049</v>
      </c>
      <c r="S35" s="24" t="str">
        <f>IF(R35+1&lt;=Assumptions!$D$33,"Yes","No")</f>
        <v>No</v>
      </c>
      <c r="T35" s="51" cm="1">
        <f t="array" ref="T35">IF(S35="Yes",TREND($J$27:$J$28,$I$27:$I$28,R35),0)</f>
        <v>0</v>
      </c>
      <c r="U35" s="51" cm="1">
        <f t="array" ref="U35">IF(S35="Yes",TREND($K$27:$K$28,$I$27:$I$28,R35),0)</f>
        <v>0</v>
      </c>
      <c r="V35" s="51" cm="1">
        <f t="array" ref="V35">IF(S35="Yes",TREND($L$27:$L$28,$I$27:$I$28,R35),0)</f>
        <v>0</v>
      </c>
      <c r="W35" s="51" cm="1">
        <f t="array" ref="W35">IF(S35="Yes",TREND($M$27:$M$28,$I$27:$I$28,R35),0)</f>
        <v>0</v>
      </c>
      <c r="X35" s="51" cm="1">
        <f t="array" ref="X35">IF(S35="Yes",TREND($N$27:$N$28,$I$27:$I$28,R35),0)</f>
        <v>0</v>
      </c>
      <c r="Y35" s="78">
        <f t="shared" si="2"/>
        <v>0</v>
      </c>
      <c r="AB35" s="718"/>
      <c r="AC35" s="50">
        <f t="shared" si="6"/>
        <v>2049</v>
      </c>
      <c r="AD35" s="24" t="s">
        <v>623</v>
      </c>
      <c r="AE35" s="24" t="str">
        <f>IF(R35&gt;=Assumptions!$D$14,"Yes","No")</f>
        <v>Yes</v>
      </c>
      <c r="AF35" s="51" cm="1">
        <f t="array" ref="AF35">IF(AC35&lt;=Assumptions!$D$15,IF(AC35&lt;Assumptions!$D$14,TREND('Safety Improvements'!$J$32:$J$33,'Safety Improvements'!$I$32:$I$33,AC35),TREND('Safety Improvements'!$J$34:$J$35,'Safety Improvements'!$I$34:$I$35,'Safety Improvements'!AC35)),0)</f>
        <v>0</v>
      </c>
      <c r="AG35" s="51" cm="1">
        <f t="array" ref="AG35">IF(AC35&lt;=Assumptions!$D$15,IF(AC35&lt;Assumptions!$D$14,TREND('Safety Improvements'!$K$32:$K$33,'Safety Improvements'!$I$32:$I$33,AC35),TREND('Safety Improvements'!$K$34:$K$35,'Safety Improvements'!$I$34:$I$35,'Safety Improvements'!AC35)),0)</f>
        <v>0</v>
      </c>
      <c r="AH35" s="51" cm="1">
        <f t="array" ref="AH35">IF(AC35&lt;=Assumptions!$D$15,IF(AC35&lt;Assumptions!$D$14,TREND('Safety Improvements'!$L$32:$L$33,'Safety Improvements'!$I$32:$I$33,AC35),TREND('Safety Improvements'!$L$34:$L$35,'Safety Improvements'!$I$34:$I$35,'Safety Improvements'!AC35)),0)</f>
        <v>0</v>
      </c>
      <c r="AI35" s="51" cm="1">
        <f t="array" ref="AI35">IF(AC35&lt;=Assumptions!$D$15,IF(AC35&lt;Assumptions!$D$14,TREND('Safety Improvements'!$M$32:$M$33,'Safety Improvements'!$I$32:$I$33,AC35),TREND('Safety Improvements'!$M$34:$M$35,'Safety Improvements'!$I$34:$I$35,'Safety Improvements'!AC35)),0)</f>
        <v>0</v>
      </c>
      <c r="AJ35" s="51" cm="1">
        <f t="array" ref="AJ35">IF(AC35&lt;=Assumptions!$D$15,IF(AC35&lt;Assumptions!$D$14,TREND('Safety Improvements'!$N$32:$N$33,'Safety Improvements'!$I$32:$I$33,AC35),TREND('Safety Improvements'!$N$34:$N$35,'Safety Improvements'!$I$34:$I$35,'Safety Improvements'!AC35)),0)</f>
        <v>0</v>
      </c>
      <c r="AK35" s="78">
        <f t="shared" si="3"/>
        <v>0</v>
      </c>
    </row>
    <row r="36" spans="1:38" ht="15" customHeight="1" thickBot="1" x14ac:dyDescent="0.3">
      <c r="A36" s="2"/>
      <c r="E36" s="95" t="s">
        <v>2</v>
      </c>
      <c r="F36" s="148">
        <f>SUM(F6:F35)</f>
        <v>-475783.68881429592</v>
      </c>
      <c r="Q36" s="718"/>
      <c r="R36" s="50">
        <f t="shared" si="5"/>
        <v>2050</v>
      </c>
      <c r="S36" s="24" t="str">
        <f>IF(R36+1&lt;=Assumptions!$D$33,"Yes","No")</f>
        <v>No</v>
      </c>
      <c r="T36" s="51" cm="1">
        <f t="array" ref="T36">IF(S36="Yes",TREND($J$27:$J$28,$I$27:$I$28,R36),0)</f>
        <v>0</v>
      </c>
      <c r="U36" s="51" cm="1">
        <f t="array" ref="U36">IF(S36="Yes",TREND($K$27:$K$28,$I$27:$I$28,R36),0)</f>
        <v>0</v>
      </c>
      <c r="V36" s="51" cm="1">
        <f t="array" ref="V36">IF(S36="Yes",TREND($L$27:$L$28,$I$27:$I$28,R36),0)</f>
        <v>0</v>
      </c>
      <c r="W36" s="51" cm="1">
        <f t="array" ref="W36">IF(S36="Yes",TREND($M$27:$M$28,$I$27:$I$28,R36),0)</f>
        <v>0</v>
      </c>
      <c r="X36" s="51" cm="1">
        <f t="array" ref="X36">IF(S36="Yes",TREND($N$27:$N$28,$I$27:$I$28,R36),0)</f>
        <v>0</v>
      </c>
      <c r="Y36" s="78">
        <f t="shared" si="2"/>
        <v>0</v>
      </c>
      <c r="AB36" s="718"/>
      <c r="AC36" s="50">
        <f t="shared" si="6"/>
        <v>2050</v>
      </c>
      <c r="AD36" s="24" t="s">
        <v>623</v>
      </c>
      <c r="AE36" s="24" t="str">
        <f>IF(R36&gt;=Assumptions!$D$14,"Yes","No")</f>
        <v>Yes</v>
      </c>
      <c r="AF36" s="51" cm="1">
        <f t="array" ref="AF36">IF(AC36&lt;=Assumptions!$D$15,IF(AC36&lt;Assumptions!$D$14,TREND('Safety Improvements'!$J$32:$J$33,'Safety Improvements'!$I$32:$I$33,AC36),TREND('Safety Improvements'!$J$34:$J$35,'Safety Improvements'!$I$34:$I$35,'Safety Improvements'!AC36)),0)</f>
        <v>0</v>
      </c>
      <c r="AG36" s="51" cm="1">
        <f t="array" ref="AG36">IF(AC36&lt;=Assumptions!$D$15,IF(AC36&lt;Assumptions!$D$14,TREND('Safety Improvements'!$K$32:$K$33,'Safety Improvements'!$I$32:$I$33,AC36),TREND('Safety Improvements'!$K$34:$K$35,'Safety Improvements'!$I$34:$I$35,'Safety Improvements'!AC36)),0)</f>
        <v>0</v>
      </c>
      <c r="AH36" s="51" cm="1">
        <f t="array" ref="AH36">IF(AC36&lt;=Assumptions!$D$15,IF(AC36&lt;Assumptions!$D$14,TREND('Safety Improvements'!$L$32:$L$33,'Safety Improvements'!$I$32:$I$33,AC36),TREND('Safety Improvements'!$L$34:$L$35,'Safety Improvements'!$I$34:$I$35,'Safety Improvements'!AC36)),0)</f>
        <v>0</v>
      </c>
      <c r="AI36" s="51" cm="1">
        <f t="array" ref="AI36">IF(AC36&lt;=Assumptions!$D$15,IF(AC36&lt;Assumptions!$D$14,TREND('Safety Improvements'!$M$32:$M$33,'Safety Improvements'!$I$32:$I$33,AC36),TREND('Safety Improvements'!$M$34:$M$35,'Safety Improvements'!$I$34:$I$35,'Safety Improvements'!AC36)),0)</f>
        <v>0</v>
      </c>
      <c r="AJ36" s="51" cm="1">
        <f t="array" ref="AJ36">IF(AC36&lt;=Assumptions!$D$15,IF(AC36&lt;Assumptions!$D$14,TREND('Safety Improvements'!$N$32:$N$33,'Safety Improvements'!$I$32:$I$33,AC36),TREND('Safety Improvements'!$N$34:$N$35,'Safety Improvements'!$I$34:$I$35,'Safety Improvements'!AC36)),0)</f>
        <v>0</v>
      </c>
      <c r="AK36" s="78">
        <f t="shared" si="3"/>
        <v>0</v>
      </c>
    </row>
    <row r="37" spans="1:38" ht="15" customHeight="1" x14ac:dyDescent="0.25">
      <c r="B37" s="44"/>
      <c r="C37" s="42"/>
      <c r="D37" s="110"/>
      <c r="E37" s="110"/>
      <c r="F37" s="110"/>
      <c r="Q37" s="718"/>
      <c r="R37" s="50">
        <f t="shared" si="5"/>
        <v>2051</v>
      </c>
      <c r="S37" s="24" t="str">
        <f>IF(R37+1&lt;=Assumptions!$D$33,"Yes","No")</f>
        <v>No</v>
      </c>
      <c r="T37" s="51" cm="1">
        <f t="array" ref="T37">IF(S37="Yes",TREND($J$27:$J$28,$I$27:$I$28,R37),0)</f>
        <v>0</v>
      </c>
      <c r="U37" s="51" cm="1">
        <f t="array" ref="U37">IF(S37="Yes",TREND($K$27:$K$28,$I$27:$I$28,R37),0)</f>
        <v>0</v>
      </c>
      <c r="V37" s="51" cm="1">
        <f t="array" ref="V37">IF(S37="Yes",TREND($L$27:$L$28,$I$27:$I$28,R37),0)</f>
        <v>0</v>
      </c>
      <c r="W37" s="51" cm="1">
        <f t="array" ref="W37">IF(S37="Yes",TREND($M$27:$M$28,$I$27:$I$28,R37),0)</f>
        <v>0</v>
      </c>
      <c r="X37" s="51" cm="1">
        <f t="array" ref="X37">IF(S37="Yes",TREND($N$27:$N$28,$I$27:$I$28,R37),0)</f>
        <v>0</v>
      </c>
      <c r="Y37" s="78">
        <f t="shared" si="2"/>
        <v>0</v>
      </c>
      <c r="AB37" s="718"/>
      <c r="AC37" s="50">
        <f t="shared" si="6"/>
        <v>2051</v>
      </c>
      <c r="AD37" s="24" t="s">
        <v>623</v>
      </c>
      <c r="AE37" s="24" t="str">
        <f>IF(R37&gt;=Assumptions!$D$14,"Yes","No")</f>
        <v>Yes</v>
      </c>
      <c r="AF37" s="51" cm="1">
        <f t="array" ref="AF37">IF(AC37&lt;=Assumptions!$D$15,IF(AC37&lt;Assumptions!$D$14,TREND('Safety Improvements'!$J$32:$J$33,'Safety Improvements'!$I$32:$I$33,AC37),TREND('Safety Improvements'!$J$34:$J$35,'Safety Improvements'!$I$34:$I$35,'Safety Improvements'!AC37)),0)</f>
        <v>0</v>
      </c>
      <c r="AG37" s="51" cm="1">
        <f t="array" ref="AG37">IF(AC37&lt;=Assumptions!$D$15,IF(AC37&lt;Assumptions!$D$14,TREND('Safety Improvements'!$K$32:$K$33,'Safety Improvements'!$I$32:$I$33,AC37),TREND('Safety Improvements'!$K$34:$K$35,'Safety Improvements'!$I$34:$I$35,'Safety Improvements'!AC37)),0)</f>
        <v>0</v>
      </c>
      <c r="AH37" s="51" cm="1">
        <f t="array" ref="AH37">IF(AC37&lt;=Assumptions!$D$15,IF(AC37&lt;Assumptions!$D$14,TREND('Safety Improvements'!$L$32:$L$33,'Safety Improvements'!$I$32:$I$33,AC37),TREND('Safety Improvements'!$L$34:$L$35,'Safety Improvements'!$I$34:$I$35,'Safety Improvements'!AC37)),0)</f>
        <v>0</v>
      </c>
      <c r="AI37" s="51" cm="1">
        <f t="array" ref="AI37">IF(AC37&lt;=Assumptions!$D$15,IF(AC37&lt;Assumptions!$D$14,TREND('Safety Improvements'!$M$32:$M$33,'Safety Improvements'!$I$32:$I$33,AC37),TREND('Safety Improvements'!$M$34:$M$35,'Safety Improvements'!$I$34:$I$35,'Safety Improvements'!AC37)),0)</f>
        <v>0</v>
      </c>
      <c r="AJ37" s="51" cm="1">
        <f t="array" ref="AJ37">IF(AC37&lt;=Assumptions!$D$15,IF(AC37&lt;Assumptions!$D$14,TREND('Safety Improvements'!$N$32:$N$33,'Safety Improvements'!$I$32:$I$33,AC37),TREND('Safety Improvements'!$N$34:$N$35,'Safety Improvements'!$I$34:$I$35,'Safety Improvements'!AC37)),0)</f>
        <v>0</v>
      </c>
      <c r="AK37" s="78">
        <f t="shared" si="3"/>
        <v>0</v>
      </c>
    </row>
    <row r="38" spans="1:38" x14ac:dyDescent="0.25">
      <c r="A38" s="2"/>
      <c r="D38" s="110"/>
      <c r="E38" s="110"/>
      <c r="F38" s="110"/>
      <c r="Q38" s="718"/>
      <c r="R38" s="50">
        <f t="shared" si="5"/>
        <v>2052</v>
      </c>
      <c r="S38" s="24" t="str">
        <f>IF(R38+1&lt;=Assumptions!$D$33,"Yes","No")</f>
        <v>No</v>
      </c>
      <c r="T38" s="51" cm="1">
        <f t="array" ref="T38">IF(S38="Yes",TREND($J$27:$J$28,$I$27:$I$28,R38),0)</f>
        <v>0</v>
      </c>
      <c r="U38" s="51" cm="1">
        <f t="array" ref="U38">IF(S38="Yes",TREND($K$27:$K$28,$I$27:$I$28,R38),0)</f>
        <v>0</v>
      </c>
      <c r="V38" s="51" cm="1">
        <f t="array" ref="V38">IF(S38="Yes",TREND($L$27:$L$28,$I$27:$I$28,R38),0)</f>
        <v>0</v>
      </c>
      <c r="W38" s="51" cm="1">
        <f t="array" ref="W38">IF(S38="Yes",TREND($M$27:$M$28,$I$27:$I$28,R38),0)</f>
        <v>0</v>
      </c>
      <c r="X38" s="51" cm="1">
        <f t="array" ref="X38">IF(S38="Yes",TREND($N$27:$N$28,$I$27:$I$28,R38),0)</f>
        <v>0</v>
      </c>
      <c r="Y38" s="78">
        <f t="shared" si="2"/>
        <v>0</v>
      </c>
      <c r="AB38" s="718"/>
      <c r="AC38" s="50">
        <f t="shared" si="6"/>
        <v>2052</v>
      </c>
      <c r="AD38" s="24" t="s">
        <v>623</v>
      </c>
      <c r="AE38" s="24" t="str">
        <f>IF(R38&gt;=Assumptions!$D$14,"Yes","No")</f>
        <v>Yes</v>
      </c>
      <c r="AF38" s="51" cm="1">
        <f t="array" ref="AF38">IF(AC38&lt;=Assumptions!$D$15,IF(AC38&lt;Assumptions!$D$14,TREND('Safety Improvements'!$J$32:$J$33,'Safety Improvements'!$I$32:$I$33,AC38),TREND('Safety Improvements'!$J$34:$J$35,'Safety Improvements'!$I$34:$I$35,'Safety Improvements'!AC38)),0)</f>
        <v>0</v>
      </c>
      <c r="AG38" s="51" cm="1">
        <f t="array" ref="AG38">IF(AC38&lt;=Assumptions!$D$15,IF(AC38&lt;Assumptions!$D$14,TREND('Safety Improvements'!$K$32:$K$33,'Safety Improvements'!$I$32:$I$33,AC38),TREND('Safety Improvements'!$K$34:$K$35,'Safety Improvements'!$I$34:$I$35,'Safety Improvements'!AC38)),0)</f>
        <v>0</v>
      </c>
      <c r="AH38" s="51" cm="1">
        <f t="array" ref="AH38">IF(AC38&lt;=Assumptions!$D$15,IF(AC38&lt;Assumptions!$D$14,TREND('Safety Improvements'!$L$32:$L$33,'Safety Improvements'!$I$32:$I$33,AC38),TREND('Safety Improvements'!$L$34:$L$35,'Safety Improvements'!$I$34:$I$35,'Safety Improvements'!AC38)),0)</f>
        <v>0</v>
      </c>
      <c r="AI38" s="51" cm="1">
        <f t="array" ref="AI38">IF(AC38&lt;=Assumptions!$D$15,IF(AC38&lt;Assumptions!$D$14,TREND('Safety Improvements'!$M$32:$M$33,'Safety Improvements'!$I$32:$I$33,AC38),TREND('Safety Improvements'!$M$34:$M$35,'Safety Improvements'!$I$34:$I$35,'Safety Improvements'!AC38)),0)</f>
        <v>0</v>
      </c>
      <c r="AJ38" s="51" cm="1">
        <f t="array" ref="AJ38">IF(AC38&lt;=Assumptions!$D$15,IF(AC38&lt;Assumptions!$D$14,TREND('Safety Improvements'!$N$32:$N$33,'Safety Improvements'!$I$32:$I$33,AC38),TREND('Safety Improvements'!$N$34:$N$35,'Safety Improvements'!$I$34:$I$35,'Safety Improvements'!AC38)),0)</f>
        <v>0</v>
      </c>
      <c r="AK38" s="78">
        <f t="shared" si="3"/>
        <v>0</v>
      </c>
    </row>
    <row r="39" spans="1:38" ht="15" customHeight="1" x14ac:dyDescent="0.25">
      <c r="Q39" s="718"/>
      <c r="R39" s="50">
        <f t="shared" si="5"/>
        <v>2053</v>
      </c>
      <c r="S39" s="24" t="str">
        <f>IF(R39+1&lt;=Assumptions!$D$33,"Yes","No")</f>
        <v>No</v>
      </c>
      <c r="T39" s="51" cm="1">
        <f t="array" ref="T39">IF(S39="Yes",TREND($J$27:$J$28,$I$27:$I$28,R39),0)</f>
        <v>0</v>
      </c>
      <c r="U39" s="51" cm="1">
        <f t="array" ref="U39">IF(S39="Yes",TREND($K$27:$K$28,$I$27:$I$28,R39),0)</f>
        <v>0</v>
      </c>
      <c r="V39" s="51" cm="1">
        <f t="array" ref="V39">IF(S39="Yes",TREND($L$27:$L$28,$I$27:$I$28,R39),0)</f>
        <v>0</v>
      </c>
      <c r="W39" s="51" cm="1">
        <f t="array" ref="W39">IF(S39="Yes",TREND($M$27:$M$28,$I$27:$I$28,R39),0)</f>
        <v>0</v>
      </c>
      <c r="X39" s="51" cm="1">
        <f t="array" ref="X39">IF(S39="Yes",TREND($N$27:$N$28,$I$27:$I$28,R39),0)</f>
        <v>0</v>
      </c>
      <c r="Y39" s="78">
        <f t="shared" si="2"/>
        <v>0</v>
      </c>
      <c r="AB39" s="718"/>
      <c r="AC39" s="50">
        <f t="shared" si="6"/>
        <v>2053</v>
      </c>
      <c r="AD39" s="24" t="s">
        <v>623</v>
      </c>
      <c r="AE39" s="24" t="str">
        <f>IF(R39&gt;=Assumptions!$D$14,"Yes","No")</f>
        <v>Yes</v>
      </c>
      <c r="AF39" s="51" cm="1">
        <f t="array" ref="AF39">IF(AC39&lt;=Assumptions!$D$15,IF(AC39&lt;Assumptions!$D$14,TREND('Safety Improvements'!$J$32:$J$33,'Safety Improvements'!$I$32:$I$33,AC39),TREND('Safety Improvements'!$J$34:$J$35,'Safety Improvements'!$I$34:$I$35,'Safety Improvements'!AC39)),0)</f>
        <v>0</v>
      </c>
      <c r="AG39" s="51" cm="1">
        <f t="array" ref="AG39">IF(AC39&lt;=Assumptions!$D$15,IF(AC39&lt;Assumptions!$D$14,TREND('Safety Improvements'!$K$32:$K$33,'Safety Improvements'!$I$32:$I$33,AC39),TREND('Safety Improvements'!$K$34:$K$35,'Safety Improvements'!$I$34:$I$35,'Safety Improvements'!AC39)),0)</f>
        <v>0</v>
      </c>
      <c r="AH39" s="51" cm="1">
        <f t="array" ref="AH39">IF(AC39&lt;=Assumptions!$D$15,IF(AC39&lt;Assumptions!$D$14,TREND('Safety Improvements'!$L$32:$L$33,'Safety Improvements'!$I$32:$I$33,AC39),TREND('Safety Improvements'!$L$34:$L$35,'Safety Improvements'!$I$34:$I$35,'Safety Improvements'!AC39)),0)</f>
        <v>0</v>
      </c>
      <c r="AI39" s="51" cm="1">
        <f t="array" ref="AI39">IF(AC39&lt;=Assumptions!$D$15,IF(AC39&lt;Assumptions!$D$14,TREND('Safety Improvements'!$M$32:$M$33,'Safety Improvements'!$I$32:$I$33,AC39),TREND('Safety Improvements'!$M$34:$M$35,'Safety Improvements'!$I$34:$I$35,'Safety Improvements'!AC39)),0)</f>
        <v>0</v>
      </c>
      <c r="AJ39" s="51" cm="1">
        <f t="array" ref="AJ39">IF(AC39&lt;=Assumptions!$D$15,IF(AC39&lt;Assumptions!$D$14,TREND('Safety Improvements'!$N$32:$N$33,'Safety Improvements'!$I$32:$I$33,AC39),TREND('Safety Improvements'!$N$34:$N$35,'Safety Improvements'!$I$34:$I$35,'Safety Improvements'!AC39)),0)</f>
        <v>0</v>
      </c>
      <c r="AK39" s="78">
        <f t="shared" si="3"/>
        <v>0</v>
      </c>
    </row>
    <row r="40" spans="1:38" ht="15" customHeight="1" x14ac:dyDescent="0.25">
      <c r="B40" s="1" t="s">
        <v>3</v>
      </c>
      <c r="C40" s="1"/>
      <c r="D40" s="1"/>
      <c r="Q40" s="718"/>
      <c r="R40" s="50">
        <f t="shared" si="5"/>
        <v>2054</v>
      </c>
      <c r="S40" s="24" t="str">
        <f>IF(R40+1&lt;=Assumptions!$D$33,"Yes","No")</f>
        <v>No</v>
      </c>
      <c r="T40" s="51" cm="1">
        <f t="array" ref="T40">IF(S40="Yes",TREND($J$27:$J$28,$I$27:$I$28,R40),0)</f>
        <v>0</v>
      </c>
      <c r="U40" s="51" cm="1">
        <f t="array" ref="U40">IF(S40="Yes",TREND($K$27:$K$28,$I$27:$I$28,R40),0)</f>
        <v>0</v>
      </c>
      <c r="V40" s="51" cm="1">
        <f t="array" ref="V40">IF(S40="Yes",TREND($L$27:$L$28,$I$27:$I$28,R40),0)</f>
        <v>0</v>
      </c>
      <c r="W40" s="51" cm="1">
        <f t="array" ref="W40">IF(S40="Yes",TREND($M$27:$M$28,$I$27:$I$28,R40),0)</f>
        <v>0</v>
      </c>
      <c r="X40" s="51" cm="1">
        <f t="array" ref="X40">IF(S40="Yes",TREND($N$27:$N$28,$I$27:$I$28,R40),0)</f>
        <v>0</v>
      </c>
      <c r="Y40" s="78">
        <f t="shared" si="2"/>
        <v>0</v>
      </c>
      <c r="AB40" s="718"/>
      <c r="AC40" s="50">
        <f t="shared" si="6"/>
        <v>2054</v>
      </c>
      <c r="AD40" s="24" t="s">
        <v>623</v>
      </c>
      <c r="AE40" s="24" t="str">
        <f>IF(R40&gt;=Assumptions!$D$14,"Yes","No")</f>
        <v>Yes</v>
      </c>
      <c r="AF40" s="51" cm="1">
        <f t="array" ref="AF40">IF(AC40&lt;=Assumptions!$D$15,IF(AC40&lt;Assumptions!$D$14,TREND('Safety Improvements'!$J$32:$J$33,'Safety Improvements'!$I$32:$I$33,AC40),TREND('Safety Improvements'!$J$34:$J$35,'Safety Improvements'!$I$34:$I$35,'Safety Improvements'!AC40)),0)</f>
        <v>0</v>
      </c>
      <c r="AG40" s="51" cm="1">
        <f t="array" ref="AG40">IF(AC40&lt;=Assumptions!$D$15,IF(AC40&lt;Assumptions!$D$14,TREND('Safety Improvements'!$K$32:$K$33,'Safety Improvements'!$I$32:$I$33,AC40),TREND('Safety Improvements'!$K$34:$K$35,'Safety Improvements'!$I$34:$I$35,'Safety Improvements'!AC40)),0)</f>
        <v>0</v>
      </c>
      <c r="AH40" s="51" cm="1">
        <f t="array" ref="AH40">IF(AC40&lt;=Assumptions!$D$15,IF(AC40&lt;Assumptions!$D$14,TREND('Safety Improvements'!$L$32:$L$33,'Safety Improvements'!$I$32:$I$33,AC40),TREND('Safety Improvements'!$L$34:$L$35,'Safety Improvements'!$I$34:$I$35,'Safety Improvements'!AC40)),0)</f>
        <v>0</v>
      </c>
      <c r="AI40" s="51" cm="1">
        <f t="array" ref="AI40">IF(AC40&lt;=Assumptions!$D$15,IF(AC40&lt;Assumptions!$D$14,TREND('Safety Improvements'!$M$32:$M$33,'Safety Improvements'!$I$32:$I$33,AC40),TREND('Safety Improvements'!$M$34:$M$35,'Safety Improvements'!$I$34:$I$35,'Safety Improvements'!AC40)),0)</f>
        <v>0</v>
      </c>
      <c r="AJ40" s="51" cm="1">
        <f t="array" ref="AJ40">IF(AC40&lt;=Assumptions!$D$15,IF(AC40&lt;Assumptions!$D$14,TREND('Safety Improvements'!$N$32:$N$33,'Safety Improvements'!$I$32:$I$33,AC40),TREND('Safety Improvements'!$N$34:$N$35,'Safety Improvements'!$I$34:$I$35,'Safety Improvements'!AC40)),0)</f>
        <v>0</v>
      </c>
      <c r="AK40" s="78">
        <f t="shared" si="3"/>
        <v>0</v>
      </c>
    </row>
    <row r="41" spans="1:38" ht="15" customHeight="1" x14ac:dyDescent="0.25">
      <c r="A41" s="2" t="s">
        <v>16</v>
      </c>
      <c r="B41" s="702" t="s">
        <v>584</v>
      </c>
      <c r="C41" s="702"/>
      <c r="D41" s="702"/>
      <c r="E41" s="702"/>
      <c r="F41" s="702"/>
      <c r="Q41" s="718"/>
      <c r="R41" s="50">
        <f t="shared" si="5"/>
        <v>2055</v>
      </c>
      <c r="S41" s="24" t="str">
        <f>IF(R41+1&lt;=Assumptions!$D$33,"Yes","No")</f>
        <v>No</v>
      </c>
      <c r="T41" s="51" cm="1">
        <f t="array" ref="T41">IF(S41="Yes",TREND($J$27:$J$28,$I$27:$I$28,R41),0)</f>
        <v>0</v>
      </c>
      <c r="U41" s="51" cm="1">
        <f t="array" ref="U41">IF(S41="Yes",TREND($K$27:$K$28,$I$27:$I$28,R41),0)</f>
        <v>0</v>
      </c>
      <c r="V41" s="51" cm="1">
        <f t="array" ref="V41">IF(S41="Yes",TREND($L$27:$L$28,$I$27:$I$28,R41),0)</f>
        <v>0</v>
      </c>
      <c r="W41" s="51" cm="1">
        <f t="array" ref="W41">IF(S41="Yes",TREND($M$27:$M$28,$I$27:$I$28,R41),0)</f>
        <v>0</v>
      </c>
      <c r="X41" s="51" cm="1">
        <f t="array" ref="X41">IF(S41="Yes",TREND($N$27:$N$28,$I$27:$I$28,R41),0)</f>
        <v>0</v>
      </c>
      <c r="Y41" s="78">
        <f t="shared" si="2"/>
        <v>0</v>
      </c>
      <c r="AB41" s="718"/>
      <c r="AC41" s="50">
        <f t="shared" si="6"/>
        <v>2055</v>
      </c>
      <c r="AD41" s="24" t="s">
        <v>623</v>
      </c>
      <c r="AE41" s="24" t="str">
        <f>IF(R41&gt;=Assumptions!$D$14,"Yes","No")</f>
        <v>Yes</v>
      </c>
      <c r="AF41" s="51" cm="1">
        <f t="array" ref="AF41">IF(AC41&lt;=Assumptions!$D$15,IF(AC41&lt;Assumptions!$D$14,TREND('Safety Improvements'!$J$32:$J$33,'Safety Improvements'!$I$32:$I$33,AC41),TREND('Safety Improvements'!$J$34:$J$35,'Safety Improvements'!$I$34:$I$35,'Safety Improvements'!AC41)),0)</f>
        <v>0</v>
      </c>
      <c r="AG41" s="51" cm="1">
        <f t="array" ref="AG41">IF(AC41&lt;=Assumptions!$D$15,IF(AC41&lt;Assumptions!$D$14,TREND('Safety Improvements'!$K$32:$K$33,'Safety Improvements'!$I$32:$I$33,AC41),TREND('Safety Improvements'!$K$34:$K$35,'Safety Improvements'!$I$34:$I$35,'Safety Improvements'!AC41)),0)</f>
        <v>0</v>
      </c>
      <c r="AH41" s="51" cm="1">
        <f t="array" ref="AH41">IF(AC41&lt;=Assumptions!$D$15,IF(AC41&lt;Assumptions!$D$14,TREND('Safety Improvements'!$L$32:$L$33,'Safety Improvements'!$I$32:$I$33,AC41),TREND('Safety Improvements'!$L$34:$L$35,'Safety Improvements'!$I$34:$I$35,'Safety Improvements'!AC41)),0)</f>
        <v>0</v>
      </c>
      <c r="AI41" s="51" cm="1">
        <f t="array" ref="AI41">IF(AC41&lt;=Assumptions!$D$15,IF(AC41&lt;Assumptions!$D$14,TREND('Safety Improvements'!$M$32:$M$33,'Safety Improvements'!$I$32:$I$33,AC41),TREND('Safety Improvements'!$M$34:$M$35,'Safety Improvements'!$I$34:$I$35,'Safety Improvements'!AC41)),0)</f>
        <v>0</v>
      </c>
      <c r="AJ41" s="51" cm="1">
        <f t="array" ref="AJ41">IF(AC41&lt;=Assumptions!$D$15,IF(AC41&lt;Assumptions!$D$14,TREND('Safety Improvements'!$N$32:$N$33,'Safety Improvements'!$I$32:$I$33,AC41),TREND('Safety Improvements'!$N$34:$N$35,'Safety Improvements'!$I$34:$I$35,'Safety Improvements'!AC41)),0)</f>
        <v>0</v>
      </c>
      <c r="AK41" s="78">
        <f t="shared" si="3"/>
        <v>0</v>
      </c>
    </row>
    <row r="42" spans="1:38" ht="15" customHeight="1" x14ac:dyDescent="0.25">
      <c r="B42" s="702"/>
      <c r="C42" s="702"/>
      <c r="D42" s="702"/>
      <c r="E42" s="702"/>
      <c r="F42" s="702"/>
      <c r="Q42" s="718"/>
      <c r="R42" s="50">
        <f t="shared" si="5"/>
        <v>2056</v>
      </c>
      <c r="S42" s="24" t="str">
        <f>IF(R42+1&lt;=Assumptions!$D$33,"Yes","No")</f>
        <v>No</v>
      </c>
      <c r="T42" s="51" cm="1">
        <f t="array" ref="T42">IF(S42="Yes",TREND($J$27:$J$28,$I$27:$I$28,R42),0)</f>
        <v>0</v>
      </c>
      <c r="U42" s="51" cm="1">
        <f t="array" ref="U42">IF(S42="Yes",TREND($K$27:$K$28,$I$27:$I$28,R42),0)</f>
        <v>0</v>
      </c>
      <c r="V42" s="51" cm="1">
        <f t="array" ref="V42">IF(S42="Yes",TREND($L$27:$L$28,$I$27:$I$28,R42),0)</f>
        <v>0</v>
      </c>
      <c r="W42" s="51" cm="1">
        <f t="array" ref="W42">IF(S42="Yes",TREND($M$27:$M$28,$I$27:$I$28,R42),0)</f>
        <v>0</v>
      </c>
      <c r="X42" s="51" cm="1">
        <f t="array" ref="X42">IF(S42="Yes",TREND($N$27:$N$28,$I$27:$I$28,R42),0)</f>
        <v>0</v>
      </c>
      <c r="Y42" s="78">
        <f t="shared" si="2"/>
        <v>0</v>
      </c>
      <c r="AB42" s="718"/>
      <c r="AC42" s="50">
        <f t="shared" si="6"/>
        <v>2056</v>
      </c>
      <c r="AD42" s="24" t="s">
        <v>623</v>
      </c>
      <c r="AE42" s="24" t="str">
        <f>IF(R42&gt;=Assumptions!$D$14,"Yes","No")</f>
        <v>Yes</v>
      </c>
      <c r="AF42" s="51" cm="1">
        <f t="array" ref="AF42">IF(AC42&lt;=Assumptions!$D$15,IF(AC42&lt;Assumptions!$D$14,TREND('Safety Improvements'!$J$32:$J$33,'Safety Improvements'!$I$32:$I$33,AC42),TREND('Safety Improvements'!$J$34:$J$35,'Safety Improvements'!$I$34:$I$35,'Safety Improvements'!AC42)),0)</f>
        <v>0</v>
      </c>
      <c r="AG42" s="51" cm="1">
        <f t="array" ref="AG42">IF(AC42&lt;=Assumptions!$D$15,IF(AC42&lt;Assumptions!$D$14,TREND('Safety Improvements'!$K$32:$K$33,'Safety Improvements'!$I$32:$I$33,AC42),TREND('Safety Improvements'!$K$34:$K$35,'Safety Improvements'!$I$34:$I$35,'Safety Improvements'!AC42)),0)</f>
        <v>0</v>
      </c>
      <c r="AH42" s="51" cm="1">
        <f t="array" ref="AH42">IF(AC42&lt;=Assumptions!$D$15,IF(AC42&lt;Assumptions!$D$14,TREND('Safety Improvements'!$L$32:$L$33,'Safety Improvements'!$I$32:$I$33,AC42),TREND('Safety Improvements'!$L$34:$L$35,'Safety Improvements'!$I$34:$I$35,'Safety Improvements'!AC42)),0)</f>
        <v>0</v>
      </c>
      <c r="AI42" s="51" cm="1">
        <f t="array" ref="AI42">IF(AC42&lt;=Assumptions!$D$15,IF(AC42&lt;Assumptions!$D$14,TREND('Safety Improvements'!$M$32:$M$33,'Safety Improvements'!$I$32:$I$33,AC42),TREND('Safety Improvements'!$M$34:$M$35,'Safety Improvements'!$I$34:$I$35,'Safety Improvements'!AC42)),0)</f>
        <v>0</v>
      </c>
      <c r="AJ42" s="51" cm="1">
        <f t="array" ref="AJ42">IF(AC42&lt;=Assumptions!$D$15,IF(AC42&lt;Assumptions!$D$14,TREND('Safety Improvements'!$N$32:$N$33,'Safety Improvements'!$I$32:$I$33,AC42),TREND('Safety Improvements'!$N$34:$N$35,'Safety Improvements'!$I$34:$I$35,'Safety Improvements'!AC42)),0)</f>
        <v>0</v>
      </c>
      <c r="AK42" s="78">
        <f t="shared" si="3"/>
        <v>0</v>
      </c>
    </row>
    <row r="43" spans="1:38" x14ac:dyDescent="0.25">
      <c r="A43" s="2"/>
      <c r="B43" s="702"/>
      <c r="C43" s="702"/>
      <c r="D43" s="702"/>
      <c r="E43" s="702"/>
      <c r="F43" s="702"/>
      <c r="Q43" s="718"/>
      <c r="R43" s="50">
        <f t="shared" si="5"/>
        <v>2057</v>
      </c>
      <c r="S43" s="24" t="str">
        <f>IF(R43+1&lt;=Assumptions!$D$33,"Yes","No")</f>
        <v>No</v>
      </c>
      <c r="T43" s="51" cm="1">
        <f t="array" ref="T43">IF(S43="Yes",TREND($J$27:$J$28,$I$27:$I$28,R43),0)</f>
        <v>0</v>
      </c>
      <c r="U43" s="51" cm="1">
        <f t="array" ref="U43">IF(S43="Yes",TREND($K$27:$K$28,$I$27:$I$28,R43),0)</f>
        <v>0</v>
      </c>
      <c r="V43" s="51" cm="1">
        <f t="array" ref="V43">IF(S43="Yes",TREND($L$27:$L$28,$I$27:$I$28,R43),0)</f>
        <v>0</v>
      </c>
      <c r="W43" s="51" cm="1">
        <f t="array" ref="W43">IF(S43="Yes",TREND($M$27:$M$28,$I$27:$I$28,R43),0)</f>
        <v>0</v>
      </c>
      <c r="X43" s="51" cm="1">
        <f t="array" ref="X43">IF(S43="Yes",TREND($N$27:$N$28,$I$27:$I$28,R43),0)</f>
        <v>0</v>
      </c>
      <c r="Y43" s="78">
        <f t="shared" si="2"/>
        <v>0</v>
      </c>
      <c r="AB43" s="718"/>
      <c r="AC43" s="50">
        <f t="shared" si="6"/>
        <v>2057</v>
      </c>
      <c r="AD43" s="24" t="s">
        <v>623</v>
      </c>
      <c r="AE43" s="24" t="str">
        <f>IF(R43&gt;=Assumptions!$D$14,"Yes","No")</f>
        <v>Yes</v>
      </c>
      <c r="AF43" s="51" cm="1">
        <f t="array" ref="AF43">IF(AC43&lt;=Assumptions!$D$15,IF(AC43&lt;Assumptions!$D$14,TREND('Safety Improvements'!$J$32:$J$33,'Safety Improvements'!$I$32:$I$33,AC43),TREND('Safety Improvements'!$J$34:$J$35,'Safety Improvements'!$I$34:$I$35,'Safety Improvements'!AC43)),0)</f>
        <v>0</v>
      </c>
      <c r="AG43" s="51" cm="1">
        <f t="array" ref="AG43">IF(AC43&lt;=Assumptions!$D$15,IF(AC43&lt;Assumptions!$D$14,TREND('Safety Improvements'!$K$32:$K$33,'Safety Improvements'!$I$32:$I$33,AC43),TREND('Safety Improvements'!$K$34:$K$35,'Safety Improvements'!$I$34:$I$35,'Safety Improvements'!AC43)),0)</f>
        <v>0</v>
      </c>
      <c r="AH43" s="51" cm="1">
        <f t="array" ref="AH43">IF(AC43&lt;=Assumptions!$D$15,IF(AC43&lt;Assumptions!$D$14,TREND('Safety Improvements'!$L$32:$L$33,'Safety Improvements'!$I$32:$I$33,AC43),TREND('Safety Improvements'!$L$34:$L$35,'Safety Improvements'!$I$34:$I$35,'Safety Improvements'!AC43)),0)</f>
        <v>0</v>
      </c>
      <c r="AI43" s="51" cm="1">
        <f t="array" ref="AI43">IF(AC43&lt;=Assumptions!$D$15,IF(AC43&lt;Assumptions!$D$14,TREND('Safety Improvements'!$M$32:$M$33,'Safety Improvements'!$I$32:$I$33,AC43),TREND('Safety Improvements'!$M$34:$M$35,'Safety Improvements'!$I$34:$I$35,'Safety Improvements'!AC43)),0)</f>
        <v>0</v>
      </c>
      <c r="AJ43" s="51" cm="1">
        <f t="array" ref="AJ43">IF(AC43&lt;=Assumptions!$D$15,IF(AC43&lt;Assumptions!$D$14,TREND('Safety Improvements'!$N$32:$N$33,'Safety Improvements'!$I$32:$I$33,AC43),TREND('Safety Improvements'!$N$34:$N$35,'Safety Improvements'!$I$34:$I$35,'Safety Improvements'!AC43)),0)</f>
        <v>0</v>
      </c>
      <c r="AK43" s="78">
        <f t="shared" si="3"/>
        <v>0</v>
      </c>
    </row>
    <row r="44" spans="1:38" ht="15" customHeight="1" x14ac:dyDescent="0.25">
      <c r="B44" s="702"/>
      <c r="C44" s="702"/>
      <c r="D44" s="702"/>
      <c r="E44" s="702"/>
      <c r="F44" s="702"/>
      <c r="Q44" s="718"/>
      <c r="R44" s="50">
        <f t="shared" si="5"/>
        <v>2058</v>
      </c>
      <c r="S44" s="24" t="str">
        <f>IF(R44+1&lt;=Assumptions!$D$33,"Yes","No")</f>
        <v>No</v>
      </c>
      <c r="T44" s="51" cm="1">
        <f t="array" ref="T44">IF(S44="Yes",TREND($J$27:$J$28,$I$27:$I$28,R44),0)</f>
        <v>0</v>
      </c>
      <c r="U44" s="51" cm="1">
        <f t="array" ref="U44">IF(S44="Yes",TREND($K$27:$K$28,$I$27:$I$28,R44),0)</f>
        <v>0</v>
      </c>
      <c r="V44" s="51" cm="1">
        <f t="array" ref="V44">IF(S44="Yes",TREND($L$27:$L$28,$I$27:$I$28,R44),0)</f>
        <v>0</v>
      </c>
      <c r="W44" s="51" cm="1">
        <f t="array" ref="W44">IF(S44="Yes",TREND($M$27:$M$28,$I$27:$I$28,R44),0)</f>
        <v>0</v>
      </c>
      <c r="X44" s="51" cm="1">
        <f t="array" ref="X44">IF(S44="Yes",TREND($N$27:$N$28,$I$27:$I$28,R44),0)</f>
        <v>0</v>
      </c>
      <c r="Y44" s="78">
        <f t="shared" si="2"/>
        <v>0</v>
      </c>
      <c r="AB44" s="718"/>
      <c r="AC44" s="50">
        <f t="shared" si="6"/>
        <v>2058</v>
      </c>
      <c r="AD44" s="24" t="s">
        <v>623</v>
      </c>
      <c r="AE44" s="24" t="str">
        <f>IF(R44&gt;=Assumptions!$D$14,"Yes","No")</f>
        <v>Yes</v>
      </c>
      <c r="AF44" s="51" cm="1">
        <f t="array" ref="AF44">IF(AC44&lt;=Assumptions!$D$15,IF(AC44&lt;Assumptions!$D$14,TREND('Safety Improvements'!$J$32:$J$33,'Safety Improvements'!$I$32:$I$33,AC44),TREND('Safety Improvements'!$J$34:$J$35,'Safety Improvements'!$I$34:$I$35,'Safety Improvements'!AC44)),0)</f>
        <v>0</v>
      </c>
      <c r="AG44" s="51" cm="1">
        <f t="array" ref="AG44">IF(AC44&lt;=Assumptions!$D$15,IF(AC44&lt;Assumptions!$D$14,TREND('Safety Improvements'!$K$32:$K$33,'Safety Improvements'!$I$32:$I$33,AC44),TREND('Safety Improvements'!$K$34:$K$35,'Safety Improvements'!$I$34:$I$35,'Safety Improvements'!AC44)),0)</f>
        <v>0</v>
      </c>
      <c r="AH44" s="51" cm="1">
        <f t="array" ref="AH44">IF(AC44&lt;=Assumptions!$D$15,IF(AC44&lt;Assumptions!$D$14,TREND('Safety Improvements'!$L$32:$L$33,'Safety Improvements'!$I$32:$I$33,AC44),TREND('Safety Improvements'!$L$34:$L$35,'Safety Improvements'!$I$34:$I$35,'Safety Improvements'!AC44)),0)</f>
        <v>0</v>
      </c>
      <c r="AI44" s="51" cm="1">
        <f t="array" ref="AI44">IF(AC44&lt;=Assumptions!$D$15,IF(AC44&lt;Assumptions!$D$14,TREND('Safety Improvements'!$M$32:$M$33,'Safety Improvements'!$I$32:$I$33,AC44),TREND('Safety Improvements'!$M$34:$M$35,'Safety Improvements'!$I$34:$I$35,'Safety Improvements'!AC44)),0)</f>
        <v>0</v>
      </c>
      <c r="AJ44" s="51" cm="1">
        <f t="array" ref="AJ44">IF(AC44&lt;=Assumptions!$D$15,IF(AC44&lt;Assumptions!$D$14,TREND('Safety Improvements'!$N$32:$N$33,'Safety Improvements'!$I$32:$I$33,AC44),TREND('Safety Improvements'!$N$34:$N$35,'Safety Improvements'!$I$34:$I$35,'Safety Improvements'!AC44)),0)</f>
        <v>0</v>
      </c>
      <c r="AK44" s="78">
        <f t="shared" si="3"/>
        <v>0</v>
      </c>
    </row>
    <row r="45" spans="1:38" ht="15" customHeight="1" x14ac:dyDescent="0.25">
      <c r="B45" s="702"/>
      <c r="C45" s="702"/>
      <c r="D45" s="702"/>
      <c r="E45" s="702"/>
      <c r="F45" s="702"/>
      <c r="Q45" s="718"/>
      <c r="R45" s="50">
        <f t="shared" si="5"/>
        <v>2059</v>
      </c>
      <c r="S45" s="24" t="str">
        <f>IF(R45+1&lt;=Assumptions!$D$33,"Yes","No")</f>
        <v>No</v>
      </c>
      <c r="T45" s="51" cm="1">
        <f t="array" ref="T45">IF(S45="Yes",TREND($J$27:$J$28,$I$27:$I$28,R45),0)</f>
        <v>0</v>
      </c>
      <c r="U45" s="51" cm="1">
        <f t="array" ref="U45">IF(S45="Yes",TREND($K$27:$K$28,$I$27:$I$28,R45),0)</f>
        <v>0</v>
      </c>
      <c r="V45" s="51" cm="1">
        <f t="array" ref="V45">IF(S45="Yes",TREND($L$27:$L$28,$I$27:$I$28,R45),0)</f>
        <v>0</v>
      </c>
      <c r="W45" s="51" cm="1">
        <f t="array" ref="W45">IF(S45="Yes",TREND($M$27:$M$28,$I$27:$I$28,R45),0)</f>
        <v>0</v>
      </c>
      <c r="X45" s="51" cm="1">
        <f t="array" ref="X45">IF(S45="Yes",TREND($N$27:$N$28,$I$27:$I$28,R45),0)</f>
        <v>0</v>
      </c>
      <c r="Y45" s="78">
        <f t="shared" si="2"/>
        <v>0</v>
      </c>
      <c r="AB45" s="718"/>
      <c r="AC45" s="50">
        <f t="shared" si="6"/>
        <v>2059</v>
      </c>
      <c r="AD45" s="24" t="s">
        <v>623</v>
      </c>
      <c r="AE45" s="24" t="str">
        <f>IF(R45&gt;=Assumptions!$D$14,"Yes","No")</f>
        <v>Yes</v>
      </c>
      <c r="AF45" s="51" cm="1">
        <f t="array" ref="AF45">IF(AC45&lt;=Assumptions!$D$15,IF(AC45&lt;Assumptions!$D$14,TREND('Safety Improvements'!$J$32:$J$33,'Safety Improvements'!$I$32:$I$33,AC45),TREND('Safety Improvements'!$J$34:$J$35,'Safety Improvements'!$I$34:$I$35,'Safety Improvements'!AC45)),0)</f>
        <v>0</v>
      </c>
      <c r="AG45" s="51" cm="1">
        <f t="array" ref="AG45">IF(AC45&lt;=Assumptions!$D$15,IF(AC45&lt;Assumptions!$D$14,TREND('Safety Improvements'!$K$32:$K$33,'Safety Improvements'!$I$32:$I$33,AC45),TREND('Safety Improvements'!$K$34:$K$35,'Safety Improvements'!$I$34:$I$35,'Safety Improvements'!AC45)),0)</f>
        <v>0</v>
      </c>
      <c r="AH45" s="51" cm="1">
        <f t="array" ref="AH45">IF(AC45&lt;=Assumptions!$D$15,IF(AC45&lt;Assumptions!$D$14,TREND('Safety Improvements'!$L$32:$L$33,'Safety Improvements'!$I$32:$I$33,AC45),TREND('Safety Improvements'!$L$34:$L$35,'Safety Improvements'!$I$34:$I$35,'Safety Improvements'!AC45)),0)</f>
        <v>0</v>
      </c>
      <c r="AI45" s="51" cm="1">
        <f t="array" ref="AI45">IF(AC45&lt;=Assumptions!$D$15,IF(AC45&lt;Assumptions!$D$14,TREND('Safety Improvements'!$M$32:$M$33,'Safety Improvements'!$I$32:$I$33,AC45),TREND('Safety Improvements'!$M$34:$M$35,'Safety Improvements'!$I$34:$I$35,'Safety Improvements'!AC45)),0)</f>
        <v>0</v>
      </c>
      <c r="AJ45" s="51" cm="1">
        <f t="array" ref="AJ45">IF(AC45&lt;=Assumptions!$D$15,IF(AC45&lt;Assumptions!$D$14,TREND('Safety Improvements'!$N$32:$N$33,'Safety Improvements'!$I$32:$I$33,AC45),TREND('Safety Improvements'!$N$34:$N$35,'Safety Improvements'!$I$34:$I$35,'Safety Improvements'!AC45)),0)</f>
        <v>0</v>
      </c>
      <c r="AK45" s="78">
        <f t="shared" si="3"/>
        <v>0</v>
      </c>
    </row>
    <row r="46" spans="1:38" x14ac:dyDescent="0.25">
      <c r="B46" s="8"/>
      <c r="C46" s="8"/>
      <c r="D46" s="8"/>
      <c r="E46" s="8"/>
      <c r="F46" s="8"/>
      <c r="Q46" s="719"/>
      <c r="R46" s="50">
        <f t="shared" si="5"/>
        <v>2060</v>
      </c>
      <c r="S46" s="24" t="str">
        <f>IF(R46+1&lt;=Assumptions!$D$33,"Yes","No")</f>
        <v>No</v>
      </c>
      <c r="T46" s="51" cm="1">
        <f t="array" ref="T46">IF(S46="Yes",TREND($J$27:$J$28,$I$27:$I$28,R46),0)</f>
        <v>0</v>
      </c>
      <c r="U46" s="51" cm="1">
        <f t="array" ref="U46">IF(S46="Yes",TREND($K$27:$K$28,$I$27:$I$28,R46),0)</f>
        <v>0</v>
      </c>
      <c r="V46" s="51" cm="1">
        <f t="array" ref="V46">IF(S46="Yes",TREND($L$27:$L$28,$I$27:$I$28,R46),0)</f>
        <v>0</v>
      </c>
      <c r="W46" s="51" cm="1">
        <f t="array" ref="W46">IF(S46="Yes",TREND($M$27:$M$28,$I$27:$I$28,R46),0)</f>
        <v>0</v>
      </c>
      <c r="X46" s="51" cm="1">
        <f t="array" ref="X46">IF(S46="Yes",TREND($N$27:$N$28,$I$27:$I$28,R46),0)</f>
        <v>0</v>
      </c>
      <c r="Y46" s="78">
        <f t="shared" si="2"/>
        <v>0</v>
      </c>
      <c r="AB46" s="719"/>
      <c r="AC46" s="50">
        <f t="shared" si="6"/>
        <v>2060</v>
      </c>
      <c r="AD46" s="24" t="s">
        <v>623</v>
      </c>
      <c r="AE46" s="24" t="str">
        <f>IF(R46&gt;=Assumptions!$D$14,"Yes","No")</f>
        <v>Yes</v>
      </c>
      <c r="AF46" s="51" cm="1">
        <f t="array" ref="AF46">IF(AC46&lt;=Assumptions!$D$15,IF(AC46&lt;Assumptions!$D$14,TREND('Safety Improvements'!$J$32:$J$33,'Safety Improvements'!$I$32:$I$33,AC46),TREND('Safety Improvements'!$J$34:$J$35,'Safety Improvements'!$I$34:$I$35,'Safety Improvements'!AC46)),0)</f>
        <v>0</v>
      </c>
      <c r="AG46" s="51" cm="1">
        <f t="array" ref="AG46">IF(AC46&lt;=Assumptions!$D$15,IF(AC46&lt;Assumptions!$D$14,TREND('Safety Improvements'!$K$32:$K$33,'Safety Improvements'!$I$32:$I$33,AC46),TREND('Safety Improvements'!$K$34:$K$35,'Safety Improvements'!$I$34:$I$35,'Safety Improvements'!AC46)),0)</f>
        <v>0</v>
      </c>
      <c r="AH46" s="51" cm="1">
        <f t="array" ref="AH46">IF(AC46&lt;=Assumptions!$D$15,IF(AC46&lt;Assumptions!$D$14,TREND('Safety Improvements'!$L$32:$L$33,'Safety Improvements'!$I$32:$I$33,AC46),TREND('Safety Improvements'!$L$34:$L$35,'Safety Improvements'!$I$34:$I$35,'Safety Improvements'!AC46)),0)</f>
        <v>0</v>
      </c>
      <c r="AI46" s="51" cm="1">
        <f t="array" ref="AI46">IF(AC46&lt;=Assumptions!$D$15,IF(AC46&lt;Assumptions!$D$14,TREND('Safety Improvements'!$M$32:$M$33,'Safety Improvements'!$I$32:$I$33,AC46),TREND('Safety Improvements'!$M$34:$M$35,'Safety Improvements'!$I$34:$I$35,'Safety Improvements'!AC46)),0)</f>
        <v>0</v>
      </c>
      <c r="AJ46" s="51" cm="1">
        <f t="array" ref="AJ46">IF(AC46&lt;=Assumptions!$D$15,IF(AC46&lt;Assumptions!$D$14,TREND('Safety Improvements'!$N$32:$N$33,'Safety Improvements'!$I$32:$I$33,AC46),TREND('Safety Improvements'!$N$34:$N$35,'Safety Improvements'!$I$34:$I$35,'Safety Improvements'!AC46)),0)</f>
        <v>0</v>
      </c>
      <c r="AK46" s="78">
        <f t="shared" si="3"/>
        <v>0</v>
      </c>
    </row>
    <row r="47" spans="1:38" ht="15" customHeight="1" x14ac:dyDescent="0.25">
      <c r="A47" s="2" t="s">
        <v>22</v>
      </c>
      <c r="B47" s="702" t="s">
        <v>205</v>
      </c>
      <c r="C47" s="702"/>
      <c r="D47" s="702"/>
      <c r="E47" s="702"/>
      <c r="F47" s="702"/>
      <c r="Q47" s="596"/>
      <c r="R47" s="596"/>
      <c r="S47" s="596"/>
      <c r="T47" s="596"/>
      <c r="U47" s="596"/>
      <c r="V47" s="596"/>
      <c r="W47" s="596"/>
      <c r="X47" s="596"/>
      <c r="Y47" s="597"/>
      <c r="Z47" s="597"/>
      <c r="AA47" s="597"/>
      <c r="AB47" s="597"/>
      <c r="AC47" s="597"/>
      <c r="AD47" s="597"/>
      <c r="AE47" s="597"/>
      <c r="AF47" s="597"/>
      <c r="AG47" s="597"/>
      <c r="AH47" s="597"/>
      <c r="AI47" s="597"/>
      <c r="AJ47" s="597"/>
      <c r="AK47" s="597"/>
      <c r="AL47" s="597"/>
    </row>
    <row r="48" spans="1:38" x14ac:dyDescent="0.25">
      <c r="B48" s="702"/>
      <c r="C48" s="702"/>
      <c r="D48" s="702"/>
      <c r="E48" s="702"/>
      <c r="F48" s="702"/>
      <c r="Q48" s="596"/>
      <c r="R48" s="596"/>
      <c r="S48" s="596"/>
      <c r="T48" s="596"/>
      <c r="U48" s="596"/>
      <c r="V48" s="596"/>
      <c r="W48" s="596"/>
      <c r="X48" s="596"/>
      <c r="Y48" s="597"/>
      <c r="Z48" s="597"/>
      <c r="AA48" s="597"/>
      <c r="AB48" s="597"/>
      <c r="AC48" s="597"/>
      <c r="AD48" s="597"/>
      <c r="AE48" s="597"/>
      <c r="AF48" s="597"/>
      <c r="AG48" s="597"/>
      <c r="AH48" s="597"/>
      <c r="AI48" s="597"/>
      <c r="AJ48" s="597"/>
      <c r="AK48" s="597"/>
      <c r="AL48" s="597"/>
    </row>
    <row r="49" spans="1:38" ht="15" customHeight="1" x14ac:dyDescent="0.25">
      <c r="A49" s="2"/>
      <c r="B49" s="702"/>
      <c r="C49" s="702"/>
      <c r="D49" s="702"/>
      <c r="E49" s="702"/>
      <c r="F49" s="702"/>
      <c r="Q49" s="596"/>
      <c r="R49" s="596"/>
      <c r="S49" s="596"/>
      <c r="T49" s="596"/>
      <c r="U49" s="596"/>
      <c r="V49" s="596"/>
      <c r="W49" s="596"/>
      <c r="X49" s="596"/>
      <c r="Y49" s="597"/>
      <c r="Z49" s="597"/>
      <c r="AA49" s="597"/>
      <c r="AB49" s="597"/>
      <c r="AC49" s="597"/>
      <c r="AD49" s="597"/>
      <c r="AE49" s="597"/>
      <c r="AF49" s="597"/>
      <c r="AG49" s="597"/>
      <c r="AH49" s="597"/>
      <c r="AI49" s="597"/>
      <c r="AJ49" s="597"/>
      <c r="AK49" s="597"/>
      <c r="AL49" s="597"/>
    </row>
    <row r="50" spans="1:38" ht="15" customHeight="1" x14ac:dyDescent="0.25">
      <c r="B50" s="702"/>
      <c r="C50" s="702"/>
      <c r="D50" s="702"/>
      <c r="E50" s="702"/>
      <c r="F50" s="702"/>
      <c r="Q50" s="596"/>
      <c r="R50" s="596"/>
      <c r="S50" s="596"/>
      <c r="T50" s="596"/>
      <c r="U50" s="596"/>
      <c r="V50" s="596"/>
      <c r="W50" s="596"/>
      <c r="X50" s="596"/>
      <c r="Y50" s="597"/>
      <c r="Z50" s="597"/>
      <c r="AA50" s="597"/>
      <c r="AB50" s="597"/>
      <c r="AC50" s="597"/>
      <c r="AD50" s="597"/>
      <c r="AE50" s="597"/>
      <c r="AF50" s="597"/>
      <c r="AG50" s="597"/>
      <c r="AH50" s="597"/>
      <c r="AI50" s="597"/>
      <c r="AJ50" s="597"/>
      <c r="AK50" s="597"/>
      <c r="AL50" s="597"/>
    </row>
    <row r="51" spans="1:38" ht="15" customHeight="1" x14ac:dyDescent="0.25">
      <c r="B51" s="702"/>
      <c r="C51" s="702"/>
      <c r="D51" s="702"/>
      <c r="E51" s="702"/>
      <c r="F51" s="702"/>
      <c r="Q51" s="596"/>
      <c r="R51" s="596"/>
      <c r="S51" s="596"/>
      <c r="T51" s="596"/>
      <c r="U51" s="596"/>
      <c r="V51" s="596"/>
      <c r="W51" s="596"/>
      <c r="X51" s="596"/>
      <c r="Y51" s="597"/>
      <c r="Z51" s="597"/>
      <c r="AA51" s="597"/>
      <c r="AB51" s="597"/>
      <c r="AC51" s="597"/>
      <c r="AD51" s="597"/>
      <c r="AE51" s="597"/>
      <c r="AF51" s="597"/>
      <c r="AG51" s="597"/>
      <c r="AH51" s="597"/>
      <c r="AI51" s="597"/>
      <c r="AJ51" s="597"/>
      <c r="AK51" s="597"/>
      <c r="AL51" s="597"/>
    </row>
    <row r="52" spans="1:38" x14ac:dyDescent="0.25">
      <c r="B52" s="702"/>
      <c r="C52" s="702"/>
      <c r="D52" s="702"/>
      <c r="E52" s="702"/>
      <c r="F52" s="702"/>
      <c r="Q52" s="596"/>
      <c r="R52" s="596"/>
      <c r="S52" s="596"/>
      <c r="T52" s="596"/>
      <c r="U52" s="596"/>
      <c r="V52" s="596"/>
      <c r="W52" s="596"/>
      <c r="X52" s="596"/>
      <c r="Y52" s="597"/>
      <c r="Z52" s="597"/>
      <c r="AA52" s="597"/>
      <c r="AB52" s="597"/>
      <c r="AC52" s="597"/>
      <c r="AD52" s="597"/>
      <c r="AE52" s="597"/>
      <c r="AF52" s="597"/>
      <c r="AG52" s="597"/>
      <c r="AH52" s="597"/>
      <c r="AI52" s="597"/>
      <c r="AJ52" s="597"/>
      <c r="AK52" s="597"/>
      <c r="AL52" s="597"/>
    </row>
    <row r="53" spans="1:38" ht="15" customHeight="1" x14ac:dyDescent="0.25">
      <c r="Q53" s="596"/>
      <c r="R53" s="596"/>
      <c r="S53" s="596"/>
      <c r="T53" s="596"/>
      <c r="U53" s="596"/>
      <c r="V53" s="596"/>
      <c r="W53" s="596"/>
      <c r="X53" s="596"/>
      <c r="Y53" s="596"/>
      <c r="Z53" s="596"/>
    </row>
    <row r="54" spans="1:38" ht="15" customHeight="1" x14ac:dyDescent="0.25">
      <c r="A54" s="2" t="s">
        <v>23</v>
      </c>
      <c r="B54" s="702" t="s">
        <v>200</v>
      </c>
      <c r="C54" s="702"/>
      <c r="D54" s="702"/>
      <c r="E54" s="702"/>
      <c r="F54" s="702"/>
    </row>
    <row r="55" spans="1:38" x14ac:dyDescent="0.25">
      <c r="B55" s="702"/>
      <c r="C55" s="702"/>
      <c r="D55" s="702"/>
      <c r="E55" s="702"/>
      <c r="F55" s="702"/>
    </row>
    <row r="56" spans="1:38" ht="15" customHeight="1" x14ac:dyDescent="0.25">
      <c r="B56" s="702"/>
      <c r="C56" s="702"/>
      <c r="D56" s="702"/>
      <c r="E56" s="702"/>
      <c r="F56" s="702"/>
    </row>
    <row r="57" spans="1:38" x14ac:dyDescent="0.25">
      <c r="B57" s="8"/>
      <c r="C57" s="8"/>
      <c r="D57" s="8"/>
      <c r="E57" s="8"/>
      <c r="F57" s="8"/>
    </row>
    <row r="58" spans="1:38" ht="15" customHeight="1" x14ac:dyDescent="0.25">
      <c r="A58" s="2" t="s">
        <v>162</v>
      </c>
      <c r="B58" s="702" t="s">
        <v>935</v>
      </c>
      <c r="C58" s="702"/>
      <c r="D58" s="702"/>
      <c r="E58" s="702"/>
      <c r="F58" s="702"/>
    </row>
    <row r="59" spans="1:38" x14ac:dyDescent="0.25">
      <c r="B59" s="702"/>
      <c r="C59" s="702"/>
      <c r="D59" s="702"/>
      <c r="E59" s="702"/>
      <c r="F59" s="702"/>
    </row>
    <row r="60" spans="1:38" x14ac:dyDescent="0.25">
      <c r="B60" s="702"/>
      <c r="C60" s="702"/>
      <c r="D60" s="702"/>
      <c r="E60" s="702"/>
      <c r="F60" s="702"/>
    </row>
    <row r="61" spans="1:38" ht="15" customHeight="1" x14ac:dyDescent="0.25">
      <c r="B61" s="702"/>
      <c r="C61" s="702"/>
      <c r="D61" s="702"/>
      <c r="E61" s="702"/>
      <c r="F61" s="702"/>
    </row>
    <row r="62" spans="1:38" x14ac:dyDescent="0.25">
      <c r="B62" s="702"/>
      <c r="C62" s="702"/>
      <c r="D62" s="702"/>
      <c r="E62" s="702"/>
      <c r="F62" s="702"/>
    </row>
    <row r="63" spans="1:38" x14ac:dyDescent="0.25">
      <c r="B63" s="702"/>
      <c r="C63" s="702"/>
      <c r="D63" s="702"/>
      <c r="E63" s="702"/>
      <c r="F63" s="702"/>
    </row>
    <row r="64" spans="1:38" x14ac:dyDescent="0.25">
      <c r="B64" s="702"/>
      <c r="C64" s="702"/>
      <c r="D64" s="702"/>
      <c r="E64" s="702"/>
      <c r="F64" s="702"/>
    </row>
    <row r="65" spans="2:6" x14ac:dyDescent="0.25">
      <c r="B65" s="702"/>
      <c r="C65" s="702"/>
      <c r="D65" s="702"/>
      <c r="E65" s="702"/>
      <c r="F65" s="702"/>
    </row>
    <row r="66" spans="2:6" x14ac:dyDescent="0.25">
      <c r="B66" s="702"/>
      <c r="C66" s="702"/>
      <c r="D66" s="702"/>
      <c r="E66" s="702"/>
      <c r="F66" s="702"/>
    </row>
    <row r="67" spans="2:6" x14ac:dyDescent="0.25">
      <c r="B67" s="702"/>
      <c r="C67" s="702"/>
      <c r="D67" s="702"/>
      <c r="E67" s="702"/>
      <c r="F67" s="702"/>
    </row>
    <row r="68" spans="2:6" x14ac:dyDescent="0.25">
      <c r="B68" s="702"/>
      <c r="C68" s="702"/>
      <c r="D68" s="702"/>
      <c r="E68" s="702"/>
      <c r="F68" s="702"/>
    </row>
    <row r="104" spans="23:36" x14ac:dyDescent="0.25">
      <c r="W104" s="3"/>
      <c r="X104" s="3"/>
      <c r="Y104" s="3"/>
      <c r="AI104" s="3"/>
      <c r="AJ104" s="3"/>
    </row>
  </sheetData>
  <mergeCells count="12">
    <mergeCell ref="B58:F68"/>
    <mergeCell ref="B4:B5"/>
    <mergeCell ref="C4:C5"/>
    <mergeCell ref="D4:D5"/>
    <mergeCell ref="B54:F56"/>
    <mergeCell ref="B41:F45"/>
    <mergeCell ref="B47:F52"/>
    <mergeCell ref="Q6:Q46"/>
    <mergeCell ref="AB6:AB46"/>
    <mergeCell ref="C3:F3"/>
    <mergeCell ref="E4:E5"/>
    <mergeCell ref="F4:F5"/>
  </mergeCells>
  <phoneticPr fontId="14" type="noConversion"/>
  <pageMargins left="0.25" right="0.25" top="0.75" bottom="0.75" header="0.3" footer="0.3"/>
  <pageSetup paperSize="3"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C6E6E-78C5-4739-9510-112FC149CD1F}">
  <sheetPr codeName="Sheet8">
    <tabColor theme="6" tint="0.79998168889431442"/>
    <pageSetUpPr fitToPage="1"/>
  </sheetPr>
  <dimension ref="A1:AG69"/>
  <sheetViews>
    <sheetView view="pageBreakPreview" zoomScale="70" zoomScaleNormal="55" zoomScaleSheetLayoutView="70" workbookViewId="0">
      <selection activeCell="C8" sqref="C8"/>
    </sheetView>
  </sheetViews>
  <sheetFormatPr defaultRowHeight="15" x14ac:dyDescent="0.25"/>
  <cols>
    <col min="2" max="2" width="15.7109375" customWidth="1"/>
    <col min="3" max="11" width="19.7109375" customWidth="1"/>
    <col min="12" max="12" width="23" bestFit="1" customWidth="1"/>
    <col min="13" max="13" width="15.7109375" customWidth="1"/>
    <col min="14" max="15" width="19.7109375" customWidth="1"/>
    <col min="16" max="16" width="15.7109375" customWidth="1"/>
    <col min="17" max="17" width="20.140625" customWidth="1"/>
    <col min="18" max="19" width="29.42578125" customWidth="1"/>
    <col min="20" max="20" width="15.7109375" customWidth="1"/>
    <col min="21" max="25" width="15.42578125" customWidth="1"/>
    <col min="26" max="26" width="21.85546875" customWidth="1"/>
    <col min="27" max="27" width="27.28515625" customWidth="1"/>
    <col min="28" max="28" width="19.5703125" bestFit="1" customWidth="1"/>
    <col min="29" max="29" width="12.28515625" bestFit="1" customWidth="1"/>
    <col min="30" max="30" width="9.7109375" bestFit="1" customWidth="1"/>
    <col min="31" max="31" width="11.28515625" bestFit="1" customWidth="1"/>
    <col min="32" max="32" width="8.7109375" bestFit="1" customWidth="1"/>
    <col min="33" max="33" width="12.140625" bestFit="1" customWidth="1"/>
    <col min="34" max="34" width="13.140625" customWidth="1"/>
  </cols>
  <sheetData>
    <row r="1" spans="2:33" x14ac:dyDescent="0.25">
      <c r="B1" s="47"/>
      <c r="C1" s="47"/>
      <c r="D1" s="47"/>
      <c r="E1" s="47"/>
      <c r="F1" s="47"/>
      <c r="G1" s="47"/>
      <c r="H1" s="47"/>
      <c r="I1" s="47"/>
      <c r="J1" s="47"/>
      <c r="K1" s="47"/>
      <c r="L1" s="47"/>
      <c r="M1" s="47"/>
      <c r="N1" s="47"/>
      <c r="O1" s="47"/>
    </row>
    <row r="2" spans="2:33" ht="15.75" thickBot="1" x14ac:dyDescent="0.3">
      <c r="B2" s="1" t="s">
        <v>90</v>
      </c>
      <c r="C2" s="1"/>
      <c r="D2" s="1"/>
      <c r="E2" s="1"/>
    </row>
    <row r="3" spans="2:33" ht="18.75" thickBot="1" x14ac:dyDescent="0.3">
      <c r="C3" s="733" t="s">
        <v>91</v>
      </c>
      <c r="D3" s="739"/>
      <c r="E3" s="734"/>
      <c r="F3" s="721"/>
      <c r="G3" s="721"/>
      <c r="H3" s="721"/>
      <c r="I3" s="721"/>
      <c r="J3" s="721"/>
      <c r="K3" s="721"/>
      <c r="L3" s="721"/>
      <c r="M3" s="721"/>
      <c r="N3" s="740" t="s">
        <v>92</v>
      </c>
      <c r="O3" s="741"/>
      <c r="Q3" s="33" t="s">
        <v>124</v>
      </c>
      <c r="U3" s="19" t="s">
        <v>125</v>
      </c>
      <c r="V3" s="19"/>
      <c r="W3" s="19"/>
      <c r="X3" s="19"/>
      <c r="Y3" s="19"/>
      <c r="AA3" s="1" t="s">
        <v>127</v>
      </c>
    </row>
    <row r="4" spans="2:33" ht="35.1" customHeight="1" thickBot="1" x14ac:dyDescent="0.3">
      <c r="B4" s="742" t="s">
        <v>0</v>
      </c>
      <c r="C4" s="709" t="s">
        <v>212</v>
      </c>
      <c r="D4" s="709" t="s">
        <v>201</v>
      </c>
      <c r="E4" s="744" t="s">
        <v>93</v>
      </c>
      <c r="F4" s="711" t="s">
        <v>213</v>
      </c>
      <c r="G4" s="728" t="s">
        <v>214</v>
      </c>
      <c r="H4" s="713" t="s">
        <v>215</v>
      </c>
      <c r="I4" s="711" t="s">
        <v>216</v>
      </c>
      <c r="J4" s="728" t="s">
        <v>217</v>
      </c>
      <c r="K4" s="713" t="s">
        <v>218</v>
      </c>
      <c r="L4" s="709" t="s">
        <v>202</v>
      </c>
      <c r="M4" s="731" t="s">
        <v>1</v>
      </c>
      <c r="N4" s="735" t="s">
        <v>94</v>
      </c>
      <c r="O4" s="737" t="s">
        <v>95</v>
      </c>
      <c r="R4" s="733" t="s">
        <v>116</v>
      </c>
      <c r="S4" s="734"/>
      <c r="U4" s="23" t="s">
        <v>96</v>
      </c>
      <c r="V4" s="32" t="s">
        <v>806</v>
      </c>
      <c r="W4" s="32" t="s">
        <v>807</v>
      </c>
      <c r="X4" s="32" t="s">
        <v>808</v>
      </c>
      <c r="Y4" s="32" t="s">
        <v>809</v>
      </c>
      <c r="AA4" s="32" t="s">
        <v>101</v>
      </c>
      <c r="AB4" s="32" t="s">
        <v>102</v>
      </c>
      <c r="AC4" s="32" t="s">
        <v>103</v>
      </c>
      <c r="AD4" s="32" t="s">
        <v>806</v>
      </c>
      <c r="AE4" s="32" t="s">
        <v>807</v>
      </c>
      <c r="AF4" s="32" t="s">
        <v>808</v>
      </c>
      <c r="AG4" s="32" t="s">
        <v>809</v>
      </c>
    </row>
    <row r="5" spans="2:33" ht="35.1" customHeight="1" thickBot="1" x14ac:dyDescent="0.3">
      <c r="B5" s="743"/>
      <c r="C5" s="730"/>
      <c r="D5" s="730"/>
      <c r="E5" s="745"/>
      <c r="F5" s="727"/>
      <c r="G5" s="729"/>
      <c r="H5" s="726"/>
      <c r="I5" s="727"/>
      <c r="J5" s="729"/>
      <c r="K5" s="726"/>
      <c r="L5" s="730"/>
      <c r="M5" s="732"/>
      <c r="N5" s="736"/>
      <c r="O5" s="738"/>
      <c r="Q5" s="205" t="s">
        <v>30</v>
      </c>
      <c r="R5" s="206" t="s">
        <v>114</v>
      </c>
      <c r="S5" s="165" t="s">
        <v>115</v>
      </c>
      <c r="U5" s="23" t="s">
        <v>104</v>
      </c>
      <c r="V5" s="639">
        <f t="shared" ref="V5:Y6" si="0">AB21</f>
        <v>0.22790983982547491</v>
      </c>
      <c r="W5" s="639">
        <f t="shared" si="0"/>
        <v>2.0699004398994176E-3</v>
      </c>
      <c r="X5" s="639">
        <f t="shared" si="0"/>
        <v>5.8180715878192544E-3</v>
      </c>
      <c r="Y5" s="639">
        <f t="shared" si="0"/>
        <v>317.22468262036</v>
      </c>
      <c r="AA5" s="32">
        <v>11</v>
      </c>
      <c r="AB5" s="32" t="s">
        <v>35</v>
      </c>
      <c r="AC5" s="32" t="s">
        <v>105</v>
      </c>
      <c r="AD5" s="639">
        <v>0.73690802096518104</v>
      </c>
      <c r="AE5" s="639">
        <v>2.4081927794970298E-3</v>
      </c>
      <c r="AF5" s="639">
        <v>1.78605259703664E-2</v>
      </c>
      <c r="AG5" s="639">
        <v>362.51238716242</v>
      </c>
    </row>
    <row r="6" spans="2:33" ht="17.25" customHeight="1" x14ac:dyDescent="0.25">
      <c r="B6" s="208">
        <f>Assumptions!$D$14</f>
        <v>2026</v>
      </c>
      <c r="C6" s="605">
        <f>IF(B6&gt;=(Assumptions!$D$33),IF(B6&lt;=Assumptions!$D$15,IF(B6&gt;=Assumptions!$D$33,($R6*$Y$5+$S6*$Y$6)/(1*10^6)),0),0)</f>
        <v>0</v>
      </c>
      <c r="D6" s="138">
        <f t="shared" ref="D6" si="1">C6*_xlfn.XLOOKUP($B6,$U$11:$U$49,$Y$11:$Y$49)</f>
        <v>0</v>
      </c>
      <c r="E6" s="137">
        <f>D6*(1+0.03)^-($B6-Assumptions!$D$11)</f>
        <v>0</v>
      </c>
      <c r="F6" s="209">
        <f>IF(B6&gt;=(Assumptions!$D$33),IF(B6&lt;=Assumptions!$D$15,IF(B6&gt;=Assumptions!$D$33,($R6*$V$5+$S6*$V$6)/(1*10^6)),0),0)</f>
        <v>0</v>
      </c>
      <c r="G6" s="210">
        <f>IF(B6&gt;=(Assumptions!$D$33),IF(B6&lt;=Assumptions!$D$15,IF(B6&gt;=Assumptions!$D$33,($R6*$W$5+$S6*$W$6)/(1*10^6)),0),0)</f>
        <v>0</v>
      </c>
      <c r="H6" s="211">
        <f>IF(B6&gt;=(Assumptions!$D$33),IF(B6&lt;=Assumptions!$D$15,IF(B6&gt;=Assumptions!$D$33,($R6*$X$5+$S6*$X$6)/(1*10^6)),0),0)</f>
        <v>0</v>
      </c>
      <c r="I6" s="136">
        <f t="shared" ref="I6" si="2">F6*_xlfn.XLOOKUP($B6,$U$11:$U$49,$V$11:$V$49)</f>
        <v>0</v>
      </c>
      <c r="J6" s="167">
        <f t="shared" ref="J6" si="3">F6*_xlfn.XLOOKUP($B6,$U$11:$U$49,$W$11:$W$49)</f>
        <v>0</v>
      </c>
      <c r="K6" s="137">
        <f t="shared" ref="K6" si="4">G6*_xlfn.XLOOKUP($B6,$U$11:$U$49,$X$11:$X$49)</f>
        <v>0</v>
      </c>
      <c r="L6" s="169">
        <f t="shared" ref="L6" si="5">SUM(I6:K6)</f>
        <v>0</v>
      </c>
      <c r="M6" s="212">
        <f>L6*(1+0.07)^-(B6-Assumptions!$D$11)</f>
        <v>0</v>
      </c>
      <c r="N6" s="138">
        <f t="shared" ref="N6" si="6">L6+D6</f>
        <v>0</v>
      </c>
      <c r="O6" s="137">
        <f>M6+E6</f>
        <v>0</v>
      </c>
      <c r="Q6" s="63">
        <f>B6</f>
        <v>2026</v>
      </c>
      <c r="R6" s="631">
        <f>_xlfn.XLOOKUP($Q6,'VOC Savings'!$Q$8:$Q$43,'VOC Savings'!$Z$8:$Z$43,0,0,1)</f>
        <v>0</v>
      </c>
      <c r="S6" s="632">
        <f>_xlfn.XLOOKUP($Q6,'VOC Savings'!$Q$8:$Q$43,'VOC Savings'!$AA$8:$AA$43,0,0,1)</f>
        <v>0</v>
      </c>
      <c r="U6" s="23" t="s">
        <v>77</v>
      </c>
      <c r="V6" s="639">
        <f t="shared" si="0"/>
        <v>2.099484306313415</v>
      </c>
      <c r="W6" s="639">
        <f t="shared" si="0"/>
        <v>4.7858028693373951E-3</v>
      </c>
      <c r="X6" s="639">
        <f t="shared" si="0"/>
        <v>3.2505287070740692E-2</v>
      </c>
      <c r="Y6" s="639">
        <f t="shared" si="0"/>
        <v>1238.7315972924489</v>
      </c>
      <c r="AA6" s="32">
        <v>21</v>
      </c>
      <c r="AB6" s="32" t="s">
        <v>106</v>
      </c>
      <c r="AC6" s="32" t="s">
        <v>105</v>
      </c>
      <c r="AD6" s="639">
        <v>3.7528759722247264E-2</v>
      </c>
      <c r="AE6" s="639">
        <v>1.6122938930079201E-3</v>
      </c>
      <c r="AF6" s="639">
        <v>1.1798384221972261E-3</v>
      </c>
      <c r="AG6" s="639">
        <v>243.79125643460799</v>
      </c>
    </row>
    <row r="7" spans="2:33" ht="17.25" customHeight="1" x14ac:dyDescent="0.25">
      <c r="B7" s="85">
        <f>B6+1</f>
        <v>2027</v>
      </c>
      <c r="C7" s="606">
        <f>IF(B7&gt;=(Assumptions!$D$33),IF(B7&lt;=Assumptions!$D$15,IF(B7&gt;=Assumptions!$D$33,($R7*$Y$5+$S7*$Y$6)/(1*10^6)),0),0)</f>
        <v>0</v>
      </c>
      <c r="D7" s="213">
        <f t="shared" ref="D7:D40" si="7">C7*_xlfn.XLOOKUP($B7,$U$11:$U$49,$Y$11:$Y$49)</f>
        <v>0</v>
      </c>
      <c r="E7" s="214">
        <f>D7*(1+0.03)^-($B7-Assumptions!$D$11)</f>
        <v>0</v>
      </c>
      <c r="F7" s="215">
        <f>IF(B7&gt;=(Assumptions!$D$33),IF(B7&lt;=Assumptions!$D$15,IF(B7&gt;=Assumptions!$D$33,($R7*$V$5+$S7*$V$6)/(1*10^6)),0),0)</f>
        <v>0</v>
      </c>
      <c r="G7" s="216">
        <f>IF(B7&gt;=(Assumptions!$D$33),IF(B7&lt;=Assumptions!$D$15,IF(B7&gt;=Assumptions!$D$33,($R7*$W$5+$S7*$W$6)/(1*10^6)),0),0)</f>
        <v>0</v>
      </c>
      <c r="H7" s="217">
        <f>IF(B7&gt;=(Assumptions!$D$33),IF(B7&lt;=Assumptions!$D$15,IF(B7&gt;=Assumptions!$D$33,($R7*$X$5+$S7*$X$6)/(1*10^6)),0),0)</f>
        <v>0</v>
      </c>
      <c r="I7" s="123">
        <f t="shared" ref="I7:I40" si="8">F7*_xlfn.XLOOKUP($B7,$U$11:$U$49,$V$11:$V$49)</f>
        <v>0</v>
      </c>
      <c r="J7" s="172">
        <f t="shared" ref="J7:J40" si="9">F7*_xlfn.XLOOKUP($B7,$U$11:$U$49,$W$11:$W$49)</f>
        <v>0</v>
      </c>
      <c r="K7" s="124">
        <f t="shared" ref="K7:K40" si="10">G7*_xlfn.XLOOKUP($B7,$U$11:$U$49,$X$11:$X$49)</f>
        <v>0</v>
      </c>
      <c r="L7" s="174">
        <f t="shared" ref="L7:L40" si="11">SUM(I7:K7)</f>
        <v>0</v>
      </c>
      <c r="M7" s="218">
        <f>L7*(1+0.07)^-(B7-Assumptions!$D$11)</f>
        <v>0</v>
      </c>
      <c r="N7" s="125">
        <f t="shared" ref="N7:N40" si="12">L7+D7</f>
        <v>0</v>
      </c>
      <c r="O7" s="124">
        <f t="shared" ref="O7:O40" si="13">M7+E7</f>
        <v>0</v>
      </c>
      <c r="Q7" s="61">
        <f t="shared" ref="Q7:Q40" si="14">B7</f>
        <v>2027</v>
      </c>
      <c r="R7" s="633">
        <f>_xlfn.XLOOKUP($Q7,'VOC Savings'!$Q$8:$Q$43,'VOC Savings'!$Z$8:$Z$43,0,0,1)</f>
        <v>0</v>
      </c>
      <c r="S7" s="634">
        <f>_xlfn.XLOOKUP($Q7,'VOC Savings'!$Q$8:$Q$43,'VOC Savings'!$AA$8:$AA$43,0,0,1)</f>
        <v>0</v>
      </c>
      <c r="U7" s="1"/>
      <c r="V7" s="56"/>
      <c r="W7" s="57"/>
      <c r="X7" s="56"/>
      <c r="Y7" s="58"/>
      <c r="AA7" s="32">
        <v>31</v>
      </c>
      <c r="AB7" s="32" t="s">
        <v>106</v>
      </c>
      <c r="AC7" s="32" t="s">
        <v>105</v>
      </c>
      <c r="AD7" s="639">
        <v>5.602001301010253E-2</v>
      </c>
      <c r="AE7" s="639">
        <v>2.0534055761767299E-3</v>
      </c>
      <c r="AF7" s="639">
        <v>1.6834690354423085E-3</v>
      </c>
      <c r="AG7" s="639">
        <v>318.590574637288</v>
      </c>
    </row>
    <row r="8" spans="2:33" ht="17.25" customHeight="1" x14ac:dyDescent="0.25">
      <c r="B8" s="85">
        <f t="shared" ref="B8:B35" si="15">B7+1</f>
        <v>2028</v>
      </c>
      <c r="C8" s="606">
        <f>IF(B8&gt;=(Assumptions!$D$33),IF(B8&lt;=Assumptions!$D$15,IF(B8&gt;=Assumptions!$D$33,($R8*$Y$5+$S8*$Y$6)/(1*10^6)),0),0)</f>
        <v>5383.3325442387504</v>
      </c>
      <c r="D8" s="213">
        <f t="shared" si="7"/>
        <v>333766.61774280254</v>
      </c>
      <c r="E8" s="214">
        <f>D8*(1+0.03)^-($B8-Assumptions!$D$11)</f>
        <v>271382.80365645478</v>
      </c>
      <c r="F8" s="215">
        <f>IF(B8&gt;=(Assumptions!$D$33),IF(B8&lt;=Assumptions!$D$15,IF(B8&gt;=Assumptions!$D$33,($R8*$V$5+$S8*$V$6)/(1*10^6)),0),0)</f>
        <v>8.7234528772334681</v>
      </c>
      <c r="G8" s="216">
        <f>IF(B8&gt;=(Assumptions!$D$33),IF(B8&lt;=Assumptions!$D$15,IF(B8&gt;=Assumptions!$D$33,($R8*$W$5+$S8*$W$6)/(1*10^6)),0),0)</f>
        <v>2.1890251756637849E-2</v>
      </c>
      <c r="H8" s="217">
        <f>IF(B8&gt;=(Assumptions!$D$33),IF(B8&lt;=Assumptions!$D$15,IF(B8&gt;=Assumptions!$D$33,($R8*$X$5+$S8*$X$6)/(1*10^6)),0),0)</f>
        <v>0.13802178270149573</v>
      </c>
      <c r="I8" s="123">
        <f t="shared" si="8"/>
        <v>158766.84236564912</v>
      </c>
      <c r="J8" s="172">
        <f t="shared" si="9"/>
        <v>431810.91742305667</v>
      </c>
      <c r="K8" s="124">
        <f t="shared" si="10"/>
        <v>19250.287394787323</v>
      </c>
      <c r="L8" s="174">
        <f t="shared" si="11"/>
        <v>609828.04718349304</v>
      </c>
      <c r="M8" s="218">
        <f>L8*(1+0.07)^-(B8-Assumptions!$D$11)</f>
        <v>379770.25897750451</v>
      </c>
      <c r="N8" s="125">
        <f t="shared" si="12"/>
        <v>943594.66492629563</v>
      </c>
      <c r="O8" s="124">
        <f t="shared" si="13"/>
        <v>651153.06263395934</v>
      </c>
      <c r="Q8" s="61">
        <f t="shared" si="14"/>
        <v>2028</v>
      </c>
      <c r="R8" s="633">
        <f>_xlfn.XLOOKUP($Q8,'VOC Savings'!$Q$8:$Q$43,'VOC Savings'!$Z$8:$Z$43,0,0,1)</f>
        <v>1293248.7429910675</v>
      </c>
      <c r="S8" s="634">
        <f>_xlfn.XLOOKUP($Q8,'VOC Savings'!$Q$8:$Q$43,'VOC Savings'!$AA$8:$AA$43,0,0,1)</f>
        <v>4014656.7126116082</v>
      </c>
      <c r="V8" s="3"/>
      <c r="W8" s="3"/>
      <c r="X8" s="3"/>
      <c r="Y8" s="3"/>
      <c r="AA8" s="32">
        <v>32</v>
      </c>
      <c r="AB8" s="32" t="s">
        <v>106</v>
      </c>
      <c r="AC8" s="32" t="s">
        <v>105</v>
      </c>
      <c r="AD8" s="639">
        <v>8.1182565604368817E-2</v>
      </c>
      <c r="AE8" s="639">
        <v>2.2057095109159902E-3</v>
      </c>
      <c r="AF8" s="639">
        <v>2.5484529232710825E-3</v>
      </c>
      <c r="AG8" s="639">
        <v>344.00451224712401</v>
      </c>
    </row>
    <row r="9" spans="2:33" ht="17.25" customHeight="1" x14ac:dyDescent="0.25">
      <c r="B9" s="85">
        <f t="shared" si="15"/>
        <v>2029</v>
      </c>
      <c r="C9" s="606">
        <f>IF(B9&gt;=(Assumptions!$D$33),IF(B9&lt;=Assumptions!$D$15,IF(B9&gt;=Assumptions!$D$33,($R9*$Y$5+$S9*$Y$6)/(1*10^6)),0),0)</f>
        <v>5406.8177565015394</v>
      </c>
      <c r="D9" s="213">
        <f t="shared" si="7"/>
        <v>340629.51865959697</v>
      </c>
      <c r="E9" s="214">
        <f>D9*(1+0.03)^-($B9-Assumptions!$D$11)</f>
        <v>268896.08750979695</v>
      </c>
      <c r="F9" s="215">
        <f>IF(B9&gt;=(Assumptions!$D$33),IF(B9&lt;=Assumptions!$D$15,IF(B9&gt;=Assumptions!$D$33,($R9*$V$5+$S9*$V$6)/(1*10^6)),0),0)</f>
        <v>8.7615096275461575</v>
      </c>
      <c r="G9" s="216">
        <f>IF(B9&gt;=(Assumptions!$D$33),IF(B9&lt;=Assumptions!$D$15,IF(B9&gt;=Assumptions!$D$33,($R9*$W$5+$S9*$W$6)/(1*10^6)),0),0)</f>
        <v>2.1985749704194646E-2</v>
      </c>
      <c r="H9" s="217">
        <f>IF(B9&gt;=(Assumptions!$D$33),IF(B9&lt;=Assumptions!$D$15,IF(B9&gt;=Assumptions!$D$33,($R9*$X$5+$S9*$X$6)/(1*10^6)),0),0)</f>
        <v>0.13862391360033871</v>
      </c>
      <c r="I9" s="123">
        <f t="shared" si="8"/>
        <v>162964.07907235852</v>
      </c>
      <c r="J9" s="172">
        <f t="shared" si="9"/>
        <v>441580.08522832632</v>
      </c>
      <c r="K9" s="124">
        <f t="shared" si="10"/>
        <v>19642.068785727497</v>
      </c>
      <c r="L9" s="174">
        <f t="shared" si="11"/>
        <v>624186.23308641231</v>
      </c>
      <c r="M9" s="218">
        <f>L9*(1+0.07)^-(B9-Assumptions!$D$11)</f>
        <v>363282.07060044719</v>
      </c>
      <c r="N9" s="125">
        <f t="shared" si="12"/>
        <v>964815.75174600934</v>
      </c>
      <c r="O9" s="124">
        <f t="shared" si="13"/>
        <v>632178.1581102442</v>
      </c>
      <c r="Q9" s="61">
        <f t="shared" si="14"/>
        <v>2029</v>
      </c>
      <c r="R9" s="633">
        <f>_xlfn.XLOOKUP($Q9,'VOC Savings'!$Q$8:$Q$43,'VOC Savings'!$Z$8:$Z$43,0,0,1)</f>
        <v>1298890.6424999908</v>
      </c>
      <c r="S9" s="634">
        <f>_xlfn.XLOOKUP($Q9,'VOC Savings'!$Q$8:$Q$43,'VOC Savings'!$AA$8:$AA$43,0,0,1)</f>
        <v>4032170.9687499963</v>
      </c>
      <c r="U9" s="1" t="s">
        <v>126</v>
      </c>
      <c r="AA9" s="32">
        <v>41</v>
      </c>
      <c r="AB9" s="32" t="s">
        <v>107</v>
      </c>
      <c r="AC9" s="32" t="s">
        <v>108</v>
      </c>
      <c r="AD9" s="639">
        <v>2.237602310868759</v>
      </c>
      <c r="AE9" s="639">
        <v>5.5717265564873301E-3</v>
      </c>
      <c r="AF9" s="639">
        <v>1.658066855283262E-2</v>
      </c>
      <c r="AG9" s="639">
        <v>1406.7823013201701</v>
      </c>
    </row>
    <row r="10" spans="2:33" ht="17.25" customHeight="1" x14ac:dyDescent="0.25">
      <c r="B10" s="85">
        <f t="shared" si="15"/>
        <v>2030</v>
      </c>
      <c r="C10" s="606">
        <f>IF(B10&gt;=(Assumptions!$D$33),IF(B10&lt;=Assumptions!$D$15,IF(B10&gt;=Assumptions!$D$33,($R10*$Y$5+$S10*$Y$6)/(1*10^6)),0),0)</f>
        <v>5430.3029687643393</v>
      </c>
      <c r="D10" s="213">
        <f t="shared" si="7"/>
        <v>352969.69296968204</v>
      </c>
      <c r="E10" s="214">
        <f>D10*(1+0.03)^-($B10-Assumptions!$D$11)</f>
        <v>270521.878702157</v>
      </c>
      <c r="F10" s="215">
        <f>IF(B10&gt;=(Assumptions!$D$33),IF(B10&lt;=Assumptions!$D$15,IF(B10&gt;=Assumptions!$D$33,($R10*$V$5+$S10*$V$6)/(1*10^6)),0),0)</f>
        <v>8.7995663778588646</v>
      </c>
      <c r="G10" s="216">
        <f>IF(B10&gt;=(Assumptions!$D$33),IF(B10&lt;=Assumptions!$D$15,IF(B10&gt;=Assumptions!$D$33,($R10*$W$5+$S10*$W$6)/(1*10^6)),0),0)</f>
        <v>2.2081247651751491E-2</v>
      </c>
      <c r="H10" s="217">
        <f>IF(B10&gt;=(Assumptions!$D$33),IF(B10&lt;=Assumptions!$D$15,IF(B10&gt;=Assumptions!$D$33,($R10*$X$5+$S10*$X$6)/(1*10^6)),0),0)</f>
        <v>0.13922604449918199</v>
      </c>
      <c r="I10" s="123">
        <f t="shared" si="8"/>
        <v>166311.80454153253</v>
      </c>
      <c r="J10" s="172">
        <f t="shared" si="9"/>
        <v>451417.75518415973</v>
      </c>
      <c r="K10" s="124">
        <f t="shared" si="10"/>
        <v>20040.940368729654</v>
      </c>
      <c r="L10" s="174">
        <f t="shared" si="11"/>
        <v>637770.50009442191</v>
      </c>
      <c r="M10" s="218">
        <f>L10*(1+0.07)^-(B10-Assumptions!$D$11)</f>
        <v>346904.89502612269</v>
      </c>
      <c r="N10" s="125">
        <f t="shared" si="12"/>
        <v>990740.19306410395</v>
      </c>
      <c r="O10" s="124">
        <f t="shared" si="13"/>
        <v>617426.77372827963</v>
      </c>
      <c r="Q10" s="61">
        <f t="shared" si="14"/>
        <v>2030</v>
      </c>
      <c r="R10" s="633">
        <f>_xlfn.XLOOKUP($Q10,'VOC Savings'!$Q$8:$Q$43,'VOC Savings'!$Z$8:$Z$43,0,0,1)</f>
        <v>1304532.5420089215</v>
      </c>
      <c r="S10" s="634">
        <f>_xlfn.XLOOKUP($Q10,'VOC Savings'!$Q$8:$Q$43,'VOC Savings'!$AA$8:$AA$43,0,0,1)</f>
        <v>4049685.2248883918</v>
      </c>
      <c r="U10" s="34" t="s">
        <v>30</v>
      </c>
      <c r="V10" s="55" t="s">
        <v>97</v>
      </c>
      <c r="W10" s="55" t="s">
        <v>98</v>
      </c>
      <c r="X10" s="55" t="s">
        <v>99</v>
      </c>
      <c r="Y10" s="55" t="s">
        <v>100</v>
      </c>
      <c r="AA10" s="32">
        <v>42</v>
      </c>
      <c r="AB10" s="32" t="s">
        <v>107</v>
      </c>
      <c r="AC10" s="32" t="s">
        <v>108</v>
      </c>
      <c r="AD10" s="639">
        <v>1.9658170115512426</v>
      </c>
      <c r="AE10" s="639">
        <v>5.4889920561794897E-3</v>
      </c>
      <c r="AF10" s="639">
        <v>1.2308421676718551E-2</v>
      </c>
      <c r="AG10" s="639">
        <v>1391.9649569298599</v>
      </c>
    </row>
    <row r="11" spans="2:33" ht="17.25" customHeight="1" x14ac:dyDescent="0.25">
      <c r="B11" s="85">
        <f t="shared" si="15"/>
        <v>2031</v>
      </c>
      <c r="C11" s="606">
        <f>IF(B11&gt;=(Assumptions!$D$33),IF(B11&lt;=Assumptions!$D$15,IF(B11&gt;=Assumptions!$D$33,($R11*$Y$5+$S11*$Y$6)/(1*10^6)),0),0)</f>
        <v>5453.7881810271347</v>
      </c>
      <c r="D11" s="213">
        <f t="shared" si="7"/>
        <v>359950.01994779089</v>
      </c>
      <c r="E11" s="214">
        <f>D11*(1+0.03)^-($B11-Assumptions!$D$11)</f>
        <v>267836.61951010604</v>
      </c>
      <c r="F11" s="215">
        <f>IF(B11&gt;=(Assumptions!$D$33),IF(B11&lt;=Assumptions!$D$15,IF(B11&gt;=Assumptions!$D$33,($R11*$V$5+$S11*$V$6)/(1*10^6)),0),0)</f>
        <v>8.8376231281715629</v>
      </c>
      <c r="G11" s="216">
        <f>IF(B11&gt;=(Assumptions!$D$33),IF(B11&lt;=Assumptions!$D$15,IF(B11&gt;=Assumptions!$D$33,($R11*$W$5+$S11*$W$6)/(1*10^6)),0),0)</f>
        <v>2.2176745599308319E-2</v>
      </c>
      <c r="H11" s="217">
        <f>IF(B11&gt;=(Assumptions!$D$33),IF(B11&lt;=Assumptions!$D$15,IF(B11&gt;=Assumptions!$D$33,($R11*$X$5+$S11*$X$6)/(1*10^6)),0),0)</f>
        <v>0.13982817539802511</v>
      </c>
      <c r="I11" s="123">
        <f t="shared" si="8"/>
        <v>167031.07712244254</v>
      </c>
      <c r="J11" s="172">
        <f t="shared" si="9"/>
        <v>453370.06647520117</v>
      </c>
      <c r="K11" s="124">
        <f t="shared" si="10"/>
        <v>20127.614305932231</v>
      </c>
      <c r="L11" s="174">
        <f t="shared" si="11"/>
        <v>640528.7579035759</v>
      </c>
      <c r="M11" s="218">
        <f>L11*(1+0.07)^-(B11-Assumptions!$D$11)</f>
        <v>325612.34067221283</v>
      </c>
      <c r="N11" s="125">
        <f t="shared" si="12"/>
        <v>1000478.7778513668</v>
      </c>
      <c r="O11" s="124">
        <f t="shared" si="13"/>
        <v>593448.96018231893</v>
      </c>
      <c r="Q11" s="61">
        <f t="shared" si="14"/>
        <v>2031</v>
      </c>
      <c r="R11" s="633">
        <f>_xlfn.XLOOKUP($Q11,'VOC Savings'!$Q$8:$Q$43,'VOC Savings'!$Z$8:$Z$43,0,0,1)</f>
        <v>1310174.4415178522</v>
      </c>
      <c r="S11" s="634">
        <f>_xlfn.XLOOKUP($Q11,'VOC Savings'!$Q$8:$Q$43,'VOC Savings'!$AA$8:$AA$43,0,0,1)</f>
        <v>4067199.4810267836</v>
      </c>
      <c r="U11" s="637">
        <v>2022</v>
      </c>
      <c r="V11" s="638">
        <v>16600</v>
      </c>
      <c r="W11" s="638">
        <v>44300</v>
      </c>
      <c r="X11" s="638">
        <v>796700</v>
      </c>
      <c r="Y11" s="638">
        <v>56</v>
      </c>
      <c r="AA11" s="32">
        <v>43</v>
      </c>
      <c r="AB11" s="32" t="s">
        <v>107</v>
      </c>
      <c r="AC11" s="32" t="s">
        <v>108</v>
      </c>
      <c r="AD11" s="639">
        <v>1.9469017025302577</v>
      </c>
      <c r="AE11" s="639">
        <v>3.66910948950592E-3</v>
      </c>
      <c r="AF11" s="639">
        <v>5.5096995199883071E-2</v>
      </c>
      <c r="AG11" s="639">
        <v>1071.1129065416801</v>
      </c>
    </row>
    <row r="12" spans="2:33" ht="17.25" customHeight="1" x14ac:dyDescent="0.25">
      <c r="B12" s="85">
        <f t="shared" si="15"/>
        <v>2032</v>
      </c>
      <c r="C12" s="606">
        <f>IF(B12&gt;=(Assumptions!$D$33),IF(B12&lt;=Assumptions!$D$15,IF(B12&gt;=Assumptions!$D$33,($R12*$Y$5+$S12*$Y$6)/(1*10^6)),0),0)</f>
        <v>5477.2733932899355</v>
      </c>
      <c r="D12" s="213">
        <f t="shared" si="7"/>
        <v>366977.3173504257</v>
      </c>
      <c r="E12" s="214">
        <f>D12*(1+0.03)^-($B12-Assumptions!$D$11)</f>
        <v>265112.22208308364</v>
      </c>
      <c r="F12" s="215">
        <f>IF(B12&gt;=(Assumptions!$D$33),IF(B12&lt;=Assumptions!$D$15,IF(B12&gt;=Assumptions!$D$33,($R12*$V$5+$S12*$V$6)/(1*10^6)),0),0)</f>
        <v>8.8756798784842701</v>
      </c>
      <c r="G12" s="216">
        <f>IF(B12&gt;=(Assumptions!$D$33),IF(B12&lt;=Assumptions!$D$15,IF(B12&gt;=Assumptions!$D$33,($R12*$W$5+$S12*$W$6)/(1*10^6)),0),0)</f>
        <v>2.2272243546865168E-2</v>
      </c>
      <c r="H12" s="217">
        <f>IF(B12&gt;=(Assumptions!$D$33),IF(B12&lt;=Assumptions!$D$15,IF(B12&gt;=Assumptions!$D$33,($R12*$X$5+$S12*$X$6)/(1*10^6)),0),0)</f>
        <v>0.1404303062968684</v>
      </c>
      <c r="I12" s="123">
        <f t="shared" si="8"/>
        <v>167750.34970335269</v>
      </c>
      <c r="J12" s="172">
        <f t="shared" si="9"/>
        <v>455322.37776624307</v>
      </c>
      <c r="K12" s="124">
        <f t="shared" si="10"/>
        <v>20214.288243134826</v>
      </c>
      <c r="L12" s="174">
        <f t="shared" si="11"/>
        <v>643287.01571273059</v>
      </c>
      <c r="M12" s="218">
        <f>L12*(1+0.07)^-(B12-Assumptions!$D$11)</f>
        <v>305621.02717478661</v>
      </c>
      <c r="N12" s="125">
        <f t="shared" si="12"/>
        <v>1010264.3330631563</v>
      </c>
      <c r="O12" s="124">
        <f t="shared" si="13"/>
        <v>570733.24925787025</v>
      </c>
      <c r="Q12" s="61">
        <f t="shared" si="14"/>
        <v>2032</v>
      </c>
      <c r="R12" s="633">
        <f>_xlfn.XLOOKUP($Q12,'VOC Savings'!$Q$8:$Q$43,'VOC Savings'!$Z$8:$Z$43,0,0,1)</f>
        <v>1315816.341026783</v>
      </c>
      <c r="S12" s="634">
        <f>_xlfn.XLOOKUP($Q12,'VOC Savings'!$Q$8:$Q$43,'VOC Savings'!$AA$8:$AA$43,0,0,1)</f>
        <v>4084713.7371651791</v>
      </c>
      <c r="U12" s="637">
        <v>2023</v>
      </c>
      <c r="V12" s="638">
        <v>16800</v>
      </c>
      <c r="W12" s="638">
        <v>45100</v>
      </c>
      <c r="X12" s="638">
        <v>810500</v>
      </c>
      <c r="Y12" s="638">
        <v>57</v>
      </c>
      <c r="AA12" s="32">
        <v>51</v>
      </c>
      <c r="AB12" s="32" t="s">
        <v>109</v>
      </c>
      <c r="AC12" s="32" t="s">
        <v>108</v>
      </c>
      <c r="AD12" s="639">
        <v>2.48942987946789</v>
      </c>
      <c r="AE12" s="639">
        <v>5.2833773025508703E-3</v>
      </c>
      <c r="AF12" s="639">
        <v>3.4321389281753531E-2</v>
      </c>
      <c r="AG12" s="639">
        <v>1427.83446247497</v>
      </c>
    </row>
    <row r="13" spans="2:33" ht="17.25" customHeight="1" x14ac:dyDescent="0.25">
      <c r="B13" s="85">
        <f t="shared" si="15"/>
        <v>2033</v>
      </c>
      <c r="C13" s="606">
        <f>IF(B13&gt;=(Assumptions!$D$33),IF(B13&lt;=Assumptions!$D$15,IF(B13&gt;=Assumptions!$D$33,($R13*$Y$5+$S13*$Y$6)/(1*10^6)),0),0)</f>
        <v>5500.7586055527254</v>
      </c>
      <c r="D13" s="213">
        <f t="shared" si="7"/>
        <v>374051.58517758531</v>
      </c>
      <c r="E13" s="214">
        <f>D13*(1+0.03)^-($B13-Assumptions!$D$11)</f>
        <v>262352.25599784654</v>
      </c>
      <c r="F13" s="215">
        <f>IF(B13&gt;=(Assumptions!$D$33),IF(B13&lt;=Assumptions!$D$15,IF(B13&gt;=Assumptions!$D$33,($R13*$V$5+$S13*$V$6)/(1*10^6)),0),0)</f>
        <v>8.9137366287969613</v>
      </c>
      <c r="G13" s="216">
        <f>IF(B13&gt;=(Assumptions!$D$33),IF(B13&lt;=Assumptions!$D$15,IF(B13&gt;=Assumptions!$D$33,($R13*$W$5+$S13*$W$6)/(1*10^6)),0),0)</f>
        <v>2.2367741494421979E-2</v>
      </c>
      <c r="H13" s="217">
        <f>IF(B13&gt;=(Assumptions!$D$33),IF(B13&lt;=Assumptions!$D$15,IF(B13&gt;=Assumptions!$D$33,($R13*$X$5+$S13*$X$6)/(1*10^6)),0),0)</f>
        <v>0.14103243719571146</v>
      </c>
      <c r="I13" s="123">
        <f t="shared" si="8"/>
        <v>168469.62228426256</v>
      </c>
      <c r="J13" s="172">
        <f t="shared" si="9"/>
        <v>457274.68905728409</v>
      </c>
      <c r="K13" s="124">
        <f t="shared" si="10"/>
        <v>20300.962180337388</v>
      </c>
      <c r="L13" s="174">
        <f t="shared" si="11"/>
        <v>646045.27352188411</v>
      </c>
      <c r="M13" s="218">
        <f>L13*(1+0.07)^-(B13-Assumptions!$D$11)</f>
        <v>286851.82765466848</v>
      </c>
      <c r="N13" s="125">
        <f t="shared" si="12"/>
        <v>1020096.8586994694</v>
      </c>
      <c r="O13" s="124">
        <f t="shared" si="13"/>
        <v>549204.08365251496</v>
      </c>
      <c r="Q13" s="61">
        <f t="shared" si="14"/>
        <v>2033</v>
      </c>
      <c r="R13" s="633">
        <f>_xlfn.XLOOKUP($Q13,'VOC Savings'!$Q$8:$Q$43,'VOC Savings'!$Z$8:$Z$43,0,0,1)</f>
        <v>1321458.2405357137</v>
      </c>
      <c r="S13" s="634">
        <f>_xlfn.XLOOKUP($Q13,'VOC Savings'!$Q$8:$Q$43,'VOC Savings'!$AA$8:$AA$43,0,0,1)</f>
        <v>4102227.9933035672</v>
      </c>
      <c r="U13" s="637">
        <v>2024</v>
      </c>
      <c r="V13" s="638">
        <v>17000</v>
      </c>
      <c r="W13" s="638">
        <v>46000</v>
      </c>
      <c r="X13" s="638">
        <v>824500</v>
      </c>
      <c r="Y13" s="638">
        <v>58</v>
      </c>
      <c r="Z13" s="33"/>
      <c r="AA13" s="32">
        <v>52</v>
      </c>
      <c r="AB13" s="32" t="s">
        <v>109</v>
      </c>
      <c r="AC13" s="32" t="s">
        <v>108</v>
      </c>
      <c r="AD13" s="639">
        <v>0.95074648895471525</v>
      </c>
      <c r="AE13" s="639">
        <v>3.5321878667988801E-3</v>
      </c>
      <c r="AF13" s="639">
        <v>1.5158170819293781E-2</v>
      </c>
      <c r="AG13" s="639">
        <v>862.616489254057</v>
      </c>
    </row>
    <row r="14" spans="2:33" ht="17.25" customHeight="1" x14ac:dyDescent="0.25">
      <c r="B14" s="85">
        <f t="shared" si="15"/>
        <v>2034</v>
      </c>
      <c r="C14" s="606">
        <f>IF(B14&gt;=(Assumptions!$D$33),IF(B14&lt;=Assumptions!$D$15,IF(B14&gt;=Assumptions!$D$33,($R14*$Y$5+$S14*$Y$6)/(1*10^6)),0),0)</f>
        <v>5524.2438178155244</v>
      </c>
      <c r="D14" s="213">
        <f t="shared" si="7"/>
        <v>381172.82342927117</v>
      </c>
      <c r="E14" s="214">
        <f>D14*(1+0.03)^-($B14-Assumptions!$D$11)</f>
        <v>259560.1448831452</v>
      </c>
      <c r="F14" s="215">
        <f>IF(B14&gt;=(Assumptions!$D$33),IF(B14&lt;=Assumptions!$D$15,IF(B14&gt;=Assumptions!$D$33,($R14*$V$5+$S14*$V$6)/(1*10^6)),0),0)</f>
        <v>8.9517933791096649</v>
      </c>
      <c r="G14" s="216">
        <f>IF(B14&gt;=(Assumptions!$D$33),IF(B14&lt;=Assumptions!$D$15,IF(B14&gt;=Assumptions!$D$33,($R14*$W$5+$S14*$W$6)/(1*10^6)),0),0)</f>
        <v>2.2463239441978814E-2</v>
      </c>
      <c r="H14" s="217">
        <f>IF(B14&gt;=(Assumptions!$D$33),IF(B14&lt;=Assumptions!$D$15,IF(B14&gt;=Assumptions!$D$33,($R14*$X$5+$S14*$X$6)/(1*10^6)),0),0)</f>
        <v>0.14163456809455469</v>
      </c>
      <c r="I14" s="123">
        <f t="shared" si="8"/>
        <v>169188.89486517265</v>
      </c>
      <c r="J14" s="172">
        <f t="shared" si="9"/>
        <v>459227.00034832582</v>
      </c>
      <c r="K14" s="124">
        <f t="shared" si="10"/>
        <v>20387.636117539972</v>
      </c>
      <c r="L14" s="174">
        <f t="shared" si="11"/>
        <v>648803.53133103845</v>
      </c>
      <c r="M14" s="218">
        <f>L14*(1+0.07)^-(B14-Assumptions!$D$11)</f>
        <v>269230.39916691789</v>
      </c>
      <c r="N14" s="125">
        <f t="shared" si="12"/>
        <v>1029976.3547603097</v>
      </c>
      <c r="O14" s="124">
        <f t="shared" si="13"/>
        <v>528790.54405006312</v>
      </c>
      <c r="Q14" s="61">
        <f t="shared" si="14"/>
        <v>2034</v>
      </c>
      <c r="R14" s="633">
        <f>_xlfn.XLOOKUP($Q14,'VOC Savings'!$Q$8:$Q$43,'VOC Savings'!$Z$8:$Z$43,0,0,1)</f>
        <v>1327100.140044637</v>
      </c>
      <c r="S14" s="634">
        <f>_xlfn.XLOOKUP($Q14,'VOC Savings'!$Q$8:$Q$43,'VOC Savings'!$AA$8:$AA$43,0,0,1)</f>
        <v>4119742.2494419627</v>
      </c>
      <c r="U14" s="637">
        <v>2025</v>
      </c>
      <c r="V14" s="638">
        <v>17200</v>
      </c>
      <c r="W14" s="638">
        <v>46900</v>
      </c>
      <c r="X14" s="638">
        <v>838800</v>
      </c>
      <c r="Y14" s="638">
        <v>59</v>
      </c>
      <c r="AA14" s="32">
        <v>53</v>
      </c>
      <c r="AB14" s="32" t="s">
        <v>109</v>
      </c>
      <c r="AC14" s="32" t="s">
        <v>108</v>
      </c>
      <c r="AD14" s="639">
        <v>0.89067775827536644</v>
      </c>
      <c r="AE14" s="639">
        <v>3.4020765235606102E-3</v>
      </c>
      <c r="AF14" s="639">
        <v>1.349939126139434E-2</v>
      </c>
      <c r="AG14" s="639">
        <v>829.46088804247995</v>
      </c>
    </row>
    <row r="15" spans="2:33" ht="17.25" customHeight="1" x14ac:dyDescent="0.25">
      <c r="B15" s="85">
        <f t="shared" si="15"/>
        <v>2035</v>
      </c>
      <c r="C15" s="606">
        <f>IF(B15&gt;=(Assumptions!$D$33),IF(B15&lt;=Assumptions!$D$15,IF(B15&gt;=Assumptions!$D$33,($R15*$Y$5+$S15*$Y$6)/(1*10^6)),0),0)</f>
        <v>5547.7290300783243</v>
      </c>
      <c r="D15" s="213">
        <f t="shared" si="7"/>
        <v>388341.03210548271</v>
      </c>
      <c r="E15" s="214">
        <f>D15*(1+0.03)^-($B15-Assumptions!$D$11)</f>
        <v>256739.17105491468</v>
      </c>
      <c r="F15" s="215">
        <f>IF(B15&gt;=(Assumptions!$D$33),IF(B15&lt;=Assumptions!$D$15,IF(B15&gt;=Assumptions!$D$33,($R15*$V$5+$S15*$V$6)/(1*10^6)),0),0)</f>
        <v>8.989850129422372</v>
      </c>
      <c r="G15" s="216">
        <f>IF(B15&gt;=(Assumptions!$D$33),IF(B15&lt;=Assumptions!$D$15,IF(B15&gt;=Assumptions!$D$33,($R15*$W$5+$S15*$W$6)/(1*10^6)),0),0)</f>
        <v>2.2558737389535656E-2</v>
      </c>
      <c r="H15" s="217">
        <f>IF(B15&gt;=(Assumptions!$D$33),IF(B15&lt;=Assumptions!$D$15,IF(B15&gt;=Assumptions!$D$33,($R15*$X$5+$S15*$X$6)/(1*10^6)),0),0)</f>
        <v>0.14223669899339791</v>
      </c>
      <c r="I15" s="123">
        <f t="shared" si="8"/>
        <v>169908.16744608284</v>
      </c>
      <c r="J15" s="172">
        <f t="shared" si="9"/>
        <v>461179.31163936766</v>
      </c>
      <c r="K15" s="124">
        <f t="shared" si="10"/>
        <v>20474.31005474256</v>
      </c>
      <c r="L15" s="174">
        <f t="shared" si="11"/>
        <v>651561.78914019314</v>
      </c>
      <c r="M15" s="218">
        <f>L15*(1+0.07)^-(B15-Assumptions!$D$11)</f>
        <v>252686.89541666172</v>
      </c>
      <c r="N15" s="125">
        <f t="shared" si="12"/>
        <v>1039902.8212456759</v>
      </c>
      <c r="O15" s="124">
        <f t="shared" si="13"/>
        <v>509426.0664715764</v>
      </c>
      <c r="Q15" s="61">
        <f t="shared" si="14"/>
        <v>2035</v>
      </c>
      <c r="R15" s="633">
        <f>_xlfn.XLOOKUP($Q15,'VOC Savings'!$Q$8:$Q$43,'VOC Savings'!$Z$8:$Z$43,0,0,1)</f>
        <v>1332742.0395535678</v>
      </c>
      <c r="S15" s="634">
        <f>_xlfn.XLOOKUP($Q15,'VOC Savings'!$Q$8:$Q$43,'VOC Savings'!$AA$8:$AA$43,0,0,1)</f>
        <v>4137256.5055803582</v>
      </c>
      <c r="U15" s="637">
        <v>2026</v>
      </c>
      <c r="V15" s="638">
        <v>17500</v>
      </c>
      <c r="W15" s="638">
        <v>47800</v>
      </c>
      <c r="X15" s="638">
        <v>852100</v>
      </c>
      <c r="Y15" s="638">
        <v>60</v>
      </c>
      <c r="AA15" s="32">
        <v>54</v>
      </c>
      <c r="AB15" s="32" t="s">
        <v>109</v>
      </c>
      <c r="AC15" s="32" t="s">
        <v>108</v>
      </c>
      <c r="AD15" s="639">
        <v>1.6481032166429217</v>
      </c>
      <c r="AE15" s="639">
        <v>6.0326542026046303E-3</v>
      </c>
      <c r="AF15" s="639">
        <v>4.2864875162321965E-2</v>
      </c>
      <c r="AG15" s="639">
        <v>1166.1048437433201</v>
      </c>
    </row>
    <row r="16" spans="2:33" ht="17.25" customHeight="1" x14ac:dyDescent="0.25">
      <c r="B16" s="85">
        <f t="shared" si="15"/>
        <v>2036</v>
      </c>
      <c r="C16" s="606">
        <f>IF(B16&gt;=(Assumptions!$D$33),IF(B16&lt;=Assumptions!$D$15,IF(B16&gt;=Assumptions!$D$33,($R16*$Y$5+$S16*$Y$6)/(1*10^6)),0),0)</f>
        <v>5571.2142423411151</v>
      </c>
      <c r="D16" s="213">
        <f t="shared" si="7"/>
        <v>401127.42544856027</v>
      </c>
      <c r="E16" s="214">
        <f>D16*(1+0.03)^-($B16-Assumptions!$D$11)</f>
        <v>257468.43045264456</v>
      </c>
      <c r="F16" s="215">
        <f>IF(B16&gt;=(Assumptions!$D$33),IF(B16&lt;=Assumptions!$D$15,IF(B16&gt;=Assumptions!$D$33,($R16*$V$5+$S16*$V$6)/(1*10^6)),0),0)</f>
        <v>9.0279068797350632</v>
      </c>
      <c r="G16" s="216">
        <f>IF(B16&gt;=(Assumptions!$D$33),IF(B16&lt;=Assumptions!$D$15,IF(B16&gt;=Assumptions!$D$33,($R16*$W$5+$S16*$W$6)/(1*10^6)),0),0)</f>
        <v>2.2654235337092474E-2</v>
      </c>
      <c r="H16" s="217">
        <f>IF(B16&gt;=(Assumptions!$D$33),IF(B16&lt;=Assumptions!$D$15,IF(B16&gt;=Assumptions!$D$33,($R16*$X$5+$S16*$X$6)/(1*10^6)),0),0)</f>
        <v>0.14283882989224095</v>
      </c>
      <c r="I16" s="123">
        <f t="shared" si="8"/>
        <v>170627.4400269927</v>
      </c>
      <c r="J16" s="172">
        <f t="shared" si="9"/>
        <v>463131.62293040875</v>
      </c>
      <c r="K16" s="124">
        <f t="shared" si="10"/>
        <v>20560.98399194513</v>
      </c>
      <c r="L16" s="174">
        <f t="shared" si="11"/>
        <v>654320.04694934655</v>
      </c>
      <c r="M16" s="218">
        <f>L16*(1+0.07)^-(B16-Assumptions!$D$11)</f>
        <v>237155.69658899258</v>
      </c>
      <c r="N16" s="125">
        <f t="shared" si="12"/>
        <v>1055447.4723979067</v>
      </c>
      <c r="O16" s="124">
        <f t="shared" si="13"/>
        <v>494624.12704163714</v>
      </c>
      <c r="Q16" s="61">
        <f t="shared" si="14"/>
        <v>2036</v>
      </c>
      <c r="R16" s="633">
        <f>_xlfn.XLOOKUP($Q16,'VOC Savings'!$Q$8:$Q$43,'VOC Savings'!$Z$8:$Z$43,0,0,1)</f>
        <v>1338383.9390624985</v>
      </c>
      <c r="S16" s="634">
        <f>_xlfn.XLOOKUP($Q16,'VOC Savings'!$Q$8:$Q$43,'VOC Savings'!$AA$8:$AA$43,0,0,1)</f>
        <v>4154770.7617187463</v>
      </c>
      <c r="U16" s="637">
        <v>2027</v>
      </c>
      <c r="V16" s="638">
        <v>17900</v>
      </c>
      <c r="W16" s="638">
        <v>48700</v>
      </c>
      <c r="X16" s="638">
        <v>865600</v>
      </c>
      <c r="Y16" s="638">
        <v>61</v>
      </c>
      <c r="AA16" s="32">
        <v>61</v>
      </c>
      <c r="AB16" s="32" t="s">
        <v>110</v>
      </c>
      <c r="AC16" s="32" t="s">
        <v>108</v>
      </c>
      <c r="AD16" s="639">
        <v>3.0234078113615883</v>
      </c>
      <c r="AE16" s="639">
        <v>4.9760807160904204E-3</v>
      </c>
      <c r="AF16" s="639">
        <v>4.3407648080982714E-2</v>
      </c>
      <c r="AG16" s="639">
        <v>1463.90880302132</v>
      </c>
    </row>
    <row r="17" spans="1:33" ht="17.25" customHeight="1" x14ac:dyDescent="0.25">
      <c r="B17" s="85">
        <f t="shared" si="15"/>
        <v>2037</v>
      </c>
      <c r="C17" s="606">
        <f>IF(B17&gt;=(Assumptions!$D$33),IF(B17&lt;=Assumptions!$D$15,IF(B17&gt;=Assumptions!$D$33,($R17*$Y$5+$S17*$Y$6)/(1*10^6)),0),0)</f>
        <v>5594.699454603915</v>
      </c>
      <c r="D17" s="213">
        <f t="shared" si="7"/>
        <v>408413.06018608582</v>
      </c>
      <c r="E17" s="214">
        <f>D17*(1+0.03)^-($B17-Assumptions!$D$11)</f>
        <v>254509.51665368344</v>
      </c>
      <c r="F17" s="215">
        <f>IF(B17&gt;=(Assumptions!$D$33),IF(B17&lt;=Assumptions!$D$15,IF(B17&gt;=Assumptions!$D$33,($R17*$V$5+$S17*$V$6)/(1*10^6)),0),0)</f>
        <v>9.0659636300477686</v>
      </c>
      <c r="G17" s="216">
        <f>IF(B17&gt;=(Assumptions!$D$33),IF(B17&lt;=Assumptions!$D$15,IF(B17&gt;=Assumptions!$D$33,($R17*$W$5+$S17*$W$6)/(1*10^6)),0),0)</f>
        <v>2.2749733284649319E-2</v>
      </c>
      <c r="H17" s="217">
        <f>IF(B17&gt;=(Assumptions!$D$33),IF(B17&lt;=Assumptions!$D$15,IF(B17&gt;=Assumptions!$D$33,($R17*$X$5+$S17*$X$6)/(1*10^6)),0),0)</f>
        <v>0.14344096079108423</v>
      </c>
      <c r="I17" s="123">
        <f t="shared" si="8"/>
        <v>171346.71260790282</v>
      </c>
      <c r="J17" s="172">
        <f t="shared" si="9"/>
        <v>465083.93422145053</v>
      </c>
      <c r="K17" s="124">
        <f t="shared" si="10"/>
        <v>20647.657929147721</v>
      </c>
      <c r="L17" s="174">
        <f t="shared" si="11"/>
        <v>657078.30475850112</v>
      </c>
      <c r="M17" s="218">
        <f>L17*(1+0.07)^-(B17-Assumptions!$D$11)</f>
        <v>222575.15528324124</v>
      </c>
      <c r="N17" s="125">
        <f t="shared" si="12"/>
        <v>1065491.364944587</v>
      </c>
      <c r="O17" s="124">
        <f t="shared" si="13"/>
        <v>477084.67193692469</v>
      </c>
      <c r="Q17" s="61">
        <f t="shared" si="14"/>
        <v>2037</v>
      </c>
      <c r="R17" s="633">
        <f>_xlfn.XLOOKUP($Q17,'VOC Savings'!$Q$8:$Q$43,'VOC Savings'!$Z$8:$Z$43,0,0,1)</f>
        <v>1344025.8385714293</v>
      </c>
      <c r="S17" s="634">
        <f>_xlfn.XLOOKUP($Q17,'VOC Savings'!$Q$8:$Q$43,'VOC Savings'!$AA$8:$AA$43,0,0,1)</f>
        <v>4172285.0178571418</v>
      </c>
      <c r="U17" s="637">
        <v>2028</v>
      </c>
      <c r="V17" s="638">
        <v>18200</v>
      </c>
      <c r="W17" s="638">
        <v>49500</v>
      </c>
      <c r="X17" s="638">
        <v>879400</v>
      </c>
      <c r="Y17" s="638">
        <v>62</v>
      </c>
      <c r="AA17" s="32">
        <v>62</v>
      </c>
      <c r="AB17" s="32" t="s">
        <v>110</v>
      </c>
      <c r="AC17" s="32" t="s">
        <v>108</v>
      </c>
      <c r="AD17" s="639">
        <v>3.7426725771679936</v>
      </c>
      <c r="AE17" s="639">
        <v>5.1160211102583997E-3</v>
      </c>
      <c r="AF17" s="639">
        <v>5.9310023601485649E-2</v>
      </c>
      <c r="AG17" s="639">
        <v>1528.79872430418</v>
      </c>
    </row>
    <row r="18" spans="1:33" ht="17.25" customHeight="1" x14ac:dyDescent="0.25">
      <c r="B18" s="85">
        <f t="shared" si="15"/>
        <v>2038</v>
      </c>
      <c r="C18" s="606">
        <f>IF(B18&gt;=(Assumptions!$D$33),IF(B18&lt;=Assumptions!$D$15,IF(B18&gt;=Assumptions!$D$33,($R18*$Y$5+$S18*$Y$6)/(1*10^6)),0),0)</f>
        <v>5618.1846668667094</v>
      </c>
      <c r="D18" s="213">
        <f t="shared" si="7"/>
        <v>415745.66534813651</v>
      </c>
      <c r="E18" s="214">
        <f>D18*(1+0.03)^-($B18-Assumptions!$D$11)</f>
        <v>251532.96482429921</v>
      </c>
      <c r="F18" s="215">
        <f>IF(B18&gt;=(Assumptions!$D$33),IF(B18&lt;=Assumptions!$D$15,IF(B18&gt;=Assumptions!$D$33,($R18*$V$5+$S18*$V$6)/(1*10^6)),0),0)</f>
        <v>9.1040203803604651</v>
      </c>
      <c r="G18" s="216">
        <f>IF(B18&gt;=(Assumptions!$D$33),IF(B18&lt;=Assumptions!$D$15,IF(B18&gt;=Assumptions!$D$33,($R18*$W$5+$S18*$W$6)/(1*10^6)),0),0)</f>
        <v>2.2845231232206133E-2</v>
      </c>
      <c r="H18" s="217">
        <f>IF(B18&gt;=(Assumptions!$D$33),IF(B18&lt;=Assumptions!$D$15,IF(B18&gt;=Assumptions!$D$33,($R18*$X$5+$S18*$X$6)/(1*10^6)),0),0)</f>
        <v>0.14404309168992732</v>
      </c>
      <c r="I18" s="123">
        <f t="shared" si="8"/>
        <v>172065.9851888128</v>
      </c>
      <c r="J18" s="172">
        <f t="shared" si="9"/>
        <v>467036.24551249185</v>
      </c>
      <c r="K18" s="124">
        <f t="shared" si="10"/>
        <v>20734.331866350287</v>
      </c>
      <c r="L18" s="174">
        <f t="shared" si="11"/>
        <v>659836.56256765488</v>
      </c>
      <c r="M18" s="218">
        <f>L18*(1+0.07)^-(B18-Assumptions!$D$11)</f>
        <v>208887.35760078905</v>
      </c>
      <c r="N18" s="125">
        <f t="shared" si="12"/>
        <v>1075582.2279157913</v>
      </c>
      <c r="O18" s="124">
        <f t="shared" si="13"/>
        <v>460420.32242508826</v>
      </c>
      <c r="Q18" s="61">
        <f t="shared" si="14"/>
        <v>2038</v>
      </c>
      <c r="R18" s="633">
        <f>_xlfn.XLOOKUP($Q18,'VOC Savings'!$Q$8:$Q$43,'VOC Savings'!$Z$8:$Z$43,0,0,1)</f>
        <v>1349667.7380803525</v>
      </c>
      <c r="S18" s="634">
        <f>_xlfn.XLOOKUP($Q18,'VOC Savings'!$Q$8:$Q$43,'VOC Savings'!$AA$8:$AA$43,0,0,1)</f>
        <v>4189799.2739955336</v>
      </c>
      <c r="U18" s="637">
        <v>2029</v>
      </c>
      <c r="V18" s="638">
        <v>18600</v>
      </c>
      <c r="W18" s="638">
        <v>50400</v>
      </c>
      <c r="X18" s="638">
        <v>893400</v>
      </c>
      <c r="Y18" s="638">
        <v>63</v>
      </c>
    </row>
    <row r="19" spans="1:33" ht="17.25" customHeight="1" x14ac:dyDescent="0.25">
      <c r="B19" s="85">
        <f t="shared" si="15"/>
        <v>2039</v>
      </c>
      <c r="C19" s="606">
        <f>IF(B19&gt;=(Assumptions!$D$33),IF(B19&lt;=Assumptions!$D$15,IF(B19&gt;=Assumptions!$D$33,($R19*$Y$5+$S19*$Y$6)/(1*10^6)),0),0)</f>
        <v>5641.6698791295066</v>
      </c>
      <c r="D19" s="213">
        <f t="shared" si="7"/>
        <v>423125.24093471299</v>
      </c>
      <c r="E19" s="214">
        <f>D19*(1+0.03)^-($B19-Assumptions!$D$11)</f>
        <v>248541.48487139083</v>
      </c>
      <c r="F19" s="215">
        <f>IF(B19&gt;=(Assumptions!$D$33),IF(B19&lt;=Assumptions!$D$15,IF(B19&gt;=Assumptions!$D$33,($R19*$V$5+$S19*$V$6)/(1*10^6)),0),0)</f>
        <v>9.1420771306731723</v>
      </c>
      <c r="G19" s="216">
        <f>IF(B19&gt;=(Assumptions!$D$33),IF(B19&lt;=Assumptions!$D$15,IF(B19&gt;=Assumptions!$D$33,($R19*$W$5+$S19*$W$6)/(1*10^6)),0),0)</f>
        <v>2.2940729179762965E-2</v>
      </c>
      <c r="H19" s="217">
        <f>IF(B19&gt;=(Assumptions!$D$33),IF(B19&lt;=Assumptions!$D$15,IF(B19&gt;=Assumptions!$D$33,($R19*$X$5+$S19*$X$6)/(1*10^6)),0),0)</f>
        <v>0.14464522258877055</v>
      </c>
      <c r="I19" s="123">
        <f t="shared" si="8"/>
        <v>172785.25776972296</v>
      </c>
      <c r="J19" s="172">
        <f t="shared" si="9"/>
        <v>468988.55680353375</v>
      </c>
      <c r="K19" s="124">
        <f t="shared" si="10"/>
        <v>20821.005803552867</v>
      </c>
      <c r="L19" s="174">
        <f t="shared" si="11"/>
        <v>662594.82037680969</v>
      </c>
      <c r="M19" s="218">
        <f>L19*(1+0.07)^-(B19-Assumptions!$D$11)</f>
        <v>196037.89849108885</v>
      </c>
      <c r="N19" s="125">
        <f t="shared" si="12"/>
        <v>1085720.0613115227</v>
      </c>
      <c r="O19" s="124">
        <f t="shared" si="13"/>
        <v>444579.38336247968</v>
      </c>
      <c r="Q19" s="61">
        <f t="shared" si="14"/>
        <v>2039</v>
      </c>
      <c r="R19" s="633">
        <f>_xlfn.XLOOKUP($Q19,'VOC Savings'!$Q$8:$Q$43,'VOC Savings'!$Z$8:$Z$43,0,0,1)</f>
        <v>1355309.6375892758</v>
      </c>
      <c r="S19" s="634">
        <f>_xlfn.XLOOKUP($Q19,'VOC Savings'!$Q$8:$Q$43,'VOC Savings'!$AA$8:$AA$43,0,0,1)</f>
        <v>4207313.5301339291</v>
      </c>
      <c r="U19" s="637">
        <v>2030</v>
      </c>
      <c r="V19" s="638">
        <v>18900</v>
      </c>
      <c r="W19" s="638">
        <v>51300</v>
      </c>
      <c r="X19" s="638">
        <v>907600</v>
      </c>
      <c r="Y19" s="638">
        <v>65</v>
      </c>
      <c r="AA19" s="1" t="s">
        <v>128</v>
      </c>
    </row>
    <row r="20" spans="1:33" ht="17.25" customHeight="1" x14ac:dyDescent="0.25">
      <c r="B20" s="85">
        <f t="shared" si="15"/>
        <v>2040</v>
      </c>
      <c r="C20" s="606">
        <f>IF(B20&gt;=(Assumptions!$D$33),IF(B20&lt;=Assumptions!$D$15,IF(B20&gt;=Assumptions!$D$33,($R20*$Y$5+$S20*$Y$6)/(1*10^6)),0),0)</f>
        <v>5665.1550913922974</v>
      </c>
      <c r="D20" s="213">
        <f t="shared" si="7"/>
        <v>430551.78694581462</v>
      </c>
      <c r="E20" s="214">
        <f>D20*(1+0.03)^-($B20-Assumptions!$D$11)</f>
        <v>245537.66791410305</v>
      </c>
      <c r="F20" s="215">
        <f>IF(B20&gt;=(Assumptions!$D$33),IF(B20&lt;=Assumptions!$D$15,IF(B20&gt;=Assumptions!$D$33,($R20*$V$5+$S20*$V$6)/(1*10^6)),0),0)</f>
        <v>9.1801338809858635</v>
      </c>
      <c r="G20" s="216">
        <f>IF(B20&gt;=(Assumptions!$D$33),IF(B20&lt;=Assumptions!$D$15,IF(B20&gt;=Assumptions!$D$33,($R20*$W$5+$S20*$W$6)/(1*10^6)),0),0)</f>
        <v>2.3036227127319776E-2</v>
      </c>
      <c r="H20" s="217">
        <f>IF(B20&gt;=(Assumptions!$D$33),IF(B20&lt;=Assumptions!$D$15,IF(B20&gt;=Assumptions!$D$33,($R20*$X$5+$S20*$X$6)/(1*10^6)),0),0)</f>
        <v>0.14524735348761361</v>
      </c>
      <c r="I20" s="123">
        <f t="shared" si="8"/>
        <v>173504.53035063282</v>
      </c>
      <c r="J20" s="172">
        <f t="shared" si="9"/>
        <v>470940.86809457478</v>
      </c>
      <c r="K20" s="124">
        <f t="shared" si="10"/>
        <v>20907.67974075543</v>
      </c>
      <c r="L20" s="174">
        <f t="shared" si="11"/>
        <v>665353.0781859631</v>
      </c>
      <c r="M20" s="218">
        <f>L20*(1+0.07)^-(B20-Assumptions!$D$11)</f>
        <v>183975.67051283142</v>
      </c>
      <c r="N20" s="125">
        <f t="shared" si="12"/>
        <v>1095904.8651317777</v>
      </c>
      <c r="O20" s="124">
        <f t="shared" si="13"/>
        <v>429513.33842693444</v>
      </c>
      <c r="Q20" s="61">
        <f t="shared" si="14"/>
        <v>2040</v>
      </c>
      <c r="R20" s="633">
        <f>_xlfn.XLOOKUP($Q20,'VOC Savings'!$Q$8:$Q$43,'VOC Savings'!$Z$8:$Z$43,0,0,1)</f>
        <v>1360951.5370982066</v>
      </c>
      <c r="S20" s="634">
        <f>_xlfn.XLOOKUP($Q20,'VOC Savings'!$Q$8:$Q$43,'VOC Savings'!$AA$8:$AA$43,0,0,1)</f>
        <v>4224827.7862723172</v>
      </c>
      <c r="U20" s="637">
        <v>2031</v>
      </c>
      <c r="V20" s="638">
        <v>18900</v>
      </c>
      <c r="W20" s="638">
        <v>51300</v>
      </c>
      <c r="X20" s="638">
        <v>907600</v>
      </c>
      <c r="Y20" s="638">
        <v>66</v>
      </c>
      <c r="AA20" s="54" t="s">
        <v>96</v>
      </c>
      <c r="AB20" s="55" t="s">
        <v>97</v>
      </c>
      <c r="AC20" s="55" t="s">
        <v>98</v>
      </c>
      <c r="AD20" s="55" t="s">
        <v>99</v>
      </c>
      <c r="AE20" s="55" t="s">
        <v>100</v>
      </c>
    </row>
    <row r="21" spans="1:33" ht="17.25" customHeight="1" x14ac:dyDescent="0.25">
      <c r="B21" s="85">
        <f t="shared" si="15"/>
        <v>2041</v>
      </c>
      <c r="C21" s="606">
        <f>IF(B21&gt;=(Assumptions!$D$33),IF(B21&lt;=Assumptions!$D$15,IF(B21&gt;=Assumptions!$D$33,($R21*$Y$5+$S21*$Y$6)/(1*10^6)),0),0)</f>
        <v>5688.6403036550983</v>
      </c>
      <c r="D21" s="213">
        <f t="shared" si="7"/>
        <v>443713.94368509768</v>
      </c>
      <c r="E21" s="214">
        <f>D21*(1+0.03)^-($B21-Assumptions!$D$11)</f>
        <v>245673.65241283941</v>
      </c>
      <c r="F21" s="215">
        <f>IF(B21&gt;=(Assumptions!$D$33),IF(B21&lt;=Assumptions!$D$15,IF(B21&gt;=Assumptions!$D$33,($R21*$V$5+$S21*$V$6)/(1*10^6)),0),0)</f>
        <v>9.2181906312985706</v>
      </c>
      <c r="G21" s="216">
        <f>IF(B21&gt;=(Assumptions!$D$33),IF(B21&lt;=Assumptions!$D$15,IF(B21&gt;=Assumptions!$D$33,($R21*$W$5+$S21*$W$6)/(1*10^6)),0),0)</f>
        <v>2.3131725074876625E-2</v>
      </c>
      <c r="H21" s="217">
        <f>IF(B21&gt;=(Assumptions!$D$33),IF(B21&lt;=Assumptions!$D$15,IF(B21&gt;=Assumptions!$D$33,($R21*$X$5+$S21*$X$6)/(1*10^6)),0),0)</f>
        <v>0.14584948438645687</v>
      </c>
      <c r="I21" s="123">
        <f t="shared" si="8"/>
        <v>174223.80293154297</v>
      </c>
      <c r="J21" s="172">
        <f t="shared" si="9"/>
        <v>472893.17938561668</v>
      </c>
      <c r="K21" s="124">
        <f t="shared" si="10"/>
        <v>20994.353677958024</v>
      </c>
      <c r="L21" s="174">
        <f t="shared" si="11"/>
        <v>668111.33599511767</v>
      </c>
      <c r="M21" s="218">
        <f>L21*(1+0.07)^-(B21-Assumptions!$D$11)</f>
        <v>172652.66521649988</v>
      </c>
      <c r="N21" s="125">
        <f t="shared" si="12"/>
        <v>1111825.2796802153</v>
      </c>
      <c r="O21" s="124">
        <f t="shared" si="13"/>
        <v>418326.31762933929</v>
      </c>
      <c r="Q21" s="61">
        <f t="shared" si="14"/>
        <v>2041</v>
      </c>
      <c r="R21" s="633">
        <f>_xlfn.XLOOKUP($Q21,'VOC Savings'!$Q$8:$Q$43,'VOC Savings'!$Z$8:$Z$43,0,0,1)</f>
        <v>1366593.4366071373</v>
      </c>
      <c r="S21" s="634">
        <f>_xlfn.XLOOKUP($Q21,'VOC Savings'!$Q$8:$Q$43,'VOC Savings'!$AA$8:$AA$43,0,0,1)</f>
        <v>4242342.0424107127</v>
      </c>
      <c r="U21" s="637">
        <v>2032</v>
      </c>
      <c r="V21" s="638">
        <v>18900</v>
      </c>
      <c r="W21" s="638">
        <v>51300</v>
      </c>
      <c r="X21" s="638">
        <v>907600</v>
      </c>
      <c r="Y21" s="638">
        <v>67</v>
      </c>
      <c r="AA21" s="23" t="s">
        <v>104</v>
      </c>
      <c r="AB21" s="207">
        <f>AVERAGE(AD5:AD8)</f>
        <v>0.22790983982547491</v>
      </c>
      <c r="AC21" s="207">
        <f>AVERAGE(AE5:AE8)</f>
        <v>2.0699004398994176E-3</v>
      </c>
      <c r="AD21" s="207">
        <f>AVERAGE(AF5:AF8)</f>
        <v>5.8180715878192544E-3</v>
      </c>
      <c r="AE21" s="207">
        <f>AVERAGE(AG5:AG8)</f>
        <v>317.22468262036</v>
      </c>
    </row>
    <row r="22" spans="1:33" ht="17.25" customHeight="1" x14ac:dyDescent="0.25">
      <c r="B22" s="85">
        <f t="shared" si="15"/>
        <v>2042</v>
      </c>
      <c r="C22" s="606">
        <f>IF(B22&gt;=(Assumptions!$D$33),IF(B22&lt;=Assumptions!$D$15,IF(B22&gt;=Assumptions!$D$33,($R22*$Y$5+$S22*$Y$6)/(1*10^6)),0),0)</f>
        <v>5712.1255159178963</v>
      </c>
      <c r="D22" s="213">
        <f t="shared" si="7"/>
        <v>451257.91575751384</v>
      </c>
      <c r="E22" s="214">
        <f>D22*(1+0.03)^-($B22-Assumptions!$D$11)</f>
        <v>242573.36586368456</v>
      </c>
      <c r="F22" s="215">
        <f>IF(B22&gt;=(Assumptions!$D$33),IF(B22&lt;=Assumptions!$D$15,IF(B22&gt;=Assumptions!$D$33,($R22*$V$5+$S22*$V$6)/(1*10^6)),0),0)</f>
        <v>9.2562473816112725</v>
      </c>
      <c r="G22" s="216">
        <f>IF(B22&gt;=(Assumptions!$D$33),IF(B22&lt;=Assumptions!$D$15,IF(B22&gt;=Assumptions!$D$33,($R22*$W$5+$S22*$W$6)/(1*10^6)),0),0)</f>
        <v>2.3227223022433456E-2</v>
      </c>
      <c r="H22" s="217">
        <f>IF(B22&gt;=(Assumptions!$D$33),IF(B22&lt;=Assumptions!$D$15,IF(B22&gt;=Assumptions!$D$33,($R22*$X$5+$S22*$X$6)/(1*10^6)),0),0)</f>
        <v>0.14645161528530007</v>
      </c>
      <c r="I22" s="123">
        <f t="shared" si="8"/>
        <v>174943.07551245304</v>
      </c>
      <c r="J22" s="172">
        <f t="shared" si="9"/>
        <v>474845.49067665829</v>
      </c>
      <c r="K22" s="124">
        <f t="shared" si="10"/>
        <v>21081.027615160605</v>
      </c>
      <c r="L22" s="174">
        <f t="shared" si="11"/>
        <v>670869.59380427189</v>
      </c>
      <c r="M22" s="218">
        <f>L22*(1+0.07)^-(B22-Assumptions!$D$11)</f>
        <v>162023.78640097671</v>
      </c>
      <c r="N22" s="125">
        <f t="shared" si="12"/>
        <v>1122127.5095617857</v>
      </c>
      <c r="O22" s="124">
        <f t="shared" si="13"/>
        <v>404597.15226466127</v>
      </c>
      <c r="Q22" s="61">
        <f t="shared" si="14"/>
        <v>2042</v>
      </c>
      <c r="R22" s="633">
        <f>_xlfn.XLOOKUP($Q22,'VOC Savings'!$Q$8:$Q$43,'VOC Savings'!$Z$8:$Z$43,0,0,1)</f>
        <v>1372235.3361160606</v>
      </c>
      <c r="S22" s="634">
        <f>_xlfn.XLOOKUP($Q22,'VOC Savings'!$Q$8:$Q$43,'VOC Savings'!$AA$8:$AA$43,0,0,1)</f>
        <v>4259856.2985491082</v>
      </c>
      <c r="U22" s="637">
        <v>2033</v>
      </c>
      <c r="V22" s="638">
        <v>18900</v>
      </c>
      <c r="W22" s="638">
        <v>51300</v>
      </c>
      <c r="X22" s="638">
        <v>907600</v>
      </c>
      <c r="Y22" s="638">
        <v>68</v>
      </c>
      <c r="AA22" s="23" t="s">
        <v>77</v>
      </c>
      <c r="AB22" s="207">
        <f>AVERAGE(AD9:AD17)</f>
        <v>2.099484306313415</v>
      </c>
      <c r="AC22" s="207">
        <f>AVERAGE(AE9:AE17)</f>
        <v>4.7858028693373951E-3</v>
      </c>
      <c r="AD22" s="207">
        <f>AVERAGE(AF9:AF17)</f>
        <v>3.2505287070740692E-2</v>
      </c>
      <c r="AE22" s="207">
        <f>AVERAGE(AG9:AG17)</f>
        <v>1238.7315972924489</v>
      </c>
    </row>
    <row r="23" spans="1:33" ht="17.25" customHeight="1" x14ac:dyDescent="0.25">
      <c r="B23" s="85">
        <f t="shared" si="15"/>
        <v>2043</v>
      </c>
      <c r="C23" s="606">
        <f>IF(B23&gt;=(Assumptions!$D$33),IF(B23&lt;=Assumptions!$D$15,IF(B23&gt;=Assumptions!$D$33,($R23*$Y$5+$S23*$Y$6)/(1*10^6)),0),0)</f>
        <v>5735.6107281806871</v>
      </c>
      <c r="D23" s="213">
        <f t="shared" si="7"/>
        <v>458848.85825445497</v>
      </c>
      <c r="E23" s="214">
        <f>D23*(1+0.03)^-($B23-Assumptions!$D$11)</f>
        <v>239469.77816153652</v>
      </c>
      <c r="F23" s="215">
        <f>IF(B23&gt;=(Assumptions!$D$33),IF(B23&lt;=Assumptions!$D$15,IF(B23&gt;=Assumptions!$D$33,($R23*$V$5+$S23*$V$6)/(1*10^6)),0),0)</f>
        <v>9.2943041319239637</v>
      </c>
      <c r="G23" s="216">
        <f>IF(B23&gt;=(Assumptions!$D$33),IF(B23&lt;=Assumptions!$D$15,IF(B23&gt;=Assumptions!$D$33,($R23*$W$5+$S23*$W$6)/(1*10^6)),0),0)</f>
        <v>2.3322720969990267E-2</v>
      </c>
      <c r="H23" s="217">
        <f>IF(B23&gt;=(Assumptions!$D$33),IF(B23&lt;=Assumptions!$D$15,IF(B23&gt;=Assumptions!$D$33,($R23*$X$5+$S23*$X$6)/(1*10^6)),0),0)</f>
        <v>0.14705374618414313</v>
      </c>
      <c r="I23" s="123">
        <f t="shared" si="8"/>
        <v>175662.3480933629</v>
      </c>
      <c r="J23" s="172">
        <f t="shared" si="9"/>
        <v>476797.80196769931</v>
      </c>
      <c r="K23" s="124">
        <f t="shared" si="10"/>
        <v>21167.701552363167</v>
      </c>
      <c r="L23" s="174">
        <f t="shared" si="11"/>
        <v>673627.8516134253</v>
      </c>
      <c r="M23" s="218">
        <f>L23*(1+0.07)^-(B23-Assumptions!$D$11)</f>
        <v>152046.6745406499</v>
      </c>
      <c r="N23" s="125">
        <f t="shared" si="12"/>
        <v>1132476.7098678802</v>
      </c>
      <c r="O23" s="124">
        <f t="shared" si="13"/>
        <v>391516.45270218642</v>
      </c>
      <c r="Q23" s="61">
        <f t="shared" si="14"/>
        <v>2043</v>
      </c>
      <c r="R23" s="633">
        <f>_xlfn.XLOOKUP($Q23,'VOC Savings'!$Q$8:$Q$43,'VOC Savings'!$Z$8:$Z$43,0,0,1)</f>
        <v>1377877.2356249914</v>
      </c>
      <c r="S23" s="634">
        <f>_xlfn.XLOOKUP($Q23,'VOC Savings'!$Q$8:$Q$43,'VOC Savings'!$AA$8:$AA$43,0,0,1)</f>
        <v>4277370.5546874963</v>
      </c>
      <c r="U23" s="637">
        <v>2034</v>
      </c>
      <c r="V23" s="638">
        <v>18900</v>
      </c>
      <c r="W23" s="638">
        <v>51300</v>
      </c>
      <c r="X23" s="638">
        <v>907600</v>
      </c>
      <c r="Y23" s="638">
        <v>69</v>
      </c>
    </row>
    <row r="24" spans="1:33" ht="17.25" customHeight="1" x14ac:dyDescent="0.25">
      <c r="B24" s="85">
        <f t="shared" si="15"/>
        <v>2044</v>
      </c>
      <c r="C24" s="606">
        <f>IF(B24&gt;=(Assumptions!$D$33),IF(B24&lt;=Assumptions!$D$15,IF(B24&gt;=Assumptions!$D$33,($R24*$Y$5+$S24*$Y$6)/(1*10^6)),0),0)</f>
        <v>5759.0959404434871</v>
      </c>
      <c r="D24" s="213">
        <f t="shared" si="7"/>
        <v>466486.77117592248</v>
      </c>
      <c r="E24" s="214">
        <f>D24*(1+0.03)^-($B24-Assumptions!$D$11)</f>
        <v>236364.99770645105</v>
      </c>
      <c r="F24" s="215">
        <f>IF(B24&gt;=(Assumptions!$D$33),IF(B24&lt;=Assumptions!$D$15,IF(B24&gt;=Assumptions!$D$33,($R24*$V$5+$S24*$V$6)/(1*10^6)),0),0)</f>
        <v>9.3323608822366726</v>
      </c>
      <c r="G24" s="216">
        <f>IF(B24&gt;=(Assumptions!$D$33),IF(B24&lt;=Assumptions!$D$15,IF(B24&gt;=Assumptions!$D$33,($R24*$W$5+$S24*$W$6)/(1*10^6)),0),0)</f>
        <v>2.3418218917547112E-2</v>
      </c>
      <c r="H24" s="217">
        <f>IF(B24&gt;=(Assumptions!$D$33),IF(B24&lt;=Assumptions!$D$15,IF(B24&gt;=Assumptions!$D$33,($R24*$X$5+$S24*$X$6)/(1*10^6)),0),0)</f>
        <v>0.14765587708298639</v>
      </c>
      <c r="I24" s="123">
        <f t="shared" si="8"/>
        <v>176381.62067427312</v>
      </c>
      <c r="J24" s="172">
        <f t="shared" si="9"/>
        <v>478750.11325874133</v>
      </c>
      <c r="K24" s="124">
        <f t="shared" si="10"/>
        <v>21254.375489565758</v>
      </c>
      <c r="L24" s="174">
        <f t="shared" si="11"/>
        <v>676386.10942258022</v>
      </c>
      <c r="M24" s="218">
        <f>L24*(1+0.07)^-(B24-Assumptions!$D$11)</f>
        <v>142681.54172068692</v>
      </c>
      <c r="N24" s="125">
        <f t="shared" si="12"/>
        <v>1142872.8805985027</v>
      </c>
      <c r="O24" s="124">
        <f t="shared" si="13"/>
        <v>379046.53942713793</v>
      </c>
      <c r="Q24" s="61">
        <f t="shared" si="14"/>
        <v>2044</v>
      </c>
      <c r="R24" s="633">
        <f>_xlfn.XLOOKUP($Q24,'VOC Savings'!$Q$8:$Q$43,'VOC Savings'!$Z$8:$Z$43,0,0,1)</f>
        <v>1383519.1351339221</v>
      </c>
      <c r="S24" s="634">
        <f>_xlfn.XLOOKUP($Q24,'VOC Savings'!$Q$8:$Q$43,'VOC Savings'!$AA$8:$AA$43,0,0,1)</f>
        <v>4294884.8108258918</v>
      </c>
      <c r="U24" s="637">
        <v>2035</v>
      </c>
      <c r="V24" s="638">
        <v>18900</v>
      </c>
      <c r="W24" s="638">
        <v>51300</v>
      </c>
      <c r="X24" s="638">
        <v>907600</v>
      </c>
      <c r="Y24" s="638">
        <v>70</v>
      </c>
    </row>
    <row r="25" spans="1:33" ht="17.25" customHeight="1" x14ac:dyDescent="0.25">
      <c r="B25" s="85">
        <f t="shared" si="15"/>
        <v>2045</v>
      </c>
      <c r="C25" s="606">
        <f>IF(B25&gt;=(Assumptions!$D$33),IF(B25&lt;=Assumptions!$D$15,IF(B25&gt;=Assumptions!$D$33,($R25*$Y$5+$S25*$Y$6)/(1*10^6)),0),0)</f>
        <v>5782.5811527062824</v>
      </c>
      <c r="D25" s="213">
        <f t="shared" si="7"/>
        <v>474171.65452191513</v>
      </c>
      <c r="E25" s="214">
        <f>D25*(1+0.03)^-($B25-Assumptions!$D$11)</f>
        <v>233261.03367525275</v>
      </c>
      <c r="F25" s="215">
        <f>IF(B25&gt;=(Assumptions!$D$33),IF(B25&lt;=Assumptions!$D$15,IF(B25&gt;=Assumptions!$D$33,($R25*$V$5+$S25*$V$6)/(1*10^6)),0),0)</f>
        <v>9.3704176325493709</v>
      </c>
      <c r="G25" s="216">
        <f>IF(B25&gt;=(Assumptions!$D$33),IF(B25&lt;=Assumptions!$D$15,IF(B25&gt;=Assumptions!$D$33,($R25*$W$5+$S25*$W$6)/(1*10^6)),0),0)</f>
        <v>2.3513716865103947E-2</v>
      </c>
      <c r="H25" s="217">
        <f>IF(B25&gt;=(Assumptions!$D$33),IF(B25&lt;=Assumptions!$D$15,IF(B25&gt;=Assumptions!$D$33,($R25*$X$5+$S25*$X$6)/(1*10^6)),0),0)</f>
        <v>0.14825800798182953</v>
      </c>
      <c r="I25" s="123">
        <f t="shared" si="8"/>
        <v>177100.89325518312</v>
      </c>
      <c r="J25" s="172">
        <f t="shared" si="9"/>
        <v>480702.42454978271</v>
      </c>
      <c r="K25" s="124">
        <f t="shared" si="10"/>
        <v>21341.049426768343</v>
      </c>
      <c r="L25" s="174">
        <f t="shared" si="11"/>
        <v>679144.36723173421</v>
      </c>
      <c r="M25" s="218">
        <f>L25*(1+0.07)^-(B25-Assumptions!$D$11)</f>
        <v>133891.01645700051</v>
      </c>
      <c r="N25" s="125">
        <f t="shared" si="12"/>
        <v>1153316.0217536492</v>
      </c>
      <c r="O25" s="124">
        <f t="shared" si="13"/>
        <v>367152.05013225327</v>
      </c>
      <c r="Q25" s="61">
        <f t="shared" si="14"/>
        <v>2045</v>
      </c>
      <c r="R25" s="633">
        <f>_xlfn.XLOOKUP($Q25,'VOC Savings'!$Q$8:$Q$43,'VOC Savings'!$Z$8:$Z$43,0,0,1)</f>
        <v>1389161.0346428528</v>
      </c>
      <c r="S25" s="634">
        <f>_xlfn.XLOOKUP($Q25,'VOC Savings'!$Q$8:$Q$43,'VOC Savings'!$AA$8:$AA$43,0,0,1)</f>
        <v>4312399.0669642836</v>
      </c>
      <c r="U25" s="637">
        <v>2036</v>
      </c>
      <c r="V25" s="638">
        <v>18900</v>
      </c>
      <c r="W25" s="638">
        <v>51300</v>
      </c>
      <c r="X25" s="638">
        <v>907600</v>
      </c>
      <c r="Y25" s="638">
        <v>72</v>
      </c>
    </row>
    <row r="26" spans="1:33" ht="17.25" customHeight="1" x14ac:dyDescent="0.25">
      <c r="B26" s="85">
        <f t="shared" si="15"/>
        <v>2046</v>
      </c>
      <c r="C26" s="606">
        <f>IF(B26&gt;=(Assumptions!$D$33),IF(B26&lt;=Assumptions!$D$15,IF(B26&gt;=Assumptions!$D$33,($R26*$Y$5+$S26*$Y$6)/(1*10^6)),0),0)</f>
        <v>0</v>
      </c>
      <c r="D26" s="213">
        <f t="shared" si="7"/>
        <v>0</v>
      </c>
      <c r="E26" s="214">
        <f>D26*(1+0.03)^-($B26-Assumptions!$D$11)</f>
        <v>0</v>
      </c>
      <c r="F26" s="215">
        <f>IF(B26&gt;=(Assumptions!$D$33),IF(B26&lt;=Assumptions!$D$15,IF(B26&gt;=Assumptions!$D$33,($R26*$V$5+$S26*$V$6)/(1*10^6)),0),0)</f>
        <v>0</v>
      </c>
      <c r="G26" s="216">
        <f>IF(B26&gt;=(Assumptions!$D$33),IF(B26&lt;=Assumptions!$D$15,IF(B26&gt;=Assumptions!$D$33,($R26*$W$5+$S26*$W$6)/(1*10^6)),0),0)</f>
        <v>0</v>
      </c>
      <c r="H26" s="217">
        <f>IF(B26&gt;=(Assumptions!$D$33),IF(B26&lt;=Assumptions!$D$15,IF(B26&gt;=Assumptions!$D$33,($R26*$X$5+$S26*$X$6)/(1*10^6)),0),0)</f>
        <v>0</v>
      </c>
      <c r="I26" s="123">
        <f t="shared" si="8"/>
        <v>0</v>
      </c>
      <c r="J26" s="172">
        <f t="shared" si="9"/>
        <v>0</v>
      </c>
      <c r="K26" s="124">
        <f t="shared" si="10"/>
        <v>0</v>
      </c>
      <c r="L26" s="174">
        <f t="shared" si="11"/>
        <v>0</v>
      </c>
      <c r="M26" s="218">
        <f>L26*(1+0.07)^-(B26-Assumptions!$D$11)</f>
        <v>0</v>
      </c>
      <c r="N26" s="125">
        <f t="shared" si="12"/>
        <v>0</v>
      </c>
      <c r="O26" s="124">
        <f t="shared" si="13"/>
        <v>0</v>
      </c>
      <c r="Q26" s="61">
        <f t="shared" si="14"/>
        <v>2046</v>
      </c>
      <c r="R26" s="633">
        <f>_xlfn.XLOOKUP($Q26,'VOC Savings'!$Q$8:$Q$43,'VOC Savings'!$Z$8:$Z$43,0,0,1)</f>
        <v>0</v>
      </c>
      <c r="S26" s="634">
        <f>_xlfn.XLOOKUP($Q26,'VOC Savings'!$Q$8:$Q$43,'VOC Savings'!$AA$8:$AA$43,0,0,1)</f>
        <v>0</v>
      </c>
      <c r="U26" s="637">
        <v>2037</v>
      </c>
      <c r="V26" s="638">
        <v>18900</v>
      </c>
      <c r="W26" s="638">
        <v>51300</v>
      </c>
      <c r="X26" s="638">
        <v>907600</v>
      </c>
      <c r="Y26" s="638">
        <v>73</v>
      </c>
    </row>
    <row r="27" spans="1:33" ht="17.25" customHeight="1" x14ac:dyDescent="0.25">
      <c r="A27" s="2"/>
      <c r="B27" s="85">
        <f t="shared" si="15"/>
        <v>2047</v>
      </c>
      <c r="C27" s="606">
        <f>IF(B27&gt;=(Assumptions!$D$33),IF(B27&lt;=Assumptions!$D$15,IF(B27&gt;=Assumptions!$D$33,($R27*$Y$5+$S27*$Y$6)/(1*10^6)),0),0)</f>
        <v>0</v>
      </c>
      <c r="D27" s="213">
        <f t="shared" si="7"/>
        <v>0</v>
      </c>
      <c r="E27" s="214">
        <f>D27*(1+0.03)^-($B27-Assumptions!$D$11)</f>
        <v>0</v>
      </c>
      <c r="F27" s="215">
        <f>IF(B27&gt;=(Assumptions!$D$33),IF(B27&lt;=Assumptions!$D$15,IF(B27&gt;=Assumptions!$D$33,($R27*$V$5+$S27*$V$6)/(1*10^6)),0),0)</f>
        <v>0</v>
      </c>
      <c r="G27" s="216">
        <f>IF(B27&gt;=(Assumptions!$D$33),IF(B27&lt;=Assumptions!$D$15,IF(B27&gt;=Assumptions!$D$33,($R27*$W$5+$S27*$W$6)/(1*10^6)),0),0)</f>
        <v>0</v>
      </c>
      <c r="H27" s="217">
        <f>IF(B27&gt;=(Assumptions!$D$33),IF(B27&lt;=Assumptions!$D$15,IF(B27&gt;=Assumptions!$D$33,($R27*$X$5+$S27*$X$6)/(1*10^6)),0),0)</f>
        <v>0</v>
      </c>
      <c r="I27" s="123">
        <f t="shared" si="8"/>
        <v>0</v>
      </c>
      <c r="J27" s="172">
        <f t="shared" si="9"/>
        <v>0</v>
      </c>
      <c r="K27" s="124">
        <f t="shared" si="10"/>
        <v>0</v>
      </c>
      <c r="L27" s="174">
        <f t="shared" si="11"/>
        <v>0</v>
      </c>
      <c r="M27" s="218">
        <f>L27*(1+0.07)^-(B27-Assumptions!$D$11)</f>
        <v>0</v>
      </c>
      <c r="N27" s="125">
        <f t="shared" si="12"/>
        <v>0</v>
      </c>
      <c r="O27" s="124">
        <f t="shared" si="13"/>
        <v>0</v>
      </c>
      <c r="Q27" s="61">
        <f t="shared" si="14"/>
        <v>2047</v>
      </c>
      <c r="R27" s="633">
        <f>_xlfn.XLOOKUP($Q27,'VOC Savings'!$Q$8:$Q$43,'VOC Savings'!$Z$8:$Z$43,0,0,1)</f>
        <v>0</v>
      </c>
      <c r="S27" s="634">
        <f>_xlfn.XLOOKUP($Q27,'VOC Savings'!$Q$8:$Q$43,'VOC Savings'!$AA$8:$AA$43,0,0,1)</f>
        <v>0</v>
      </c>
      <c r="U27" s="637">
        <v>2038</v>
      </c>
      <c r="V27" s="638">
        <v>18900</v>
      </c>
      <c r="W27" s="638">
        <v>51300</v>
      </c>
      <c r="X27" s="638">
        <v>907600</v>
      </c>
      <c r="Y27" s="638">
        <v>74</v>
      </c>
    </row>
    <row r="28" spans="1:33" ht="17.25" customHeight="1" x14ac:dyDescent="0.25">
      <c r="A28" s="2"/>
      <c r="B28" s="85">
        <f t="shared" si="15"/>
        <v>2048</v>
      </c>
      <c r="C28" s="606">
        <f>IF(B28&gt;=(Assumptions!$D$33),IF(B28&lt;=Assumptions!$D$15,IF(B28&gt;=Assumptions!$D$33,($R28*$Y$5+$S28*$Y$6)/(1*10^6)),0),0)</f>
        <v>0</v>
      </c>
      <c r="D28" s="213">
        <f t="shared" si="7"/>
        <v>0</v>
      </c>
      <c r="E28" s="214">
        <f>D28*(1+0.03)^-($B28-Assumptions!$D$11)</f>
        <v>0</v>
      </c>
      <c r="F28" s="215">
        <f>IF(B28&gt;=(Assumptions!$D$33),IF(B28&lt;=Assumptions!$D$15,IF(B28&gt;=Assumptions!$D$33,($R28*$V$5+$S28*$V$6)/(1*10^6)),0),0)</f>
        <v>0</v>
      </c>
      <c r="G28" s="216">
        <f>IF(B28&gt;=(Assumptions!$D$33),IF(B28&lt;=Assumptions!$D$15,IF(B28&gt;=Assumptions!$D$33,($R28*$W$5+$S28*$W$6)/(1*10^6)),0),0)</f>
        <v>0</v>
      </c>
      <c r="H28" s="217">
        <f>IF(B28&gt;=(Assumptions!$D$33),IF(B28&lt;=Assumptions!$D$15,IF(B28&gt;=Assumptions!$D$33,($R28*$X$5+$S28*$X$6)/(1*10^6)),0),0)</f>
        <v>0</v>
      </c>
      <c r="I28" s="123">
        <f t="shared" si="8"/>
        <v>0</v>
      </c>
      <c r="J28" s="172">
        <f t="shared" si="9"/>
        <v>0</v>
      </c>
      <c r="K28" s="124">
        <f t="shared" si="10"/>
        <v>0</v>
      </c>
      <c r="L28" s="174">
        <f t="shared" si="11"/>
        <v>0</v>
      </c>
      <c r="M28" s="218">
        <f>L28*(1+0.07)^-(B28-Assumptions!$D$11)</f>
        <v>0</v>
      </c>
      <c r="N28" s="125">
        <f t="shared" si="12"/>
        <v>0</v>
      </c>
      <c r="O28" s="124">
        <f t="shared" si="13"/>
        <v>0</v>
      </c>
      <c r="Q28" s="61">
        <f t="shared" si="14"/>
        <v>2048</v>
      </c>
      <c r="R28" s="633">
        <f>_xlfn.XLOOKUP($Q28,'VOC Savings'!$Q$8:$Q$43,'VOC Savings'!$Z$8:$Z$43,0,0,1)</f>
        <v>0</v>
      </c>
      <c r="S28" s="634">
        <f>_xlfn.XLOOKUP($Q28,'VOC Savings'!$Q$8:$Q$43,'VOC Savings'!$AA$8:$AA$43,0,0,1)</f>
        <v>0</v>
      </c>
      <c r="U28" s="637">
        <v>2039</v>
      </c>
      <c r="V28" s="638">
        <v>18900</v>
      </c>
      <c r="W28" s="638">
        <v>51300</v>
      </c>
      <c r="X28" s="638">
        <v>907600</v>
      </c>
      <c r="Y28" s="638">
        <v>75</v>
      </c>
    </row>
    <row r="29" spans="1:33" ht="17.25" customHeight="1" x14ac:dyDescent="0.25">
      <c r="B29" s="85">
        <f t="shared" si="15"/>
        <v>2049</v>
      </c>
      <c r="C29" s="606">
        <f>IF(B29&gt;=(Assumptions!$D$33),IF(B29&lt;=Assumptions!$D$15,IF(B29&gt;=Assumptions!$D$33,($R29*$Y$5+$S29*$Y$6)/(1*10^6)),0),0)</f>
        <v>0</v>
      </c>
      <c r="D29" s="213">
        <f t="shared" si="7"/>
        <v>0</v>
      </c>
      <c r="E29" s="214">
        <f>D29*(1+0.03)^-($B29-Assumptions!$D$11)</f>
        <v>0</v>
      </c>
      <c r="F29" s="215">
        <f>IF(B29&gt;=(Assumptions!$D$33),IF(B29&lt;=Assumptions!$D$15,IF(B29&gt;=Assumptions!$D$33,($R29*$V$5+$S29*$V$6)/(1*10^6)),0),0)</f>
        <v>0</v>
      </c>
      <c r="G29" s="216">
        <f>IF(B29&gt;=(Assumptions!$D$33),IF(B29&lt;=Assumptions!$D$15,IF(B29&gt;=Assumptions!$D$33,($R29*$W$5+$S29*$W$6)/(1*10^6)),0),0)</f>
        <v>0</v>
      </c>
      <c r="H29" s="217">
        <f>IF(B29&gt;=(Assumptions!$D$33),IF(B29&lt;=Assumptions!$D$15,IF(B29&gt;=Assumptions!$D$33,($R29*$X$5+$S29*$X$6)/(1*10^6)),0),0)</f>
        <v>0</v>
      </c>
      <c r="I29" s="123">
        <f t="shared" si="8"/>
        <v>0</v>
      </c>
      <c r="J29" s="172">
        <f t="shared" si="9"/>
        <v>0</v>
      </c>
      <c r="K29" s="124">
        <f t="shared" si="10"/>
        <v>0</v>
      </c>
      <c r="L29" s="174">
        <f t="shared" si="11"/>
        <v>0</v>
      </c>
      <c r="M29" s="218">
        <f>L29*(1+0.07)^-(B29-Assumptions!$D$11)</f>
        <v>0</v>
      </c>
      <c r="N29" s="125">
        <f t="shared" si="12"/>
        <v>0</v>
      </c>
      <c r="O29" s="124">
        <f t="shared" si="13"/>
        <v>0</v>
      </c>
      <c r="Q29" s="61">
        <f t="shared" si="14"/>
        <v>2049</v>
      </c>
      <c r="R29" s="633">
        <f>_xlfn.XLOOKUP($Q29,'VOC Savings'!$Q$8:$Q$43,'VOC Savings'!$Z$8:$Z$43,0,0,1)</f>
        <v>0</v>
      </c>
      <c r="S29" s="634">
        <f>_xlfn.XLOOKUP($Q29,'VOC Savings'!$Q$8:$Q$43,'VOC Savings'!$AA$8:$AA$43,0,0,1)</f>
        <v>0</v>
      </c>
      <c r="U29" s="637">
        <v>2040</v>
      </c>
      <c r="V29" s="638">
        <v>18900</v>
      </c>
      <c r="W29" s="638">
        <v>51300</v>
      </c>
      <c r="X29" s="638">
        <v>907600</v>
      </c>
      <c r="Y29" s="638">
        <v>76</v>
      </c>
    </row>
    <row r="30" spans="1:33" ht="17.25" customHeight="1" x14ac:dyDescent="0.25">
      <c r="A30" s="2"/>
      <c r="B30" s="85">
        <f t="shared" si="15"/>
        <v>2050</v>
      </c>
      <c r="C30" s="606">
        <f>IF(B30&gt;=(Assumptions!$D$33),IF(B30&lt;=Assumptions!$D$15,IF(B30&gt;=Assumptions!$D$33,($R30*$Y$5+$S30*$Y$6)/(1*10^6)),0),0)</f>
        <v>0</v>
      </c>
      <c r="D30" s="213">
        <f t="shared" si="7"/>
        <v>0</v>
      </c>
      <c r="E30" s="214">
        <f>D30*(1+0.03)^-($B30-Assumptions!$D$11)</f>
        <v>0</v>
      </c>
      <c r="F30" s="215">
        <f>IF(B30&gt;=(Assumptions!$D$33),IF(B30&lt;=Assumptions!$D$15,IF(B30&gt;=Assumptions!$D$33,($R30*$V$5+$S30*$V$6)/(1*10^6)),0),0)</f>
        <v>0</v>
      </c>
      <c r="G30" s="216">
        <f>IF(B30&gt;=(Assumptions!$D$33),IF(B30&lt;=Assumptions!$D$15,IF(B30&gt;=Assumptions!$D$33,($R30*$W$5+$S30*$W$6)/(1*10^6)),0),0)</f>
        <v>0</v>
      </c>
      <c r="H30" s="217">
        <f>IF(B30&gt;=(Assumptions!$D$33),IF(B30&lt;=Assumptions!$D$15,IF(B30&gt;=Assumptions!$D$33,($R30*$X$5+$S30*$X$6)/(1*10^6)),0),0)</f>
        <v>0</v>
      </c>
      <c r="I30" s="123">
        <f t="shared" si="8"/>
        <v>0</v>
      </c>
      <c r="J30" s="172">
        <f t="shared" si="9"/>
        <v>0</v>
      </c>
      <c r="K30" s="124">
        <f t="shared" si="10"/>
        <v>0</v>
      </c>
      <c r="L30" s="174">
        <f t="shared" si="11"/>
        <v>0</v>
      </c>
      <c r="M30" s="218">
        <f>L30*(1+0.07)^-(B30-Assumptions!$D$11)</f>
        <v>0</v>
      </c>
      <c r="N30" s="125">
        <f t="shared" si="12"/>
        <v>0</v>
      </c>
      <c r="O30" s="124">
        <f t="shared" si="13"/>
        <v>0</v>
      </c>
      <c r="Q30" s="61">
        <f t="shared" si="14"/>
        <v>2050</v>
      </c>
      <c r="R30" s="633">
        <f>_xlfn.XLOOKUP($Q30,'VOC Savings'!$Q$8:$Q$43,'VOC Savings'!$Z$8:$Z$43,0,0,1)</f>
        <v>0</v>
      </c>
      <c r="S30" s="634">
        <f>_xlfn.XLOOKUP($Q30,'VOC Savings'!$Q$8:$Q$43,'VOC Savings'!$AA$8:$AA$43,0,0,1)</f>
        <v>0</v>
      </c>
      <c r="U30" s="637">
        <v>2041</v>
      </c>
      <c r="V30" s="638">
        <v>18900</v>
      </c>
      <c r="W30" s="638">
        <v>51300</v>
      </c>
      <c r="X30" s="638">
        <v>907600</v>
      </c>
      <c r="Y30" s="638">
        <v>78</v>
      </c>
    </row>
    <row r="31" spans="1:33" ht="17.25" customHeight="1" x14ac:dyDescent="0.25">
      <c r="A31" s="2"/>
      <c r="B31" s="85">
        <f t="shared" si="15"/>
        <v>2051</v>
      </c>
      <c r="C31" s="606">
        <f>IF(B31&gt;=(Assumptions!$D$33),IF(B31&lt;=Assumptions!$D$15,IF(B31&gt;=Assumptions!$D$33,($R31*$Y$5+$S31*$Y$6)/(1*10^6)),0),0)</f>
        <v>0</v>
      </c>
      <c r="D31" s="213">
        <f t="shared" si="7"/>
        <v>0</v>
      </c>
      <c r="E31" s="214">
        <f>D31*(1+0.03)^-($B31-Assumptions!$D$11)</f>
        <v>0</v>
      </c>
      <c r="F31" s="215">
        <f>IF(B31&gt;=(Assumptions!$D$33),IF(B31&lt;=Assumptions!$D$15,IF(B31&gt;=Assumptions!$D$33,($R31*$V$5+$S31*$V$6)/(1*10^6)),0),0)</f>
        <v>0</v>
      </c>
      <c r="G31" s="216">
        <f>IF(B31&gt;=(Assumptions!$D$33),IF(B31&lt;=Assumptions!$D$15,IF(B31&gt;=Assumptions!$D$33,($R31*$W$5+$S31*$W$6)/(1*10^6)),0),0)</f>
        <v>0</v>
      </c>
      <c r="H31" s="217">
        <f>IF(B31&gt;=(Assumptions!$D$33),IF(B31&lt;=Assumptions!$D$15,IF(B31&gt;=Assumptions!$D$33,($R31*$X$5+$S31*$X$6)/(1*10^6)),0),0)</f>
        <v>0</v>
      </c>
      <c r="I31" s="123">
        <f t="shared" si="8"/>
        <v>0</v>
      </c>
      <c r="J31" s="172">
        <f t="shared" si="9"/>
        <v>0</v>
      </c>
      <c r="K31" s="124">
        <f t="shared" si="10"/>
        <v>0</v>
      </c>
      <c r="L31" s="174">
        <f t="shared" si="11"/>
        <v>0</v>
      </c>
      <c r="M31" s="218">
        <f>L31*(1+0.07)^-(B31-Assumptions!$D$11)</f>
        <v>0</v>
      </c>
      <c r="N31" s="125">
        <f t="shared" si="12"/>
        <v>0</v>
      </c>
      <c r="O31" s="124">
        <f t="shared" si="13"/>
        <v>0</v>
      </c>
      <c r="Q31" s="61">
        <f t="shared" si="14"/>
        <v>2051</v>
      </c>
      <c r="R31" s="633">
        <f>_xlfn.XLOOKUP($Q31,'VOC Savings'!$Q$8:$Q$43,'VOC Savings'!$Z$8:$Z$43,0,0,1)</f>
        <v>0</v>
      </c>
      <c r="S31" s="634">
        <f>_xlfn.XLOOKUP($Q31,'VOC Savings'!$Q$8:$Q$43,'VOC Savings'!$AA$8:$AA$43,0,0,1)</f>
        <v>0</v>
      </c>
      <c r="U31" s="637">
        <v>2042</v>
      </c>
      <c r="V31" s="638">
        <v>18900</v>
      </c>
      <c r="W31" s="638">
        <v>51300</v>
      </c>
      <c r="X31" s="638">
        <v>907600</v>
      </c>
      <c r="Y31" s="638">
        <v>79</v>
      </c>
    </row>
    <row r="32" spans="1:33" ht="17.25" customHeight="1" x14ac:dyDescent="0.25">
      <c r="A32" s="2"/>
      <c r="B32" s="85">
        <f t="shared" si="15"/>
        <v>2052</v>
      </c>
      <c r="C32" s="606">
        <f>IF(B32&gt;=(Assumptions!$D$33),IF(B32&lt;=Assumptions!$D$15,IF(B32&gt;=Assumptions!$D$33,($R32*$Y$5+$S32*$Y$6)/(1*10^6)),0),0)</f>
        <v>0</v>
      </c>
      <c r="D32" s="213">
        <f t="shared" si="7"/>
        <v>0</v>
      </c>
      <c r="E32" s="214">
        <f>D32*(1+0.03)^-($B32-Assumptions!$D$11)</f>
        <v>0</v>
      </c>
      <c r="F32" s="215">
        <f>IF(B32&gt;=(Assumptions!$D$33),IF(B32&lt;=Assumptions!$D$15,IF(B32&gt;=Assumptions!$D$33,($R32*$V$5+$S32*$V$6)/(1*10^6)),0),0)</f>
        <v>0</v>
      </c>
      <c r="G32" s="216">
        <f>IF(B32&gt;=(Assumptions!$D$33),IF(B32&lt;=Assumptions!$D$15,IF(B32&gt;=Assumptions!$D$33,($R32*$W$5+$S32*$W$6)/(1*10^6)),0),0)</f>
        <v>0</v>
      </c>
      <c r="H32" s="217">
        <f>IF(B32&gt;=(Assumptions!$D$33),IF(B32&lt;=Assumptions!$D$15,IF(B32&gt;=Assumptions!$D$33,($R32*$X$5+$S32*$X$6)/(1*10^6)),0),0)</f>
        <v>0</v>
      </c>
      <c r="I32" s="123">
        <f t="shared" si="8"/>
        <v>0</v>
      </c>
      <c r="J32" s="172">
        <f t="shared" si="9"/>
        <v>0</v>
      </c>
      <c r="K32" s="124">
        <f t="shared" si="10"/>
        <v>0</v>
      </c>
      <c r="L32" s="174">
        <f t="shared" si="11"/>
        <v>0</v>
      </c>
      <c r="M32" s="218">
        <f>L32*(1+0.07)^-(B32-Assumptions!$D$11)</f>
        <v>0</v>
      </c>
      <c r="N32" s="125">
        <f t="shared" si="12"/>
        <v>0</v>
      </c>
      <c r="O32" s="124">
        <f t="shared" si="13"/>
        <v>0</v>
      </c>
      <c r="Q32" s="61">
        <f t="shared" si="14"/>
        <v>2052</v>
      </c>
      <c r="R32" s="633">
        <f>_xlfn.XLOOKUP($Q32,'VOC Savings'!$Q$8:$Q$43,'VOC Savings'!$Z$8:$Z$43,0,0,1)</f>
        <v>0</v>
      </c>
      <c r="S32" s="634">
        <f>_xlfn.XLOOKUP($Q32,'VOC Savings'!$Q$8:$Q$43,'VOC Savings'!$AA$8:$AA$43,0,0,1)</f>
        <v>0</v>
      </c>
      <c r="U32" s="637">
        <v>2043</v>
      </c>
      <c r="V32" s="638">
        <v>18900</v>
      </c>
      <c r="W32" s="638">
        <v>51300</v>
      </c>
      <c r="X32" s="638">
        <v>907600</v>
      </c>
      <c r="Y32" s="638">
        <v>80</v>
      </c>
    </row>
    <row r="33" spans="1:27" ht="17.25" customHeight="1" x14ac:dyDescent="0.25">
      <c r="A33" s="2"/>
      <c r="B33" s="85">
        <f t="shared" si="15"/>
        <v>2053</v>
      </c>
      <c r="C33" s="606">
        <f>IF(B33&gt;=(Assumptions!$D$33),IF(B33&lt;=Assumptions!$D$15,IF(B33&gt;=Assumptions!$D$33,($R33*$Y$5+$S33*$Y$6)/(1*10^6)),0),0)</f>
        <v>0</v>
      </c>
      <c r="D33" s="213">
        <f t="shared" si="7"/>
        <v>0</v>
      </c>
      <c r="E33" s="214">
        <f>D33*(1+0.03)^-($B33-Assumptions!$D$11)</f>
        <v>0</v>
      </c>
      <c r="F33" s="215">
        <f>IF(B33&gt;=(Assumptions!$D$33),IF(B33&lt;=Assumptions!$D$15,IF(B33&gt;=Assumptions!$D$33,($R33*$V$5+$S33*$V$6)/(1*10^6)),0),0)</f>
        <v>0</v>
      </c>
      <c r="G33" s="216">
        <f>IF(B33&gt;=(Assumptions!$D$33),IF(B33&lt;=Assumptions!$D$15,IF(B33&gt;=Assumptions!$D$33,($R33*$W$5+$S33*$W$6)/(1*10^6)),0),0)</f>
        <v>0</v>
      </c>
      <c r="H33" s="217">
        <f>IF(B33&gt;=(Assumptions!$D$33),IF(B33&lt;=Assumptions!$D$15,IF(B33&gt;=Assumptions!$D$33,($R33*$X$5+$S33*$X$6)/(1*10^6)),0),0)</f>
        <v>0</v>
      </c>
      <c r="I33" s="123">
        <f t="shared" si="8"/>
        <v>0</v>
      </c>
      <c r="J33" s="172">
        <f t="shared" si="9"/>
        <v>0</v>
      </c>
      <c r="K33" s="124">
        <f t="shared" si="10"/>
        <v>0</v>
      </c>
      <c r="L33" s="174">
        <f t="shared" si="11"/>
        <v>0</v>
      </c>
      <c r="M33" s="218">
        <f>L33*(1+0.07)^-(B33-Assumptions!$D$11)</f>
        <v>0</v>
      </c>
      <c r="N33" s="125">
        <f t="shared" si="12"/>
        <v>0</v>
      </c>
      <c r="O33" s="124">
        <f t="shared" si="13"/>
        <v>0</v>
      </c>
      <c r="Q33" s="61">
        <f t="shared" si="14"/>
        <v>2053</v>
      </c>
      <c r="R33" s="633">
        <f>_xlfn.XLOOKUP($Q33,'VOC Savings'!$Q$8:$Q$43,'VOC Savings'!$Z$8:$Z$43,0,0,1)</f>
        <v>0</v>
      </c>
      <c r="S33" s="634">
        <f>_xlfn.XLOOKUP($Q33,'VOC Savings'!$Q$8:$Q$43,'VOC Savings'!$AA$8:$AA$43,0,0,1)</f>
        <v>0</v>
      </c>
      <c r="U33" s="637">
        <v>2044</v>
      </c>
      <c r="V33" s="638">
        <v>18900</v>
      </c>
      <c r="W33" s="638">
        <v>51300</v>
      </c>
      <c r="X33" s="638">
        <v>907600</v>
      </c>
      <c r="Y33" s="638">
        <v>81</v>
      </c>
    </row>
    <row r="34" spans="1:27" ht="17.25" customHeight="1" x14ac:dyDescent="0.25">
      <c r="A34" s="2"/>
      <c r="B34" s="85">
        <f t="shared" si="15"/>
        <v>2054</v>
      </c>
      <c r="C34" s="606">
        <f>IF(B34&gt;=(Assumptions!$D$33),IF(B34&lt;=Assumptions!$D$15,IF(B34&gt;=Assumptions!$D$33,($R34*$Y$5+$S34*$Y$6)/(1*10^6)),0),0)</f>
        <v>0</v>
      </c>
      <c r="D34" s="213">
        <f t="shared" si="7"/>
        <v>0</v>
      </c>
      <c r="E34" s="214">
        <f>D34*(1+0.03)^-($B34-Assumptions!$D$11)</f>
        <v>0</v>
      </c>
      <c r="F34" s="215">
        <f>IF(B34&gt;=(Assumptions!$D$33),IF(B34&lt;=Assumptions!$D$15,IF(B34&gt;=Assumptions!$D$33,($R34*$V$5+$S34*$V$6)/(1*10^6)),0),0)</f>
        <v>0</v>
      </c>
      <c r="G34" s="216">
        <f>IF(B34&gt;=(Assumptions!$D$33),IF(B34&lt;=Assumptions!$D$15,IF(B34&gt;=Assumptions!$D$33,($R34*$W$5+$S34*$W$6)/(1*10^6)),0),0)</f>
        <v>0</v>
      </c>
      <c r="H34" s="217">
        <f>IF(B34&gt;=(Assumptions!$D$33),IF(B34&lt;=Assumptions!$D$15,IF(B34&gt;=Assumptions!$D$33,($R34*$X$5+$S34*$X$6)/(1*10^6)),0),0)</f>
        <v>0</v>
      </c>
      <c r="I34" s="123">
        <f t="shared" si="8"/>
        <v>0</v>
      </c>
      <c r="J34" s="172">
        <f t="shared" si="9"/>
        <v>0</v>
      </c>
      <c r="K34" s="124">
        <f t="shared" si="10"/>
        <v>0</v>
      </c>
      <c r="L34" s="174">
        <f t="shared" si="11"/>
        <v>0</v>
      </c>
      <c r="M34" s="218">
        <f>L34*(1+0.07)^-(B34-Assumptions!$D$11)</f>
        <v>0</v>
      </c>
      <c r="N34" s="125">
        <f t="shared" si="12"/>
        <v>0</v>
      </c>
      <c r="O34" s="124">
        <f t="shared" si="13"/>
        <v>0</v>
      </c>
      <c r="Q34" s="61">
        <f t="shared" si="14"/>
        <v>2054</v>
      </c>
      <c r="R34" s="633">
        <f>_xlfn.XLOOKUP($Q34,'VOC Savings'!$Q$8:$Q$43,'VOC Savings'!$Z$8:$Z$43,0,0,1)</f>
        <v>0</v>
      </c>
      <c r="S34" s="634">
        <f>_xlfn.XLOOKUP($Q34,'VOC Savings'!$Q$8:$Q$43,'VOC Savings'!$AA$8:$AA$43,0,0,1)</f>
        <v>0</v>
      </c>
      <c r="U34" s="637">
        <v>2045</v>
      </c>
      <c r="V34" s="638">
        <v>18900</v>
      </c>
      <c r="W34" s="638">
        <v>51300</v>
      </c>
      <c r="X34" s="638">
        <v>907600</v>
      </c>
      <c r="Y34" s="638">
        <v>82</v>
      </c>
    </row>
    <row r="35" spans="1:27" ht="17.25" customHeight="1" x14ac:dyDescent="0.25">
      <c r="B35" s="85">
        <f t="shared" si="15"/>
        <v>2055</v>
      </c>
      <c r="C35" s="606">
        <f>IF(B35&gt;=(Assumptions!$D$33),IF(B35&lt;=Assumptions!$D$15,IF(B35&gt;=Assumptions!$D$33,($R35*$Y$5+$S35*$Y$6)/(1*10^6)),0),0)</f>
        <v>0</v>
      </c>
      <c r="D35" s="213">
        <f t="shared" si="7"/>
        <v>0</v>
      </c>
      <c r="E35" s="214">
        <f>D35*(1+0.03)^-($B35-Assumptions!$D$11)</f>
        <v>0</v>
      </c>
      <c r="F35" s="215">
        <f>IF(B35&gt;=(Assumptions!$D$33),IF(B35&lt;=Assumptions!$D$15,IF(B35&gt;=Assumptions!$D$33,($R35*$V$5+$S35*$V$6)/(1*10^6)),0),0)</f>
        <v>0</v>
      </c>
      <c r="G35" s="216">
        <f>IF(B35&gt;=(Assumptions!$D$33),IF(B35&lt;=Assumptions!$D$15,IF(B35&gt;=Assumptions!$D$33,($R35*$W$5+$S35*$W$6)/(1*10^6)),0),0)</f>
        <v>0</v>
      </c>
      <c r="H35" s="217">
        <f>IF(B35&gt;=(Assumptions!$D$33),IF(B35&lt;=Assumptions!$D$15,IF(B35&gt;=Assumptions!$D$33,($R35*$X$5+$S35*$X$6)/(1*10^6)),0),0)</f>
        <v>0</v>
      </c>
      <c r="I35" s="123">
        <f t="shared" si="8"/>
        <v>0</v>
      </c>
      <c r="J35" s="172">
        <f t="shared" si="9"/>
        <v>0</v>
      </c>
      <c r="K35" s="124">
        <f t="shared" si="10"/>
        <v>0</v>
      </c>
      <c r="L35" s="174">
        <f t="shared" si="11"/>
        <v>0</v>
      </c>
      <c r="M35" s="218">
        <f>L35*(1+0.07)^-(B35-Assumptions!$D$11)</f>
        <v>0</v>
      </c>
      <c r="N35" s="125">
        <f t="shared" si="12"/>
        <v>0</v>
      </c>
      <c r="O35" s="124">
        <f t="shared" si="13"/>
        <v>0</v>
      </c>
      <c r="Q35" s="61">
        <f t="shared" si="14"/>
        <v>2055</v>
      </c>
      <c r="R35" s="633">
        <f>_xlfn.XLOOKUP($Q35,'VOC Savings'!$Q$8:$Q$43,'VOC Savings'!$Z$8:$Z$43,0,0,1)</f>
        <v>0</v>
      </c>
      <c r="S35" s="634">
        <f>_xlfn.XLOOKUP($Q35,'VOC Savings'!$Q$8:$Q$43,'VOC Savings'!$AA$8:$AA$43,0,0,1)</f>
        <v>0</v>
      </c>
      <c r="U35" s="637">
        <v>2046</v>
      </c>
      <c r="V35" s="638">
        <v>18900</v>
      </c>
      <c r="W35" s="638">
        <v>51300</v>
      </c>
      <c r="X35" s="638">
        <v>907600</v>
      </c>
      <c r="Y35" s="638">
        <v>84</v>
      </c>
    </row>
    <row r="36" spans="1:27" ht="17.25" customHeight="1" x14ac:dyDescent="0.25">
      <c r="A36" s="2"/>
      <c r="B36" s="85">
        <f t="shared" ref="B36:B40" si="16">B35+1</f>
        <v>2056</v>
      </c>
      <c r="C36" s="606">
        <f>IF(B36&gt;=(Assumptions!$D$33),IF(B36&lt;=Assumptions!$D$15,IF(B36&gt;=Assumptions!$D$33,($R36*$Y$5+$S36*$Y$6)/(1*10^6)),0),0)</f>
        <v>0</v>
      </c>
      <c r="D36" s="213">
        <f t="shared" si="7"/>
        <v>0</v>
      </c>
      <c r="E36" s="214">
        <f>D36*(1+0.03)^-($B36-Assumptions!$D$11)</f>
        <v>0</v>
      </c>
      <c r="F36" s="215">
        <f>IF(B36&gt;=(Assumptions!$D$33),IF(B36&lt;=Assumptions!$D$15,IF(B36&gt;=Assumptions!$D$33,($R36*$V$5+$S36*$V$6)/(1*10^6)),0),0)</f>
        <v>0</v>
      </c>
      <c r="G36" s="216">
        <f>IF(B36&gt;=(Assumptions!$D$33),IF(B36&lt;=Assumptions!$D$15,IF(B36&gt;=Assumptions!$D$33,($R36*$W$5+$S36*$W$6)/(1*10^6)),0),0)</f>
        <v>0</v>
      </c>
      <c r="H36" s="217">
        <f>IF(B36&gt;=(Assumptions!$D$33),IF(B36&lt;=Assumptions!$D$15,IF(B36&gt;=Assumptions!$D$33,($R36*$X$5+$S36*$X$6)/(1*10^6)),0),0)</f>
        <v>0</v>
      </c>
      <c r="I36" s="123">
        <f t="shared" si="8"/>
        <v>0</v>
      </c>
      <c r="J36" s="172">
        <f t="shared" si="9"/>
        <v>0</v>
      </c>
      <c r="K36" s="124">
        <f t="shared" si="10"/>
        <v>0</v>
      </c>
      <c r="L36" s="174">
        <f t="shared" si="11"/>
        <v>0</v>
      </c>
      <c r="M36" s="218">
        <f>L36*(1+0.07)^-(B36-Assumptions!$D$11)</f>
        <v>0</v>
      </c>
      <c r="N36" s="125">
        <f t="shared" si="12"/>
        <v>0</v>
      </c>
      <c r="O36" s="124">
        <f t="shared" si="13"/>
        <v>0</v>
      </c>
      <c r="Q36" s="61">
        <f t="shared" si="14"/>
        <v>2056</v>
      </c>
      <c r="R36" s="633">
        <f>_xlfn.XLOOKUP($Q36,'VOC Savings'!$Q$8:$Q$43,'VOC Savings'!$Z$8:$Z$43,0,0,1)</f>
        <v>0</v>
      </c>
      <c r="S36" s="634">
        <f>_xlfn.XLOOKUP($Q36,'VOC Savings'!$Q$8:$Q$43,'VOC Savings'!$AA$8:$AA$43,0,0,1)</f>
        <v>0</v>
      </c>
      <c r="U36" s="637">
        <v>2047</v>
      </c>
      <c r="V36" s="638">
        <v>18900</v>
      </c>
      <c r="W36" s="638">
        <v>51300</v>
      </c>
      <c r="X36" s="638">
        <v>907600</v>
      </c>
      <c r="Y36" s="638">
        <v>85</v>
      </c>
    </row>
    <row r="37" spans="1:27" ht="17.25" customHeight="1" x14ac:dyDescent="0.25">
      <c r="A37" s="2"/>
      <c r="B37" s="85">
        <f t="shared" si="16"/>
        <v>2057</v>
      </c>
      <c r="C37" s="606">
        <f>IF(B37&gt;=(Assumptions!$D$33),IF(B37&lt;=Assumptions!$D$15,IF(B37&gt;=Assumptions!$D$33,($R37*$Y$5+$S37*$Y$6)/(1*10^6)),0),0)</f>
        <v>0</v>
      </c>
      <c r="D37" s="213">
        <f t="shared" si="7"/>
        <v>0</v>
      </c>
      <c r="E37" s="214">
        <f>D37*(1+0.03)^-($B37-Assumptions!$D$11)</f>
        <v>0</v>
      </c>
      <c r="F37" s="215">
        <f>IF(B37&gt;=(Assumptions!$D$33),IF(B37&lt;=Assumptions!$D$15,IF(B37&gt;=Assumptions!$D$33,($R37*$V$5+$S37*$V$6)/(1*10^6)),0),0)</f>
        <v>0</v>
      </c>
      <c r="G37" s="216">
        <f>IF(B37&gt;=(Assumptions!$D$33),IF(B37&lt;=Assumptions!$D$15,IF(B37&gt;=Assumptions!$D$33,($R37*$W$5+$S37*$W$6)/(1*10^6)),0),0)</f>
        <v>0</v>
      </c>
      <c r="H37" s="217">
        <f>IF(B37&gt;=(Assumptions!$D$33),IF(B37&lt;=Assumptions!$D$15,IF(B37&gt;=Assumptions!$D$33,($R37*$X$5+$S37*$X$6)/(1*10^6)),0),0)</f>
        <v>0</v>
      </c>
      <c r="I37" s="123">
        <f t="shared" si="8"/>
        <v>0</v>
      </c>
      <c r="J37" s="172">
        <f t="shared" si="9"/>
        <v>0</v>
      </c>
      <c r="K37" s="124">
        <f t="shared" si="10"/>
        <v>0</v>
      </c>
      <c r="L37" s="174">
        <f t="shared" si="11"/>
        <v>0</v>
      </c>
      <c r="M37" s="218">
        <f>L37*(1+0.07)^-(B37-Assumptions!$D$11)</f>
        <v>0</v>
      </c>
      <c r="N37" s="125">
        <f t="shared" si="12"/>
        <v>0</v>
      </c>
      <c r="O37" s="124">
        <f t="shared" si="13"/>
        <v>0</v>
      </c>
      <c r="P37" s="18"/>
      <c r="Q37" s="61">
        <f t="shared" si="14"/>
        <v>2057</v>
      </c>
      <c r="R37" s="633">
        <f>_xlfn.XLOOKUP($Q37,'VOC Savings'!$Q$8:$Q$43,'VOC Savings'!$Z$8:$Z$43,0,0,1)</f>
        <v>0</v>
      </c>
      <c r="S37" s="634">
        <f>_xlfn.XLOOKUP($Q37,'VOC Savings'!$Q$8:$Q$43,'VOC Savings'!$AA$8:$AA$43,0,0,1)</f>
        <v>0</v>
      </c>
      <c r="T37" s="18"/>
      <c r="U37" s="637">
        <v>2048</v>
      </c>
      <c r="V37" s="638">
        <v>18900</v>
      </c>
      <c r="W37" s="638">
        <v>51300</v>
      </c>
      <c r="X37" s="638">
        <v>907600</v>
      </c>
      <c r="Y37" s="638">
        <v>86</v>
      </c>
    </row>
    <row r="38" spans="1:27" ht="17.25" customHeight="1" x14ac:dyDescent="0.25">
      <c r="B38" s="85">
        <f t="shared" si="16"/>
        <v>2058</v>
      </c>
      <c r="C38" s="606">
        <f>IF(B38&gt;=(Assumptions!$D$33),IF(B38&lt;=Assumptions!$D$15,IF(B38&gt;=Assumptions!$D$33,($R38*$Y$5+$S38*$Y$6)/(1*10^6)),0),0)</f>
        <v>0</v>
      </c>
      <c r="D38" s="213">
        <f t="shared" si="7"/>
        <v>0</v>
      </c>
      <c r="E38" s="214">
        <f>D38*(1+0.03)^-($B38-Assumptions!$D$11)</f>
        <v>0</v>
      </c>
      <c r="F38" s="215">
        <f>IF(B38&gt;=(Assumptions!$D$33),IF(B38&lt;=Assumptions!$D$15,IF(B38&gt;=Assumptions!$D$33,($R38*$V$5+$S38*$V$6)/(1*10^6)),0),0)</f>
        <v>0</v>
      </c>
      <c r="G38" s="216">
        <f>IF(B38&gt;=(Assumptions!$D$33),IF(B38&lt;=Assumptions!$D$15,IF(B38&gt;=Assumptions!$D$33,($R38*$W$5+$S38*$W$6)/(1*10^6)),0),0)</f>
        <v>0</v>
      </c>
      <c r="H38" s="217">
        <f>IF(B38&gt;=(Assumptions!$D$33),IF(B38&lt;=Assumptions!$D$15,IF(B38&gt;=Assumptions!$D$33,($R38*$X$5+$S38*$X$6)/(1*10^6)),0),0)</f>
        <v>0</v>
      </c>
      <c r="I38" s="123">
        <f t="shared" si="8"/>
        <v>0</v>
      </c>
      <c r="J38" s="172">
        <f t="shared" si="9"/>
        <v>0</v>
      </c>
      <c r="K38" s="124">
        <f t="shared" si="10"/>
        <v>0</v>
      </c>
      <c r="L38" s="174">
        <f t="shared" si="11"/>
        <v>0</v>
      </c>
      <c r="M38" s="218">
        <f>L38*(1+0.07)^-(B38-Assumptions!$D$11)</f>
        <v>0</v>
      </c>
      <c r="N38" s="125">
        <f t="shared" si="12"/>
        <v>0</v>
      </c>
      <c r="O38" s="124">
        <f t="shared" si="13"/>
        <v>0</v>
      </c>
      <c r="P38" s="18"/>
      <c r="Q38" s="61">
        <f t="shared" si="14"/>
        <v>2058</v>
      </c>
      <c r="R38" s="633">
        <f>_xlfn.XLOOKUP($Q38,'VOC Savings'!$Q$8:$Q$43,'VOC Savings'!$Z$8:$Z$43,0,0,1)</f>
        <v>0</v>
      </c>
      <c r="S38" s="634">
        <f>_xlfn.XLOOKUP($Q38,'VOC Savings'!$Q$8:$Q$43,'VOC Savings'!$AA$8:$AA$43,0,0,1)</f>
        <v>0</v>
      </c>
      <c r="T38" s="18"/>
      <c r="U38" s="637">
        <v>2049</v>
      </c>
      <c r="V38" s="638">
        <v>18900</v>
      </c>
      <c r="W38" s="638">
        <v>51300</v>
      </c>
      <c r="X38" s="638">
        <v>907600</v>
      </c>
      <c r="Y38" s="638">
        <v>87</v>
      </c>
    </row>
    <row r="39" spans="1:27" ht="17.25" customHeight="1" x14ac:dyDescent="0.25">
      <c r="B39" s="85">
        <f t="shared" si="16"/>
        <v>2059</v>
      </c>
      <c r="C39" s="606">
        <f>IF(B39&gt;=(Assumptions!$D$33),IF(B39&lt;=Assumptions!$D$15,IF(B39&gt;=Assumptions!$D$33,($R39*$Y$5+$S39*$Y$6)/(1*10^6)),0),0)</f>
        <v>0</v>
      </c>
      <c r="D39" s="213">
        <f t="shared" si="7"/>
        <v>0</v>
      </c>
      <c r="E39" s="214">
        <f>D39*(1+0.03)^-($B39-Assumptions!$D$11)</f>
        <v>0</v>
      </c>
      <c r="F39" s="215">
        <f>IF(B39&gt;=(Assumptions!$D$33),IF(B39&lt;=Assumptions!$D$15,IF(B39&gt;=Assumptions!$D$33,($R39*$V$5+$S39*$V$6)/(1*10^6)),0),0)</f>
        <v>0</v>
      </c>
      <c r="G39" s="216">
        <f>IF(B39&gt;=(Assumptions!$D$33),IF(B39&lt;=Assumptions!$D$15,IF(B39&gt;=Assumptions!$D$33,($R39*$W$5+$S39*$W$6)/(1*10^6)),0),0)</f>
        <v>0</v>
      </c>
      <c r="H39" s="217">
        <f>IF(B39&gt;=(Assumptions!$D$33),IF(B39&lt;=Assumptions!$D$15,IF(B39&gt;=Assumptions!$D$33,($R39*$X$5+$S39*$X$6)/(1*10^6)),0),0)</f>
        <v>0</v>
      </c>
      <c r="I39" s="123">
        <f t="shared" si="8"/>
        <v>0</v>
      </c>
      <c r="J39" s="172">
        <f t="shared" si="9"/>
        <v>0</v>
      </c>
      <c r="K39" s="124">
        <f t="shared" si="10"/>
        <v>0</v>
      </c>
      <c r="L39" s="174">
        <f t="shared" si="11"/>
        <v>0</v>
      </c>
      <c r="M39" s="218">
        <f>L39*(1+0.07)^-(B39-Assumptions!$D$11)</f>
        <v>0</v>
      </c>
      <c r="N39" s="125">
        <f t="shared" si="12"/>
        <v>0</v>
      </c>
      <c r="O39" s="124">
        <f t="shared" si="13"/>
        <v>0</v>
      </c>
      <c r="Q39" s="61">
        <f t="shared" si="14"/>
        <v>2059</v>
      </c>
      <c r="R39" s="633">
        <f>_xlfn.XLOOKUP($Q39,'VOC Savings'!$Q$8:$Q$43,'VOC Savings'!$Z$8:$Z$43,0,0,1)</f>
        <v>0</v>
      </c>
      <c r="S39" s="634">
        <f>_xlfn.XLOOKUP($Q39,'VOC Savings'!$Q$8:$Q$43,'VOC Savings'!$AA$8:$AA$43,0,0,1)</f>
        <v>0</v>
      </c>
      <c r="U39" s="219">
        <v>2050</v>
      </c>
      <c r="V39" s="220">
        <v>18900</v>
      </c>
      <c r="W39" s="220">
        <v>51300</v>
      </c>
      <c r="X39" s="220">
        <v>907600</v>
      </c>
      <c r="Y39" s="220">
        <v>88</v>
      </c>
    </row>
    <row r="40" spans="1:27" ht="17.25" customHeight="1" thickBot="1" x14ac:dyDescent="0.3">
      <c r="B40" s="86">
        <f t="shared" si="16"/>
        <v>2060</v>
      </c>
      <c r="C40" s="607">
        <f>IF(B40&gt;=(Assumptions!$D$33),IF(B40&lt;=Assumptions!$D$15,IF(B40&gt;=Assumptions!$D$33,($R40*$Y$5+$S40*$Y$6)/(1*10^6)),0),0)</f>
        <v>0</v>
      </c>
      <c r="D40" s="221">
        <f t="shared" si="7"/>
        <v>0</v>
      </c>
      <c r="E40" s="222">
        <f>D40*(1+0.03)^-($B40-Assumptions!$D$11)</f>
        <v>0</v>
      </c>
      <c r="F40" s="223">
        <f>IF(B40&gt;=(Assumptions!$D$33),IF(B40&lt;=Assumptions!$D$15,IF(B40&gt;=Assumptions!$D$33,($R40*$V$5+$S40*$V$6)/(1*10^6)),0),0)</f>
        <v>0</v>
      </c>
      <c r="G40" s="224">
        <f>IF(B40&gt;=(Assumptions!$D$33),IF(B40&lt;=Assumptions!$D$15,IF(B40&gt;=Assumptions!$D$33,($R40*$W$5+$S40*$W$6)/(1*10^6)),0),0)</f>
        <v>0</v>
      </c>
      <c r="H40" s="225">
        <f>IF(B40&gt;=(Assumptions!$D$33),IF(B40&lt;=Assumptions!$D$15,IF(B40&gt;=Assumptions!$D$33,($R40*$X$5+$S40*$X$6)/(1*10^6)),0),0)</f>
        <v>0</v>
      </c>
      <c r="I40" s="126">
        <f t="shared" si="8"/>
        <v>0</v>
      </c>
      <c r="J40" s="176">
        <f t="shared" si="9"/>
        <v>0</v>
      </c>
      <c r="K40" s="127">
        <f t="shared" si="10"/>
        <v>0</v>
      </c>
      <c r="L40" s="178">
        <f t="shared" si="11"/>
        <v>0</v>
      </c>
      <c r="M40" s="226">
        <f>L40*(1+0.07)^-(B40-Assumptions!$D$11)</f>
        <v>0</v>
      </c>
      <c r="N40" s="128">
        <f t="shared" si="12"/>
        <v>0</v>
      </c>
      <c r="O40" s="127">
        <f t="shared" si="13"/>
        <v>0</v>
      </c>
      <c r="Q40" s="62">
        <f t="shared" si="14"/>
        <v>2060</v>
      </c>
      <c r="R40" s="635">
        <f>_xlfn.XLOOKUP($Q40,'VOC Savings'!$Q$8:$Q$43,'VOC Savings'!$Z$8:$Z$43,0,0,1)</f>
        <v>0</v>
      </c>
      <c r="S40" s="636">
        <f>_xlfn.XLOOKUP($Q40,'VOC Savings'!$Q$8:$Q$43,'VOC Savings'!$AA$8:$AA$43,0,0,1)</f>
        <v>0</v>
      </c>
      <c r="U40" s="219">
        <v>2051</v>
      </c>
      <c r="V40" s="220">
        <v>18900</v>
      </c>
      <c r="W40" s="220">
        <v>51300</v>
      </c>
      <c r="X40" s="220">
        <v>907600</v>
      </c>
      <c r="Y40" s="220">
        <v>88</v>
      </c>
    </row>
    <row r="41" spans="1:27" ht="15.75" thickBot="1" x14ac:dyDescent="0.3">
      <c r="L41" s="95" t="s">
        <v>2</v>
      </c>
      <c r="M41" s="227">
        <f>SUM(M6:M40)</f>
        <v>4341887.1775020789</v>
      </c>
      <c r="N41" s="95" t="s">
        <v>2</v>
      </c>
      <c r="O41" s="228">
        <f>SUM(O6:O40)</f>
        <v>8919221.2534354683</v>
      </c>
      <c r="U41" s="219">
        <v>2052</v>
      </c>
      <c r="V41" s="220">
        <v>18900</v>
      </c>
      <c r="W41" s="220">
        <v>51300</v>
      </c>
      <c r="X41" s="220">
        <v>907600</v>
      </c>
      <c r="Y41" s="220">
        <v>88</v>
      </c>
    </row>
    <row r="42" spans="1:27" x14ac:dyDescent="0.25">
      <c r="L42" s="95"/>
      <c r="M42" s="227"/>
      <c r="N42" s="95"/>
      <c r="O42" s="229"/>
      <c r="U42" s="219">
        <v>2053</v>
      </c>
      <c r="V42" s="220">
        <v>18900</v>
      </c>
      <c r="W42" s="220">
        <v>51300</v>
      </c>
      <c r="X42" s="220">
        <v>907600</v>
      </c>
      <c r="Y42" s="220">
        <v>88</v>
      </c>
    </row>
    <row r="43" spans="1:27" x14ac:dyDescent="0.25">
      <c r="A43" s="2"/>
      <c r="B43" s="44"/>
      <c r="C43" s="230"/>
      <c r="D43" s="46"/>
      <c r="E43" s="46"/>
      <c r="F43" s="230"/>
      <c r="G43" s="230"/>
      <c r="H43" s="230"/>
      <c r="I43" s="46"/>
      <c r="J43" s="46"/>
      <c r="K43" s="46"/>
      <c r="L43" s="46"/>
      <c r="M43" s="46"/>
      <c r="N43" s="46"/>
      <c r="O43" s="46"/>
      <c r="U43" s="219">
        <v>2054</v>
      </c>
      <c r="V43" s="220">
        <v>18900</v>
      </c>
      <c r="W43" s="220">
        <v>51300</v>
      </c>
      <c r="X43" s="220">
        <v>907600</v>
      </c>
      <c r="Y43" s="220">
        <v>88</v>
      </c>
    </row>
    <row r="44" spans="1:27" ht="15" customHeight="1" x14ac:dyDescent="0.25">
      <c r="U44" s="219">
        <v>2055</v>
      </c>
      <c r="V44" s="220">
        <v>18900</v>
      </c>
      <c r="W44" s="220">
        <v>51300</v>
      </c>
      <c r="X44" s="220">
        <v>907600</v>
      </c>
      <c r="Y44" s="220">
        <v>88</v>
      </c>
    </row>
    <row r="45" spans="1:27" ht="15.75" customHeight="1" x14ac:dyDescent="0.25">
      <c r="B45" s="27"/>
      <c r="C45" s="27"/>
      <c r="D45" s="27"/>
      <c r="E45" s="27"/>
      <c r="F45" s="27"/>
      <c r="G45" s="27"/>
      <c r="H45" s="27"/>
      <c r="U45" s="219">
        <v>2056</v>
      </c>
      <c r="V45" s="220">
        <v>18900</v>
      </c>
      <c r="W45" s="220">
        <v>51300</v>
      </c>
      <c r="X45" s="220">
        <v>907600</v>
      </c>
      <c r="Y45" s="220">
        <v>88</v>
      </c>
    </row>
    <row r="46" spans="1:27" ht="15" customHeight="1" x14ac:dyDescent="0.25">
      <c r="B46" s="1" t="s">
        <v>3</v>
      </c>
      <c r="C46" s="1"/>
      <c r="D46" s="1"/>
      <c r="E46" s="1"/>
      <c r="U46" s="219">
        <v>2057</v>
      </c>
      <c r="V46" s="220">
        <v>18900</v>
      </c>
      <c r="W46" s="220">
        <v>51300</v>
      </c>
      <c r="X46" s="220">
        <v>907600</v>
      </c>
      <c r="Y46" s="220">
        <v>88</v>
      </c>
      <c r="Z46" s="231"/>
      <c r="AA46" s="8"/>
    </row>
    <row r="47" spans="1:27" ht="15" customHeight="1" x14ac:dyDescent="0.25">
      <c r="A47" s="2" t="s">
        <v>16</v>
      </c>
      <c r="B47" s="672" t="s">
        <v>625</v>
      </c>
      <c r="C47" s="672"/>
      <c r="D47" s="672"/>
      <c r="E47" s="672"/>
      <c r="F47" s="672"/>
      <c r="G47" s="672"/>
      <c r="H47" s="672"/>
      <c r="I47" s="672"/>
      <c r="J47" s="672"/>
      <c r="K47" s="672"/>
      <c r="L47" s="672"/>
      <c r="U47" s="219">
        <v>2058</v>
      </c>
      <c r="V47" s="220">
        <v>18900</v>
      </c>
      <c r="W47" s="220">
        <v>51300</v>
      </c>
      <c r="X47" s="220">
        <v>907600</v>
      </c>
      <c r="Y47" s="220">
        <v>88</v>
      </c>
      <c r="Z47" s="231"/>
      <c r="AA47" s="8"/>
    </row>
    <row r="48" spans="1:27" x14ac:dyDescent="0.25">
      <c r="B48" s="672"/>
      <c r="C48" s="672"/>
      <c r="D48" s="672"/>
      <c r="E48" s="672"/>
      <c r="F48" s="672"/>
      <c r="G48" s="672"/>
      <c r="H48" s="672"/>
      <c r="I48" s="672"/>
      <c r="J48" s="672"/>
      <c r="K48" s="672"/>
      <c r="L48" s="672"/>
      <c r="U48" s="219">
        <v>2059</v>
      </c>
      <c r="V48" s="220">
        <v>18900</v>
      </c>
      <c r="W48" s="220">
        <v>51300</v>
      </c>
      <c r="X48" s="220">
        <v>907600</v>
      </c>
      <c r="Y48" s="220">
        <v>88</v>
      </c>
      <c r="Z48" s="231"/>
      <c r="AA48" s="8"/>
    </row>
    <row r="49" spans="1:27" x14ac:dyDescent="0.25">
      <c r="B49" s="672"/>
      <c r="C49" s="672"/>
      <c r="D49" s="672"/>
      <c r="E49" s="672"/>
      <c r="F49" s="672"/>
      <c r="G49" s="672"/>
      <c r="H49" s="672"/>
      <c r="I49" s="672"/>
      <c r="J49" s="672"/>
      <c r="K49" s="672"/>
      <c r="L49" s="672"/>
      <c r="M49" s="59"/>
      <c r="U49" s="219">
        <v>2060</v>
      </c>
      <c r="V49" s="220">
        <v>18900</v>
      </c>
      <c r="W49" s="220">
        <v>51300</v>
      </c>
      <c r="X49" s="220">
        <v>907600</v>
      </c>
      <c r="Y49" s="220">
        <v>88</v>
      </c>
      <c r="Z49" s="231"/>
      <c r="AA49" s="8"/>
    </row>
    <row r="50" spans="1:27" x14ac:dyDescent="0.25">
      <c r="B50" s="60"/>
      <c r="C50" s="60"/>
      <c r="D50" s="60"/>
      <c r="E50" s="60"/>
      <c r="F50" s="49"/>
      <c r="G50" s="49"/>
      <c r="H50" s="49"/>
      <c r="I50" s="49"/>
      <c r="J50" s="49"/>
      <c r="K50" s="49"/>
      <c r="L50" s="49"/>
      <c r="M50" s="59"/>
      <c r="U50" s="725" t="s">
        <v>111</v>
      </c>
      <c r="V50" s="725"/>
      <c r="W50" s="725"/>
      <c r="X50" s="725"/>
      <c r="Y50" s="725"/>
      <c r="AA50" s="8"/>
    </row>
    <row r="51" spans="1:27" ht="15" customHeight="1" x14ac:dyDescent="0.25">
      <c r="A51" s="2" t="s">
        <v>22</v>
      </c>
      <c r="B51" s="702" t="s">
        <v>222</v>
      </c>
      <c r="C51" s="702"/>
      <c r="D51" s="702"/>
      <c r="E51" s="702"/>
      <c r="F51" s="702"/>
      <c r="G51" s="702"/>
      <c r="H51" s="702"/>
      <c r="I51" s="702"/>
      <c r="J51" s="702"/>
      <c r="K51" s="702"/>
      <c r="L51" s="702"/>
      <c r="M51" s="59"/>
      <c r="U51" s="702"/>
      <c r="V51" s="702"/>
      <c r="W51" s="702"/>
      <c r="X51" s="702"/>
      <c r="Y51" s="702"/>
    </row>
    <row r="52" spans="1:27" x14ac:dyDescent="0.25">
      <c r="B52" s="702"/>
      <c r="C52" s="702"/>
      <c r="D52" s="702"/>
      <c r="E52" s="702"/>
      <c r="F52" s="702"/>
      <c r="G52" s="702"/>
      <c r="H52" s="702"/>
      <c r="I52" s="702"/>
      <c r="J52" s="702"/>
      <c r="K52" s="702"/>
      <c r="L52" s="702"/>
    </row>
    <row r="53" spans="1:27" x14ac:dyDescent="0.25">
      <c r="B53" s="232"/>
      <c r="C53" s="232"/>
      <c r="D53" s="232"/>
      <c r="E53" s="232"/>
      <c r="F53" s="8"/>
      <c r="G53" s="8"/>
      <c r="H53" s="8"/>
      <c r="I53" s="8"/>
      <c r="J53" s="8"/>
      <c r="U53" s="233"/>
    </row>
    <row r="54" spans="1:27" ht="15" customHeight="1" x14ac:dyDescent="0.25">
      <c r="B54" s="232"/>
      <c r="C54" s="232"/>
      <c r="D54" s="232"/>
      <c r="E54" s="232"/>
      <c r="F54" s="8"/>
      <c r="G54" s="8"/>
      <c r="H54" s="8"/>
      <c r="I54" s="8"/>
      <c r="J54" s="8"/>
    </row>
    <row r="56" spans="1:27" ht="15" customHeight="1" x14ac:dyDescent="0.25"/>
    <row r="58" spans="1:27" ht="15" customHeight="1" x14ac:dyDescent="0.25"/>
    <row r="61" spans="1:27" x14ac:dyDescent="0.25">
      <c r="B61" s="8"/>
      <c r="C61" s="8"/>
      <c r="D61" s="8"/>
      <c r="E61" s="8"/>
      <c r="F61" s="8"/>
      <c r="G61" s="8"/>
      <c r="I61" s="8"/>
      <c r="J61" s="8"/>
    </row>
    <row r="62" spans="1:27" x14ac:dyDescent="0.25">
      <c r="A62" s="2"/>
      <c r="I62" s="8"/>
      <c r="J62" s="8"/>
    </row>
    <row r="63" spans="1:27" x14ac:dyDescent="0.25">
      <c r="I63" s="8"/>
      <c r="J63" s="8"/>
    </row>
    <row r="64" spans="1:27" x14ac:dyDescent="0.25">
      <c r="I64" s="8"/>
      <c r="J64" s="8"/>
    </row>
    <row r="65" spans="1:11" x14ac:dyDescent="0.25">
      <c r="A65" s="2"/>
    </row>
    <row r="66" spans="1:11" x14ac:dyDescent="0.25">
      <c r="I66" s="18"/>
    </row>
    <row r="67" spans="1:11" x14ac:dyDescent="0.25">
      <c r="I67" s="18"/>
      <c r="K67" s="8"/>
    </row>
    <row r="69" spans="1:11" x14ac:dyDescent="0.25">
      <c r="I69" s="8"/>
      <c r="J69" s="8"/>
    </row>
  </sheetData>
  <mergeCells count="21">
    <mergeCell ref="C3:E3"/>
    <mergeCell ref="F3:M3"/>
    <mergeCell ref="N3:O3"/>
    <mergeCell ref="B4:B5"/>
    <mergeCell ref="C4:C5"/>
    <mergeCell ref="D4:D5"/>
    <mergeCell ref="E4:E5"/>
    <mergeCell ref="F4:F5"/>
    <mergeCell ref="G4:G5"/>
    <mergeCell ref="B47:L49"/>
    <mergeCell ref="B51:L52"/>
    <mergeCell ref="U50:Y51"/>
    <mergeCell ref="H4:H5"/>
    <mergeCell ref="I4:I5"/>
    <mergeCell ref="J4:J5"/>
    <mergeCell ref="K4:K5"/>
    <mergeCell ref="L4:L5"/>
    <mergeCell ref="M4:M5"/>
    <mergeCell ref="R4:S4"/>
    <mergeCell ref="N4:N5"/>
    <mergeCell ref="O4:O5"/>
  </mergeCells>
  <pageMargins left="0.25" right="0.25" top="0.75" bottom="0.75" header="0.3" footer="0.3"/>
  <pageSetup paperSize="3" scale="3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3977-B58E-44C4-B571-2D4E4629EE30}">
  <sheetPr codeName="Sheet7">
    <tabColor theme="6" tint="0.79998168889431442"/>
    <pageSetUpPr fitToPage="1"/>
  </sheetPr>
  <dimension ref="A1:AP82"/>
  <sheetViews>
    <sheetView view="pageBreakPreview" topLeftCell="A3" zoomScale="70" zoomScaleNormal="10" zoomScaleSheetLayoutView="70" workbookViewId="0">
      <selection activeCell="J16" sqref="J16"/>
    </sheetView>
  </sheetViews>
  <sheetFormatPr defaultRowHeight="15" x14ac:dyDescent="0.25"/>
  <cols>
    <col min="1" max="1" width="7.7109375" customWidth="1"/>
    <col min="2" max="2" width="25.28515625" customWidth="1"/>
    <col min="3" max="4" width="14.5703125" bestFit="1" customWidth="1"/>
    <col min="5" max="5" width="19.42578125" bestFit="1" customWidth="1"/>
    <col min="6" max="7" width="20.140625" customWidth="1"/>
    <col min="8" max="8" width="42" customWidth="1"/>
    <col min="9" max="9" width="27.140625" customWidth="1"/>
    <col min="10" max="10" width="32.85546875" bestFit="1" customWidth="1"/>
    <col min="11" max="11" width="53.85546875" customWidth="1"/>
    <col min="12" max="14" width="24.85546875" bestFit="1" customWidth="1"/>
    <col min="15" max="16" width="26.42578125" bestFit="1" customWidth="1"/>
    <col min="17" max="21" width="17" customWidth="1"/>
    <col min="22" max="24" width="20.140625" customWidth="1"/>
    <col min="25" max="27" width="6.140625" bestFit="1" customWidth="1"/>
    <col min="28" max="28" width="7.140625" bestFit="1" customWidth="1"/>
    <col min="29" max="29" width="6.140625" bestFit="1" customWidth="1"/>
    <col min="30" max="30" width="22.7109375" bestFit="1" customWidth="1"/>
    <col min="31" max="31" width="6.140625" customWidth="1"/>
    <col min="32" max="35" width="6.140625" bestFit="1" customWidth="1"/>
    <col min="36" max="36" width="22.7109375" customWidth="1"/>
    <col min="37" max="41" width="20.140625" customWidth="1"/>
    <col min="42" max="42" width="15.85546875" customWidth="1"/>
  </cols>
  <sheetData>
    <row r="1" spans="1:42" ht="15" customHeight="1" x14ac:dyDescent="0.25">
      <c r="A1" s="115"/>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row>
    <row r="2" spans="1:42" ht="15.75" thickBot="1" x14ac:dyDescent="0.3">
      <c r="B2" s="1" t="s">
        <v>236</v>
      </c>
      <c r="C2" s="1"/>
      <c r="D2" s="1"/>
    </row>
    <row r="3" spans="1:42" ht="15.75" thickBot="1" x14ac:dyDescent="0.3">
      <c r="B3" s="1"/>
      <c r="C3" s="720" t="s">
        <v>75</v>
      </c>
      <c r="D3" s="721"/>
      <c r="E3" s="721"/>
      <c r="F3" s="72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row>
    <row r="4" spans="1:42" ht="30" customHeight="1" x14ac:dyDescent="0.25">
      <c r="B4" s="709" t="s">
        <v>0</v>
      </c>
      <c r="C4" s="709" t="s">
        <v>36</v>
      </c>
      <c r="D4" s="709" t="s">
        <v>37</v>
      </c>
      <c r="E4" s="723" t="s">
        <v>34</v>
      </c>
      <c r="F4" s="706" t="s">
        <v>1</v>
      </c>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row>
    <row r="5" spans="1:42" ht="30" customHeight="1" thickBot="1" x14ac:dyDescent="0.3">
      <c r="B5" s="710"/>
      <c r="C5" s="710"/>
      <c r="D5" s="710"/>
      <c r="E5" s="724"/>
      <c r="F5" s="707"/>
      <c r="G5" s="38"/>
      <c r="H5" s="35" t="s">
        <v>118</v>
      </c>
      <c r="I5" s="46"/>
      <c r="J5" s="46"/>
      <c r="K5" s="46"/>
      <c r="L5" s="46"/>
      <c r="M5" s="46"/>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row>
    <row r="6" spans="1:42" ht="15" customHeight="1" x14ac:dyDescent="0.25">
      <c r="B6" s="116">
        <f>Assumptions!$D$14</f>
        <v>2026</v>
      </c>
      <c r="C6" s="139">
        <f t="shared" ref="C6:C35" si="0">IFERROR(_xlfn.XLOOKUP($B6,$X$10:$X$54,$AD$10:$AD$54,0,0,1),0)</f>
        <v>0</v>
      </c>
      <c r="D6" s="139">
        <f t="shared" ref="D6:D35" si="1">IFERROR(_xlfn.XLOOKUP($B6,$X$10:$X$54,$AJ$10:$AJ$54,0,0,1),0)</f>
        <v>0</v>
      </c>
      <c r="E6" s="140">
        <f t="shared" ref="E6:E35" si="2">C6-D6</f>
        <v>0</v>
      </c>
      <c r="F6" s="141">
        <f>E6*(1+0.07)^-(B6-Assumptions!$D$11)</f>
        <v>0</v>
      </c>
      <c r="G6" s="29"/>
      <c r="H6" s="24" t="s">
        <v>63</v>
      </c>
      <c r="I6" s="24" t="s">
        <v>17</v>
      </c>
      <c r="J6" s="24" t="s">
        <v>18</v>
      </c>
      <c r="K6" s="24" t="s">
        <v>19</v>
      </c>
      <c r="L6" s="24" t="s">
        <v>20</v>
      </c>
      <c r="M6" s="24" t="s">
        <v>21</v>
      </c>
      <c r="AI6" s="29"/>
      <c r="AJ6" s="29"/>
      <c r="AK6" s="29"/>
      <c r="AL6" s="29"/>
      <c r="AM6" s="29"/>
      <c r="AN6" s="29"/>
      <c r="AO6" s="29"/>
      <c r="AP6" s="29"/>
    </row>
    <row r="7" spans="1:42" ht="15.75" thickBot="1" x14ac:dyDescent="0.3">
      <c r="B7" s="85">
        <f>B6+1</f>
        <v>2027</v>
      </c>
      <c r="C7" s="142">
        <f t="shared" si="0"/>
        <v>0</v>
      </c>
      <c r="D7" s="142">
        <f t="shared" si="1"/>
        <v>0</v>
      </c>
      <c r="E7" s="143">
        <f t="shared" si="2"/>
        <v>0</v>
      </c>
      <c r="F7" s="144">
        <f>E7*(1+0.07)^-(B7-Assumptions!$D$11)</f>
        <v>0</v>
      </c>
      <c r="G7" s="29"/>
      <c r="H7" s="24" t="s">
        <v>39</v>
      </c>
      <c r="I7" s="261">
        <v>11800000</v>
      </c>
      <c r="J7" s="261">
        <v>564300</v>
      </c>
      <c r="K7" s="261">
        <v>153700</v>
      </c>
      <c r="L7" s="261">
        <v>78500</v>
      </c>
      <c r="M7" s="261">
        <v>4000</v>
      </c>
      <c r="X7" s="1" t="s">
        <v>840</v>
      </c>
      <c r="AI7" s="29"/>
      <c r="AJ7" s="29"/>
      <c r="AK7" s="29"/>
      <c r="AL7" s="29"/>
      <c r="AM7" s="29"/>
      <c r="AN7" s="29"/>
      <c r="AO7" s="29"/>
      <c r="AP7" s="29"/>
    </row>
    <row r="8" spans="1:42" ht="15" customHeight="1" thickBot="1" x14ac:dyDescent="0.3">
      <c r="B8" s="85">
        <f t="shared" ref="B8:B35" si="3">B7+1</f>
        <v>2028</v>
      </c>
      <c r="C8" s="142">
        <f t="shared" si="0"/>
        <v>1318087.7024299616</v>
      </c>
      <c r="D8" s="142">
        <f t="shared" si="1"/>
        <v>662007.389031142</v>
      </c>
      <c r="E8" s="143">
        <f t="shared" si="2"/>
        <v>656080.31339881965</v>
      </c>
      <c r="F8" s="144">
        <f>E8*(1+0.07)^-(B8-Assumptions!$D$11)</f>
        <v>408573.84582467657</v>
      </c>
      <c r="G8" s="29"/>
      <c r="X8" s="1"/>
      <c r="Y8" s="746" t="s">
        <v>594</v>
      </c>
      <c r="Z8" s="747"/>
      <c r="AA8" s="747"/>
      <c r="AB8" s="747"/>
      <c r="AC8" s="747"/>
      <c r="AD8" s="748"/>
      <c r="AE8" s="746" t="s">
        <v>14</v>
      </c>
      <c r="AF8" s="747"/>
      <c r="AG8" s="747"/>
      <c r="AH8" s="747"/>
      <c r="AI8" s="747"/>
      <c r="AJ8" s="748"/>
      <c r="AK8" s="29"/>
      <c r="AL8" s="29"/>
      <c r="AM8" s="29"/>
      <c r="AN8" s="29"/>
      <c r="AO8" s="29"/>
      <c r="AP8" s="29"/>
    </row>
    <row r="9" spans="1:42" ht="15.75" customHeight="1" x14ac:dyDescent="0.25">
      <c r="B9" s="85">
        <f t="shared" si="3"/>
        <v>2029</v>
      </c>
      <c r="C9" s="142">
        <f t="shared" si="0"/>
        <v>1323821.8263275255</v>
      </c>
      <c r="D9" s="142">
        <f t="shared" si="1"/>
        <v>664895.4484113066</v>
      </c>
      <c r="E9" s="143">
        <f t="shared" si="2"/>
        <v>658926.37791621895</v>
      </c>
      <c r="F9" s="144">
        <f>E9*(1+0.07)^-(B9-Assumptions!$D$11)</f>
        <v>383501.1511853027</v>
      </c>
      <c r="G9" s="29"/>
      <c r="H9" s="1" t="s">
        <v>627</v>
      </c>
      <c r="J9" s="8"/>
      <c r="K9" s="8"/>
      <c r="L9" s="8"/>
      <c r="M9" s="8"/>
      <c r="N9" s="8"/>
      <c r="X9" s="69" t="s">
        <v>30</v>
      </c>
      <c r="Y9" s="83" t="s">
        <v>17</v>
      </c>
      <c r="Z9" s="34" t="s">
        <v>18</v>
      </c>
      <c r="AA9" s="34" t="s">
        <v>19</v>
      </c>
      <c r="AB9" s="34" t="s">
        <v>20</v>
      </c>
      <c r="AC9" s="34" t="s">
        <v>73</v>
      </c>
      <c r="AD9" s="84" t="s">
        <v>117</v>
      </c>
      <c r="AE9" s="83" t="s">
        <v>17</v>
      </c>
      <c r="AF9" s="34" t="s">
        <v>18</v>
      </c>
      <c r="AG9" s="34" t="s">
        <v>19</v>
      </c>
      <c r="AH9" s="34" t="s">
        <v>20</v>
      </c>
      <c r="AI9" s="34" t="s">
        <v>73</v>
      </c>
      <c r="AJ9" s="84" t="s">
        <v>117</v>
      </c>
      <c r="AK9" s="29"/>
      <c r="AL9" s="29"/>
      <c r="AM9" s="29"/>
      <c r="AN9" s="29"/>
      <c r="AO9" s="29"/>
      <c r="AP9" s="29"/>
    </row>
    <row r="10" spans="1:42" ht="15" customHeight="1" x14ac:dyDescent="0.25">
      <c r="B10" s="85">
        <f t="shared" si="3"/>
        <v>2030</v>
      </c>
      <c r="C10" s="142">
        <f t="shared" si="0"/>
        <v>1329555.950225088</v>
      </c>
      <c r="D10" s="142">
        <f t="shared" si="1"/>
        <v>667783.50779147225</v>
      </c>
      <c r="E10" s="143">
        <f t="shared" si="2"/>
        <v>661772.4424336158</v>
      </c>
      <c r="F10" s="144">
        <f>E10*(1+0.07)^-(B10-Assumptions!$D$11)</f>
        <v>359960.3613519693</v>
      </c>
      <c r="G10" s="29"/>
      <c r="H10" s="24" t="s">
        <v>30</v>
      </c>
      <c r="I10" s="24" t="s">
        <v>46</v>
      </c>
      <c r="J10" s="8"/>
      <c r="K10" s="8"/>
      <c r="L10" s="8"/>
      <c r="M10" s="8"/>
      <c r="N10" s="8"/>
      <c r="X10" s="85">
        <v>2016</v>
      </c>
      <c r="Y10" s="66">
        <f>IF(X10&gt;=(Assumptions!$D$33),IF(X10&lt;=Assumptions!$D$15,IF(X10&gt;=Assumptions!$D$33,TREND(L$32:L$33,$J$32:$J$33,$X10),0),0),0)</f>
        <v>0</v>
      </c>
      <c r="Z10" s="64">
        <f>IF(X10&gt;=(Assumptions!$D$33),IF(X10&lt;=Assumptions!$D$15,IF(X10&gt;=Assumptions!$D$33,TREND(M$32:M$33,$J$32:$J$33,$X10),0),0),0)</f>
        <v>0</v>
      </c>
      <c r="AA10" s="64">
        <f>IF(X10&gt;=(Assumptions!$D$33),IF(X10&lt;=Assumptions!$D$15,IF(X10&gt;=Assumptions!$D$33,TREND($N$32:$N$33,$J$32:$J$33,$X10),0),0),0)</f>
        <v>0</v>
      </c>
      <c r="AB10" s="64">
        <f>IF(X10&gt;=(Assumptions!$D$33),IF(X10&lt;=Assumptions!$D$15,IF(X10&gt;=Assumptions!$D$33,TREND($O$32:$O$33,$J$32:$J$33,$X10),0),0),0)</f>
        <v>0</v>
      </c>
      <c r="AC10" s="64">
        <f>IF(X10&gt;=(Assumptions!$D$33),IF(X10&lt;=Assumptions!$D$15,IF(X10&gt;=Assumptions!$D$33,TREND($P$32:$P$33,$J$32:$J$33,X$10),0),0),0)</f>
        <v>0</v>
      </c>
      <c r="AD10" s="74">
        <f>SUMPRODUCT($I$7:$M$7,Y10:AC10)</f>
        <v>0</v>
      </c>
      <c r="AE10" s="66">
        <f>IF(X10&gt;=(Assumptions!$D$33),IF(X10&lt;=Assumptions!$D$15,IF(X10&gt;=Assumptions!$D$33,TREND($L$39:$L$40,$J$39:$J$40,X10),0),0),0)</f>
        <v>0</v>
      </c>
      <c r="AF10" s="64">
        <f>IF(X10&gt;=(Assumptions!$D$33),IF(X10&lt;=Assumptions!$D$15,IF(X10&gt;=Assumptions!$D$33,TREND($M$39:$M$40,$J$39:$J$40,X10),0),0),0)</f>
        <v>0</v>
      </c>
      <c r="AG10" s="64">
        <f>IF(X10&gt;=(Assumptions!$D$33),IF(X10&lt;=Assumptions!$D$15,IF(X10&gt;=Assumptions!$D$33,TREND($N$39:$N$40,$J$39:$J$40,X10),0),0),0)</f>
        <v>0</v>
      </c>
      <c r="AH10" s="64">
        <f>IF(X10&gt;=(Assumptions!$D$33),IF(X10&lt;=Assumptions!$D$15,IF(X10&gt;=Assumptions!$D$33,TREND($O$39:$O$40,$J$39:$J$40,X10),0),0),0)</f>
        <v>0</v>
      </c>
      <c r="AI10" s="64">
        <f>IF(X10&gt;=(Assumptions!$D$33),IF(X10&lt;=Assumptions!$D$15,IF(X10&gt;=Assumptions!$D$33,TREND($P$39:$P$40,$J$39:$J$40,X10),0),0),0)</f>
        <v>0</v>
      </c>
      <c r="AJ10" s="74">
        <f>SUMPRODUCT($I$7:$M$7,AE10:AI10)</f>
        <v>0</v>
      </c>
      <c r="AK10" s="29"/>
      <c r="AL10" s="29"/>
      <c r="AM10" s="29"/>
      <c r="AN10" s="29"/>
      <c r="AO10" s="29"/>
      <c r="AP10" s="29"/>
    </row>
    <row r="11" spans="1:42" x14ac:dyDescent="0.25">
      <c r="B11" s="85">
        <f t="shared" si="3"/>
        <v>2031</v>
      </c>
      <c r="C11" s="142">
        <f t="shared" si="0"/>
        <v>1335290.0741226505</v>
      </c>
      <c r="D11" s="142">
        <f t="shared" si="1"/>
        <v>670671.56717163685</v>
      </c>
      <c r="E11" s="143">
        <f t="shared" si="2"/>
        <v>664618.5069510137</v>
      </c>
      <c r="F11" s="144">
        <f>E11*(1+0.07)^-(B11-Assumptions!$D$11)</f>
        <v>337858.34754818084</v>
      </c>
      <c r="G11" s="29"/>
      <c r="H11" s="24">
        <f>Assumptions!$C$34</f>
        <v>2021</v>
      </c>
      <c r="I11" s="604">
        <f>Assumptions!$D$34</f>
        <v>670</v>
      </c>
      <c r="J11" s="8"/>
      <c r="K11" s="8"/>
      <c r="L11" s="8"/>
      <c r="M11" s="8"/>
      <c r="N11" s="8"/>
      <c r="X11" s="85">
        <v>2017</v>
      </c>
      <c r="Y11" s="66">
        <f>IF(X11&gt;=(Assumptions!$D$33),IF(X11&lt;=Assumptions!$D$15,IF(X11&gt;=Assumptions!$D$33,TREND(L$32:L$33,$J$32:$J$33,$X11),0),0),0)</f>
        <v>0</v>
      </c>
      <c r="Z11" s="64">
        <f>IF(X11&gt;=(Assumptions!$D$33),IF(X11&lt;=Assumptions!$D$15,IF(X11&gt;=Assumptions!$D$33,TREND(M$32:M$33,$J$32:$J$33,$X11),0),0),0)</f>
        <v>0</v>
      </c>
      <c r="AA11" s="64">
        <f>IF(X11&gt;=(Assumptions!$D$33),IF(X11&lt;=Assumptions!$D$15,IF(X11&gt;=Assumptions!$D$33,TREND($N$32:$N$33,$J$32:$J$33,$X11),0),0),0)</f>
        <v>0</v>
      </c>
      <c r="AB11" s="64">
        <f>IF(X11&gt;=(Assumptions!$D$33),IF(X11&lt;=Assumptions!$D$15,IF(X11&gt;=Assumptions!$D$33,TREND($O$32:$O$33,$J$32:$J$33,$X11),0),0),0)</f>
        <v>0</v>
      </c>
      <c r="AC11" s="64">
        <f>IF(X11&gt;=(Assumptions!$D$33),IF(X11&lt;=Assumptions!$D$15,IF(X11&gt;=Assumptions!$D$33,TREND($P$32:$P$33,$J$32:$J$33,X$10),0),0),0)</f>
        <v>0</v>
      </c>
      <c r="AD11" s="74">
        <f t="shared" ref="AD11:AD54" si="4">SUMPRODUCT($I$7:$M$7,Y11:AC11)</f>
        <v>0</v>
      </c>
      <c r="AE11" s="66">
        <f>IF(X11&gt;=(Assumptions!$D$33),IF(X11&lt;=Assumptions!$D$15,IF(X11&gt;=Assumptions!$D$33,TREND($L$39:$L$40,$J$39:$J$40,X11),0),0),0)</f>
        <v>0</v>
      </c>
      <c r="AF11" s="64">
        <f>IF(X11&gt;=(Assumptions!$D$33),IF(X11&lt;=Assumptions!$D$15,IF(X11&gt;=Assumptions!$D$33,TREND($M$39:$M$40,$J$39:$J$40,X11),0),0),0)</f>
        <v>0</v>
      </c>
      <c r="AG11" s="64">
        <f>IF(X11&gt;=(Assumptions!$D$33),IF(X11&lt;=Assumptions!$D$15,IF(X11&gt;=Assumptions!$D$33,TREND($N$39:$N$40,$J$39:$J$40,X11),0),0),0)</f>
        <v>0</v>
      </c>
      <c r="AH11" s="64">
        <f>IF(X11&gt;=(Assumptions!$D$33),IF(X11&lt;=Assumptions!$D$15,IF(X11&gt;=Assumptions!$D$33,TREND($O$39:$O$40,$J$39:$J$40,X11),0),0),0)</f>
        <v>0</v>
      </c>
      <c r="AI11" s="64">
        <f>IF(X11&gt;=(Assumptions!$D$33),IF(X11&lt;=Assumptions!$D$15,IF(X11&gt;=Assumptions!$D$33,TREND($P$39:$P$40,$J$39:$J$40,X11),0),0),0)</f>
        <v>0</v>
      </c>
      <c r="AJ11" s="74">
        <f t="shared" ref="AJ11:AJ54" si="5">SUMPRODUCT($I$7:$M$7,AE11:AI11)</f>
        <v>0</v>
      </c>
      <c r="AK11" s="29"/>
      <c r="AL11" s="29"/>
      <c r="AM11" s="29"/>
      <c r="AN11" s="29"/>
      <c r="AO11" s="29"/>
      <c r="AP11" s="29"/>
    </row>
    <row r="12" spans="1:42" x14ac:dyDescent="0.25">
      <c r="B12" s="85">
        <f t="shared" si="3"/>
        <v>2032</v>
      </c>
      <c r="C12" s="142">
        <f t="shared" si="0"/>
        <v>1341024.1980202137</v>
      </c>
      <c r="D12" s="142">
        <f t="shared" si="1"/>
        <v>673559.62655180169</v>
      </c>
      <c r="E12" s="143">
        <f t="shared" si="2"/>
        <v>667464.57146841206</v>
      </c>
      <c r="F12" s="144">
        <f>E12*(1+0.07)^-(B12-Assumptions!$D$11)</f>
        <v>317107.60974857007</v>
      </c>
      <c r="G12" s="29"/>
      <c r="H12" s="24">
        <f>Assumptions!$C$35</f>
        <v>2045</v>
      </c>
      <c r="I12" s="604">
        <f>Assumptions!$D$35</f>
        <v>742.36</v>
      </c>
      <c r="J12" s="8"/>
      <c r="K12" s="8"/>
      <c r="L12" s="8"/>
      <c r="M12" s="8"/>
      <c r="N12" s="8"/>
      <c r="X12" s="85">
        <v>2018</v>
      </c>
      <c r="Y12" s="66">
        <f>IF(X12&gt;=(Assumptions!$D$33),IF(X12&lt;=Assumptions!$D$15,IF(X12&gt;=Assumptions!$D$33,TREND(L$32:L$33,$J$32:$J$33,$X12),0),0),0)</f>
        <v>0</v>
      </c>
      <c r="Z12" s="64">
        <f>IF(X12&gt;=(Assumptions!$D$33),IF(X12&lt;=Assumptions!$D$15,IF(X12&gt;=Assumptions!$D$33,TREND(M$32:M$33,$J$32:$J$33,$X12),0),0),0)</f>
        <v>0</v>
      </c>
      <c r="AA12" s="64">
        <f>IF(X12&gt;=(Assumptions!$D$33),IF(X12&lt;=Assumptions!$D$15,IF(X12&gt;=Assumptions!$D$33,TREND($N$32:$N$33,$J$32:$J$33,$X12),0),0),0)</f>
        <v>0</v>
      </c>
      <c r="AB12" s="64">
        <f>IF(X12&gt;=(Assumptions!$D$33),IF(X12&lt;=Assumptions!$D$15,IF(X12&gt;=Assumptions!$D$33,TREND($O$32:$O$33,$J$32:$J$33,$X12),0),0),0)</f>
        <v>0</v>
      </c>
      <c r="AC12" s="64">
        <f>IF(X12&gt;=(Assumptions!$D$33),IF(X12&lt;=Assumptions!$D$15,IF(X12&gt;=Assumptions!$D$33,TREND($P$32:$P$33,$J$32:$J$33,X$10),0),0),0)</f>
        <v>0</v>
      </c>
      <c r="AD12" s="74">
        <f t="shared" si="4"/>
        <v>0</v>
      </c>
      <c r="AE12" s="66">
        <f>IF(X12&gt;=(Assumptions!$D$33),IF(X12&lt;=Assumptions!$D$15,IF(X12&gt;=Assumptions!$D$33,TREND($L$39:$L$40,$J$39:$J$40,X12),0),0),0)</f>
        <v>0</v>
      </c>
      <c r="AF12" s="64">
        <f>IF(X12&gt;=(Assumptions!$D$33),IF(X12&lt;=Assumptions!$D$15,IF(X12&gt;=Assumptions!$D$33,TREND($M$39:$M$40,$J$39:$J$40,X12),0),0),0)</f>
        <v>0</v>
      </c>
      <c r="AG12" s="64">
        <f>IF(X12&gt;=(Assumptions!$D$33),IF(X12&lt;=Assumptions!$D$15,IF(X12&gt;=Assumptions!$D$33,TREND($N$39:$N$40,$J$39:$J$40,X12),0),0),0)</f>
        <v>0</v>
      </c>
      <c r="AH12" s="64">
        <f>IF(X12&gt;=(Assumptions!$D$33),IF(X12&lt;=Assumptions!$D$15,IF(X12&gt;=Assumptions!$D$33,TREND($O$39:$O$40,$J$39:$J$40,X12),0),0),0)</f>
        <v>0</v>
      </c>
      <c r="AI12" s="64">
        <f>IF(X12&gt;=(Assumptions!$D$33),IF(X12&lt;=Assumptions!$D$15,IF(X12&gt;=Assumptions!$D$33,TREND($P$39:$P$40,$J$39:$J$40,X12),0),0),0)</f>
        <v>0</v>
      </c>
      <c r="AJ12" s="74">
        <f t="shared" si="5"/>
        <v>0</v>
      </c>
      <c r="AK12" s="29"/>
      <c r="AL12" s="29"/>
      <c r="AM12" s="29"/>
      <c r="AN12" s="29"/>
      <c r="AO12" s="29"/>
      <c r="AP12" s="29"/>
    </row>
    <row r="13" spans="1:42" x14ac:dyDescent="0.25">
      <c r="B13" s="85">
        <f t="shared" si="3"/>
        <v>2033</v>
      </c>
      <c r="C13" s="142">
        <f t="shared" si="0"/>
        <v>1346758.3219177763</v>
      </c>
      <c r="D13" s="142">
        <f t="shared" si="1"/>
        <v>676447.68593196629</v>
      </c>
      <c r="E13" s="143">
        <f t="shared" si="2"/>
        <v>670310.63598580996</v>
      </c>
      <c r="F13" s="144">
        <f>E13*(1+0.07)^-(B13-Assumptions!$D$11)</f>
        <v>297625.9387839628</v>
      </c>
      <c r="G13" s="29"/>
      <c r="H13" s="8"/>
      <c r="I13" s="8"/>
      <c r="J13" s="8"/>
      <c r="K13" s="8"/>
      <c r="L13" s="8"/>
      <c r="M13" s="8"/>
      <c r="N13" s="8"/>
      <c r="X13" s="85">
        <v>2019</v>
      </c>
      <c r="Y13" s="66">
        <f>IF(X13&gt;=(Assumptions!$D$33),IF(X13&lt;=Assumptions!$D$15,IF(X13&gt;=Assumptions!$D$33,TREND(L$32:L$33,$J$32:$J$33,$X13),0),0),0)</f>
        <v>0</v>
      </c>
      <c r="Z13" s="64">
        <f>IF(X13&gt;=(Assumptions!$D$33),IF(X13&lt;=Assumptions!$D$15,IF(X13&gt;=Assumptions!$D$33,TREND(M$32:M$33,$J$32:$J$33,$X13),0),0),0)</f>
        <v>0</v>
      </c>
      <c r="AA13" s="64">
        <f>IF(X13&gt;=(Assumptions!$D$33),IF(X13&lt;=Assumptions!$D$15,IF(X13&gt;=Assumptions!$D$33,TREND($N$32:$N$33,$J$32:$J$33,$X13),0),0),0)</f>
        <v>0</v>
      </c>
      <c r="AB13" s="64">
        <f>IF(X13&gt;=(Assumptions!$D$33),IF(X13&lt;=Assumptions!$D$15,IF(X13&gt;=Assumptions!$D$33,TREND($O$32:$O$33,$J$32:$J$33,$X13),0),0),0)</f>
        <v>0</v>
      </c>
      <c r="AC13" s="64">
        <f>IF(X13&gt;=(Assumptions!$D$33),IF(X13&lt;=Assumptions!$D$15,IF(X13&gt;=Assumptions!$D$33,TREND($P$32:$P$33,$J$32:$J$33,X$10),0),0),0)</f>
        <v>0</v>
      </c>
      <c r="AD13" s="74">
        <f t="shared" si="4"/>
        <v>0</v>
      </c>
      <c r="AE13" s="66">
        <f>IF(X13&gt;=(Assumptions!$D$33),IF(X13&lt;=Assumptions!$D$15,IF(X13&gt;=Assumptions!$D$33,TREND($L$39:$L$40,$J$39:$J$40,X13),0),0),0)</f>
        <v>0</v>
      </c>
      <c r="AF13" s="64">
        <f>IF(X13&gt;=(Assumptions!$D$33),IF(X13&lt;=Assumptions!$D$15,IF(X13&gt;=Assumptions!$D$33,TREND($M$39:$M$40,$J$39:$J$40,X13),0),0),0)</f>
        <v>0</v>
      </c>
      <c r="AG13" s="64">
        <f>IF(X13&gt;=(Assumptions!$D$33),IF(X13&lt;=Assumptions!$D$15,IF(X13&gt;=Assumptions!$D$33,TREND($N$39:$N$40,$J$39:$J$40,X13),0),0),0)</f>
        <v>0</v>
      </c>
      <c r="AH13" s="64">
        <f>IF(X13&gt;=(Assumptions!$D$33),IF(X13&lt;=Assumptions!$D$15,IF(X13&gt;=Assumptions!$D$33,TREND($O$39:$O$40,$J$39:$J$40,X13),0),0),0)</f>
        <v>0</v>
      </c>
      <c r="AI13" s="64">
        <f>IF(X13&gt;=(Assumptions!$D$33),IF(X13&lt;=Assumptions!$D$15,IF(X13&gt;=Assumptions!$D$33,TREND($P$39:$P$40,$J$39:$J$40,X13),0),0),0)</f>
        <v>0</v>
      </c>
      <c r="AJ13" s="74">
        <f t="shared" si="5"/>
        <v>0</v>
      </c>
      <c r="AK13" s="29"/>
      <c r="AL13" s="29"/>
      <c r="AM13" s="29"/>
      <c r="AN13" s="29"/>
      <c r="AO13" s="29"/>
      <c r="AP13" s="29"/>
    </row>
    <row r="14" spans="1:42" ht="15" customHeight="1" x14ac:dyDescent="0.25">
      <c r="B14" s="85">
        <f t="shared" si="3"/>
        <v>2034</v>
      </c>
      <c r="C14" s="142">
        <f t="shared" si="0"/>
        <v>1352492.4458153388</v>
      </c>
      <c r="D14" s="142">
        <f t="shared" si="1"/>
        <v>679335.74531213124</v>
      </c>
      <c r="E14" s="143">
        <f t="shared" si="2"/>
        <v>673156.70050320751</v>
      </c>
      <c r="F14" s="144">
        <f>E14*(1+0.07)^-(B14-Assumptions!$D$11)</f>
        <v>279336.09856678318</v>
      </c>
      <c r="G14" s="268"/>
      <c r="H14" s="1" t="s">
        <v>666</v>
      </c>
      <c r="J14" s="3"/>
      <c r="Q14" s="1" t="s">
        <v>668</v>
      </c>
      <c r="X14" s="85">
        <v>2020</v>
      </c>
      <c r="Y14" s="66">
        <f>IF(X14&gt;=(Assumptions!$D$33),IF(X14&lt;=Assumptions!$D$15,IF(X14&gt;=Assumptions!$D$33,TREND(L$32:L$33,$J$32:$J$33,$X14),0),0),0)</f>
        <v>0</v>
      </c>
      <c r="Z14" s="64">
        <f>IF(X14&gt;=(Assumptions!$D$33),IF(X14&lt;=Assumptions!$D$15,IF(X14&gt;=Assumptions!$D$33,TREND(M$32:M$33,$J$32:$J$33,$X14),0),0),0)</f>
        <v>0</v>
      </c>
      <c r="AA14" s="64">
        <f>IF(X14&gt;=(Assumptions!$D$33),IF(X14&lt;=Assumptions!$D$15,IF(X14&gt;=Assumptions!$D$33,TREND($N$32:$N$33,$J$32:$J$33,$X14),0),0),0)</f>
        <v>0</v>
      </c>
      <c r="AB14" s="64">
        <f>IF(X14&gt;=(Assumptions!$D$33),IF(X14&lt;=Assumptions!$D$15,IF(X14&gt;=Assumptions!$D$33,TREND($O$32:$O$33,$J$32:$J$33,$X14),0),0),0)</f>
        <v>0</v>
      </c>
      <c r="AC14" s="64">
        <f>IF(X14&gt;=(Assumptions!$D$33),IF(X14&lt;=Assumptions!$D$15,IF(X14&gt;=Assumptions!$D$33,TREND($P$32:$P$33,$J$32:$J$33,X$10),0),0),0)</f>
        <v>0</v>
      </c>
      <c r="AD14" s="74">
        <f t="shared" si="4"/>
        <v>0</v>
      </c>
      <c r="AE14" s="66">
        <f>IF(X14&gt;=(Assumptions!$D$33),IF(X14&lt;=Assumptions!$D$15,IF(X14&gt;=Assumptions!$D$33,TREND($L$39:$L$40,$J$39:$J$40,X14),0),0),0)</f>
        <v>0</v>
      </c>
      <c r="AF14" s="64">
        <f>IF(X14&gt;=(Assumptions!$D$33),IF(X14&lt;=Assumptions!$D$15,IF(X14&gt;=Assumptions!$D$33,TREND($M$39:$M$40,$J$39:$J$40,X14),0),0),0)</f>
        <v>0</v>
      </c>
      <c r="AG14" s="64">
        <f>IF(X14&gt;=(Assumptions!$D$33),IF(X14&lt;=Assumptions!$D$15,IF(X14&gt;=Assumptions!$D$33,TREND($N$39:$N$40,$J$39:$J$40,X14),0),0),0)</f>
        <v>0</v>
      </c>
      <c r="AH14" s="64">
        <f>IF(X14&gt;=(Assumptions!$D$33),IF(X14&lt;=Assumptions!$D$15,IF(X14&gt;=Assumptions!$D$33,TREND($O$39:$O$40,$J$39:$J$40,X14),0),0),0)</f>
        <v>0</v>
      </c>
      <c r="AI14" s="64">
        <f>IF(X14&gt;=(Assumptions!$D$33),IF(X14&lt;=Assumptions!$D$15,IF(X14&gt;=Assumptions!$D$33,TREND($P$39:$P$40,$J$39:$J$40,X14),0),0),0)</f>
        <v>0</v>
      </c>
      <c r="AJ14" s="74">
        <f t="shared" si="5"/>
        <v>0</v>
      </c>
      <c r="AK14" s="29"/>
      <c r="AL14" s="29"/>
      <c r="AM14" s="29"/>
      <c r="AN14" s="29"/>
      <c r="AO14" s="29"/>
      <c r="AP14" s="29"/>
    </row>
    <row r="15" spans="1:42" x14ac:dyDescent="0.25">
      <c r="B15" s="85">
        <f t="shared" si="3"/>
        <v>2035</v>
      </c>
      <c r="C15" s="142">
        <f t="shared" si="0"/>
        <v>1358226.5697129029</v>
      </c>
      <c r="D15" s="142">
        <f t="shared" si="1"/>
        <v>682223.80469229666</v>
      </c>
      <c r="E15" s="143">
        <f t="shared" si="2"/>
        <v>676002.76502060622</v>
      </c>
      <c r="F15" s="144">
        <f>E15*(1+0.07)^-(B15-Assumptions!$D$11)</f>
        <v>262165.52725037449</v>
      </c>
      <c r="G15" s="268"/>
      <c r="H15" s="34" t="s">
        <v>84</v>
      </c>
      <c r="I15" s="34" t="s">
        <v>83</v>
      </c>
      <c r="J15" s="34" t="s">
        <v>626</v>
      </c>
      <c r="K15" s="34" t="s">
        <v>241</v>
      </c>
      <c r="L15" s="34" t="s">
        <v>82</v>
      </c>
      <c r="M15" s="34" t="s">
        <v>81</v>
      </c>
      <c r="N15" s="34" t="s">
        <v>80</v>
      </c>
      <c r="O15" s="34" t="s">
        <v>79</v>
      </c>
      <c r="P15" s="34" t="s">
        <v>78</v>
      </c>
      <c r="Q15" s="34" t="s">
        <v>17</v>
      </c>
      <c r="R15" s="34" t="s">
        <v>18</v>
      </c>
      <c r="S15" s="34" t="s">
        <v>19</v>
      </c>
      <c r="T15" s="34" t="s">
        <v>20</v>
      </c>
      <c r="U15" s="34" t="s">
        <v>73</v>
      </c>
      <c r="X15" s="85">
        <v>2021</v>
      </c>
      <c r="Y15" s="66">
        <f>IF(X15&gt;=(Assumptions!$D$33),IF(X15&lt;=Assumptions!$D$15,IF(X15&gt;=Assumptions!$D$33,TREND(L$32:L$33,$J$32:$J$33,$X15),0),0),0)</f>
        <v>0</v>
      </c>
      <c r="Z15" s="64">
        <f>IF(X15&gt;=(Assumptions!$D$33),IF(X15&lt;=Assumptions!$D$15,IF(X15&gt;=Assumptions!$D$33,TREND(M$32:M$33,$J$32:$J$33,$X15),0),0),0)</f>
        <v>0</v>
      </c>
      <c r="AA15" s="64">
        <f>IF(X15&gt;=(Assumptions!$D$33),IF(X15&lt;=Assumptions!$D$15,IF(X15&gt;=Assumptions!$D$33,TREND($N$32:$N$33,$J$32:$J$33,$X15),0),0),0)</f>
        <v>0</v>
      </c>
      <c r="AB15" s="64">
        <f>IF(X15&gt;=(Assumptions!$D$33),IF(X15&lt;=Assumptions!$D$15,IF(X15&gt;=Assumptions!$D$33,TREND($O$32:$O$33,$J$32:$J$33,$X15),0),0),0)</f>
        <v>0</v>
      </c>
      <c r="AC15" s="64">
        <f>IF(X15&gt;=(Assumptions!$D$33),IF(X15&lt;=Assumptions!$D$15,IF(X15&gt;=Assumptions!$D$33,TREND($P$32:$P$33,$J$32:$J$33,X$10),0),0),0)</f>
        <v>0</v>
      </c>
      <c r="AD15" s="74">
        <f t="shared" si="4"/>
        <v>0</v>
      </c>
      <c r="AE15" s="66">
        <f>IF(X15&gt;=(Assumptions!$D$33),IF(X15&lt;=Assumptions!$D$15,IF(X15&gt;=Assumptions!$D$33,TREND($L$39:$L$40,$J$39:$J$40,X15),0),0),0)</f>
        <v>0</v>
      </c>
      <c r="AF15" s="64">
        <f>IF(X15&gt;=(Assumptions!$D$33),IF(X15&lt;=Assumptions!$D$15,IF(X15&gt;=Assumptions!$D$33,TREND($M$39:$M$40,$J$39:$J$40,X15),0),0),0)</f>
        <v>0</v>
      </c>
      <c r="AG15" s="64">
        <f>IF(X15&gt;=(Assumptions!$D$33),IF(X15&lt;=Assumptions!$D$15,IF(X15&gt;=Assumptions!$D$33,TREND($N$39:$N$40,$J$39:$J$40,X15),0),0),0)</f>
        <v>0</v>
      </c>
      <c r="AH15" s="64">
        <f>IF(X15&gt;=(Assumptions!$D$33),IF(X15&lt;=Assumptions!$D$15,IF(X15&gt;=Assumptions!$D$33,TREND($O$39:$O$40,$J$39:$J$40,X15),0),0),0)</f>
        <v>0</v>
      </c>
      <c r="AI15" s="64">
        <f>IF(X15&gt;=(Assumptions!$D$33),IF(X15&lt;=Assumptions!$D$15,IF(X15&gt;=Assumptions!$D$33,TREND($P$39:$P$40,$J$39:$J$40,X15),0),0),0)</f>
        <v>0</v>
      </c>
      <c r="AJ15" s="74">
        <f t="shared" si="5"/>
        <v>0</v>
      </c>
      <c r="AK15" s="29"/>
      <c r="AL15" s="29"/>
      <c r="AM15" s="29"/>
      <c r="AN15" s="29"/>
      <c r="AO15" s="29"/>
      <c r="AP15" s="29"/>
    </row>
    <row r="16" spans="1:42" x14ac:dyDescent="0.25">
      <c r="B16" s="85">
        <f t="shared" si="3"/>
        <v>2036</v>
      </c>
      <c r="C16" s="142">
        <f t="shared" si="0"/>
        <v>1363960.6936104652</v>
      </c>
      <c r="D16" s="142">
        <f t="shared" si="1"/>
        <v>685111.8640724615</v>
      </c>
      <c r="E16" s="143">
        <f t="shared" si="2"/>
        <v>678848.82953800366</v>
      </c>
      <c r="F16" s="144">
        <f>E16*(1+0.07)^-(B16-Assumptions!$D$11)</f>
        <v>246046.05620492416</v>
      </c>
      <c r="G16" s="268"/>
      <c r="H16" s="255" t="s">
        <v>596</v>
      </c>
      <c r="I16" s="269" t="s">
        <v>76</v>
      </c>
      <c r="J16" s="271">
        <f>'VMT Calcs'!$F$42</f>
        <v>768252</v>
      </c>
      <c r="K16" s="278" t="s">
        <v>66</v>
      </c>
      <c r="L16" s="272">
        <f>Q16/$J$16/5</f>
        <v>0</v>
      </c>
      <c r="M16" s="272">
        <f>R16/$J$16/5</f>
        <v>0</v>
      </c>
      <c r="N16" s="272">
        <f>S16/$J$16/5</f>
        <v>0</v>
      </c>
      <c r="O16" s="272">
        <f>T16/$J$16/5</f>
        <v>0</v>
      </c>
      <c r="P16" s="272">
        <f>U16/$J$16/5</f>
        <v>0</v>
      </c>
      <c r="Q16" s="28">
        <f>'Crash Data - No Build Cars'!$B$6</f>
        <v>0</v>
      </c>
      <c r="R16" s="28">
        <f>'Crash Data - No Build Cars'!$B$7</f>
        <v>0</v>
      </c>
      <c r="S16" s="28">
        <f>'Crash Data - No Build Cars'!$B$8</f>
        <v>0</v>
      </c>
      <c r="T16" s="28">
        <f>'Crash Data - No Build Cars'!$B$9</f>
        <v>0</v>
      </c>
      <c r="U16" s="28">
        <f>'Crash Data - No Build Cars'!$B$10</f>
        <v>0</v>
      </c>
      <c r="X16" s="85">
        <v>2022</v>
      </c>
      <c r="Y16" s="66">
        <f>IF(X16&gt;=(Assumptions!$D$33),IF(X16&lt;=Assumptions!$D$15,IF(X16&gt;=Assumptions!$D$33,TREND(L$32:L$33,$J$32:$J$33,$X16),0),0),0)</f>
        <v>0</v>
      </c>
      <c r="Z16" s="64">
        <f>IF(X16&gt;=(Assumptions!$D$33),IF(X16&lt;=Assumptions!$D$15,IF(X16&gt;=Assumptions!$D$33,TREND(M$32:M$33,$J$32:$J$33,$X16),0),0),0)</f>
        <v>0</v>
      </c>
      <c r="AA16" s="64">
        <f>IF(X16&gt;=(Assumptions!$D$33),IF(X16&lt;=Assumptions!$D$15,IF(X16&gt;=Assumptions!$D$33,TREND($N$32:$N$33,$J$32:$J$33,$X16),0),0),0)</f>
        <v>0</v>
      </c>
      <c r="AB16" s="64">
        <f>IF(X16&gt;=(Assumptions!$D$33),IF(X16&lt;=Assumptions!$D$15,IF(X16&gt;=Assumptions!$D$33,TREND($O$32:$O$33,$J$32:$J$33,$X16),0),0),0)</f>
        <v>0</v>
      </c>
      <c r="AC16" s="64">
        <f>IF(X16&gt;=(Assumptions!$D$33),IF(X16&lt;=Assumptions!$D$15,IF(X16&gt;=Assumptions!$D$33,TREND($P$32:$P$33,$J$32:$J$33,X$10),0),0),0)</f>
        <v>0</v>
      </c>
      <c r="AD16" s="74">
        <f t="shared" si="4"/>
        <v>0</v>
      </c>
      <c r="AE16" s="66">
        <f>IF(X16&gt;=(Assumptions!$D$33),IF(X16&lt;=Assumptions!$D$15,IF(X16&gt;=Assumptions!$D$33,TREND($L$39:$L$40,$J$39:$J$40,X16),0),0),0)</f>
        <v>0</v>
      </c>
      <c r="AF16" s="64">
        <f>IF(X16&gt;=(Assumptions!$D$33),IF(X16&lt;=Assumptions!$D$15,IF(X16&gt;=Assumptions!$D$33,TREND($M$39:$M$40,$J$39:$J$40,X16),0),0),0)</f>
        <v>0</v>
      </c>
      <c r="AG16" s="64">
        <f>IF(X16&gt;=(Assumptions!$D$33),IF(X16&lt;=Assumptions!$D$15,IF(X16&gt;=Assumptions!$D$33,TREND($N$39:$N$40,$J$39:$J$40,X16),0),0),0)</f>
        <v>0</v>
      </c>
      <c r="AH16" s="64">
        <f>IF(X16&gt;=(Assumptions!$D$33),IF(X16&lt;=Assumptions!$D$15,IF(X16&gt;=Assumptions!$D$33,TREND($O$39:$O$40,$J$39:$J$40,X16),0),0),0)</f>
        <v>0</v>
      </c>
      <c r="AI16" s="64">
        <f>IF(X16&gt;=(Assumptions!$D$33),IF(X16&lt;=Assumptions!$D$15,IF(X16&gt;=Assumptions!$D$33,TREND($P$39:$P$40,$J$39:$J$40,X16),0),0),0)</f>
        <v>0</v>
      </c>
      <c r="AJ16" s="74">
        <f t="shared" si="5"/>
        <v>0</v>
      </c>
      <c r="AK16" s="29"/>
      <c r="AL16" s="29"/>
      <c r="AM16" s="29"/>
      <c r="AN16" s="29"/>
      <c r="AO16" s="29"/>
      <c r="AP16" s="29"/>
    </row>
    <row r="17" spans="1:42" ht="15" customHeight="1" x14ac:dyDescent="0.25">
      <c r="B17" s="85">
        <f t="shared" si="3"/>
        <v>2037</v>
      </c>
      <c r="C17" s="142">
        <f t="shared" si="0"/>
        <v>1369694.8175080274</v>
      </c>
      <c r="D17" s="142">
        <f t="shared" si="1"/>
        <v>687999.9234526261</v>
      </c>
      <c r="E17" s="143">
        <f t="shared" si="2"/>
        <v>681694.89405540132</v>
      </c>
      <c r="F17" s="144">
        <f>E17*(1+0.07)^-(B17-Assumptions!$D$11)</f>
        <v>230913.64575785075</v>
      </c>
      <c r="G17" s="268"/>
      <c r="H17" s="255" t="s">
        <v>595</v>
      </c>
      <c r="I17" s="269" t="s">
        <v>77</v>
      </c>
      <c r="J17" s="271">
        <f>'VMT Calcs'!$F$29</f>
        <v>42501512.5</v>
      </c>
      <c r="K17" s="278" t="s">
        <v>66</v>
      </c>
      <c r="L17" s="272">
        <f>Q17/$J$17/5</f>
        <v>1.4117144654557882E-8</v>
      </c>
      <c r="M17" s="272">
        <f>R17/$J$17/5</f>
        <v>1.882285953941051E-8</v>
      </c>
      <c r="N17" s="272">
        <f>S17/$J$17/5</f>
        <v>1.4117144654557882E-8</v>
      </c>
      <c r="O17" s="272">
        <f>T17/$J$17/5</f>
        <v>5.6468578618231526E-8</v>
      </c>
      <c r="P17" s="272">
        <f>U17/$J$17/5</f>
        <v>1.3646573166072617E-7</v>
      </c>
      <c r="Q17" s="28">
        <f>'Crash Data - No Build Trucks'!$B$72</f>
        <v>3</v>
      </c>
      <c r="R17" s="28">
        <f>'Crash Data - No Build Trucks'!$B$73</f>
        <v>4</v>
      </c>
      <c r="S17" s="28">
        <f>'Crash Data - No Build Trucks'!$B$74</f>
        <v>3</v>
      </c>
      <c r="T17" s="28">
        <f>'Crash Data - No Build Trucks'!$B$75</f>
        <v>12</v>
      </c>
      <c r="U17" s="28">
        <f>'Crash Data - No Build Trucks'!$B$76</f>
        <v>29</v>
      </c>
      <c r="X17" s="85">
        <v>2023</v>
      </c>
      <c r="Y17" s="66">
        <f>IF(X17&gt;=(Assumptions!$D$33),IF(X17&lt;=Assumptions!$D$15,IF(X17&gt;=Assumptions!$D$33,TREND(L$32:L$33,$J$32:$J$33,$X17),0),0),0)</f>
        <v>0</v>
      </c>
      <c r="Z17" s="64">
        <f>IF(X17&gt;=(Assumptions!$D$33),IF(X17&lt;=Assumptions!$D$15,IF(X17&gt;=Assumptions!$D$33,TREND(M$32:M$33,$J$32:$J$33,$X17),0),0),0)</f>
        <v>0</v>
      </c>
      <c r="AA17" s="64">
        <f>IF(X17&gt;=(Assumptions!$D$33),IF(X17&lt;=Assumptions!$D$15,IF(X17&gt;=Assumptions!$D$33,TREND($N$32:$N$33,$J$32:$J$33,$X17),0),0),0)</f>
        <v>0</v>
      </c>
      <c r="AB17" s="64">
        <f>IF(X17&gt;=(Assumptions!$D$33),IF(X17&lt;=Assumptions!$D$15,IF(X17&gt;=Assumptions!$D$33,TREND($O$32:$O$33,$J$32:$J$33,$X17),0),0),0)</f>
        <v>0</v>
      </c>
      <c r="AC17" s="64">
        <f>IF(X17&gt;=(Assumptions!$D$33),IF(X17&lt;=Assumptions!$D$15,IF(X17&gt;=Assumptions!$D$33,TREND($P$32:$P$33,$J$32:$J$33,X$10),0),0),0)</f>
        <v>0</v>
      </c>
      <c r="AD17" s="74">
        <f t="shared" si="4"/>
        <v>0</v>
      </c>
      <c r="AE17" s="66">
        <f>IF(X17&gt;=(Assumptions!$D$33),IF(X17&lt;=Assumptions!$D$15,IF(X17&gt;=Assumptions!$D$33,TREND($L$39:$L$40,$J$39:$J$40,X17),0),0),0)</f>
        <v>0</v>
      </c>
      <c r="AF17" s="64">
        <f>IF(X17&gt;=(Assumptions!$D$33),IF(X17&lt;=Assumptions!$D$15,IF(X17&gt;=Assumptions!$D$33,TREND($M$39:$M$40,$J$39:$J$40,X17),0),0),0)</f>
        <v>0</v>
      </c>
      <c r="AG17" s="64">
        <f>IF(X17&gt;=(Assumptions!$D$33),IF(X17&lt;=Assumptions!$D$15,IF(X17&gt;=Assumptions!$D$33,TREND($N$39:$N$40,$J$39:$J$40,X17),0),0),0)</f>
        <v>0</v>
      </c>
      <c r="AH17" s="64">
        <f>IF(X17&gt;=(Assumptions!$D$33),IF(X17&lt;=Assumptions!$D$15,IF(X17&gt;=Assumptions!$D$33,TREND($O$39:$O$40,$J$39:$J$40,X17),0),0),0)</f>
        <v>0</v>
      </c>
      <c r="AI17" s="64">
        <f>IF(X17&gt;=(Assumptions!$D$33),IF(X17&lt;=Assumptions!$D$15,IF(X17&gt;=Assumptions!$D$33,TREND($P$39:$P$40,$J$39:$J$40,X17),0),0),0)</f>
        <v>0</v>
      </c>
      <c r="AJ17" s="74">
        <f t="shared" si="5"/>
        <v>0</v>
      </c>
      <c r="AK17" s="29"/>
      <c r="AL17" s="29"/>
      <c r="AM17" s="29"/>
      <c r="AN17" s="29"/>
      <c r="AO17" s="29"/>
      <c r="AP17" s="29"/>
    </row>
    <row r="18" spans="1:42" ht="15" customHeight="1" x14ac:dyDescent="0.25">
      <c r="B18" s="85">
        <f t="shared" si="3"/>
        <v>2038</v>
      </c>
      <c r="C18" s="142">
        <f t="shared" si="0"/>
        <v>1375428.9414055913</v>
      </c>
      <c r="D18" s="142">
        <f t="shared" si="1"/>
        <v>690887.98283279175</v>
      </c>
      <c r="E18" s="143">
        <f t="shared" si="2"/>
        <v>684540.95857279957</v>
      </c>
      <c r="F18" s="144">
        <f>E18*(1+0.07)^-(B18-Assumptions!$D$11)</f>
        <v>216708.13670790172</v>
      </c>
      <c r="G18" s="268"/>
      <c r="H18" s="725" t="s">
        <v>812</v>
      </c>
      <c r="I18" s="725"/>
      <c r="J18" s="725"/>
      <c r="K18" s="725"/>
      <c r="L18" s="725"/>
      <c r="M18" s="725"/>
      <c r="N18" s="725"/>
      <c r="O18" s="725"/>
      <c r="Q18" t="s">
        <v>670</v>
      </c>
      <c r="X18" s="85">
        <v>2024</v>
      </c>
      <c r="Y18" s="66">
        <f>IF(X18&gt;=(Assumptions!$D$33),IF(X18&lt;=Assumptions!$D$15,IF(X18&gt;=Assumptions!$D$33,TREND(L$32:L$33,$J$32:$J$33,$X18),0),0),0)</f>
        <v>0</v>
      </c>
      <c r="Z18" s="64">
        <f>IF(X18&gt;=(Assumptions!$D$33),IF(X18&lt;=Assumptions!$D$15,IF(X18&gt;=Assumptions!$D$33,TREND(M$32:M$33,$J$32:$J$33,$X18),0),0),0)</f>
        <v>0</v>
      </c>
      <c r="AA18" s="64">
        <f>IF(X18&gt;=(Assumptions!$D$33),IF(X18&lt;=Assumptions!$D$15,IF(X18&gt;=Assumptions!$D$33,TREND($N$32:$N$33,$J$32:$J$33,$X18),0),0),0)</f>
        <v>0</v>
      </c>
      <c r="AB18" s="64">
        <f>IF(X18&gt;=(Assumptions!$D$33),IF(X18&lt;=Assumptions!$D$15,IF(X18&gt;=Assumptions!$D$33,TREND($O$32:$O$33,$J$32:$J$33,$X18),0),0),0)</f>
        <v>0</v>
      </c>
      <c r="AC18" s="64">
        <f>IF(X18&gt;=(Assumptions!$D$33),IF(X18&lt;=Assumptions!$D$15,IF(X18&gt;=Assumptions!$D$33,TREND($P$32:$P$33,$J$32:$J$33,X$10),0),0),0)</f>
        <v>0</v>
      </c>
      <c r="AD18" s="74">
        <f t="shared" si="4"/>
        <v>0</v>
      </c>
      <c r="AE18" s="66">
        <f>IF(X18&gt;=(Assumptions!$D$33),IF(X18&lt;=Assumptions!$D$15,IF(X18&gt;=Assumptions!$D$33,TREND($L$39:$L$40,$J$39:$J$40,X18),0),0),0)</f>
        <v>0</v>
      </c>
      <c r="AF18" s="64">
        <f>IF(X18&gt;=(Assumptions!$D$33),IF(X18&lt;=Assumptions!$D$15,IF(X18&gt;=Assumptions!$D$33,TREND($M$39:$M$40,$J$39:$J$40,X18),0),0),0)</f>
        <v>0</v>
      </c>
      <c r="AG18" s="64">
        <f>IF(X18&gt;=(Assumptions!$D$33),IF(X18&lt;=Assumptions!$D$15,IF(X18&gt;=Assumptions!$D$33,TREND($N$39:$N$40,$J$39:$J$40,X18),0),0),0)</f>
        <v>0</v>
      </c>
      <c r="AH18" s="64">
        <f>IF(X18&gt;=(Assumptions!$D$33),IF(X18&lt;=Assumptions!$D$15,IF(X18&gt;=Assumptions!$D$33,TREND($O$39:$O$40,$J$39:$J$40,X18),0),0),0)</f>
        <v>0</v>
      </c>
      <c r="AI18" s="64">
        <f>IF(X18&gt;=(Assumptions!$D$33),IF(X18&lt;=Assumptions!$D$15,IF(X18&gt;=Assumptions!$D$33,TREND($P$39:$P$40,$J$39:$J$40,X18),0),0),0)</f>
        <v>0</v>
      </c>
      <c r="AJ18" s="74">
        <f t="shared" si="5"/>
        <v>0</v>
      </c>
      <c r="AK18" s="29"/>
      <c r="AL18" s="29"/>
      <c r="AM18" s="29"/>
      <c r="AN18" s="29"/>
      <c r="AO18" s="29"/>
      <c r="AP18" s="29"/>
    </row>
    <row r="19" spans="1:42" x14ac:dyDescent="0.25">
      <c r="B19" s="85">
        <f t="shared" si="3"/>
        <v>2039</v>
      </c>
      <c r="C19" s="142">
        <f t="shared" si="0"/>
        <v>1381163.0653031538</v>
      </c>
      <c r="D19" s="142">
        <f t="shared" si="1"/>
        <v>693776.04221295624</v>
      </c>
      <c r="E19" s="143">
        <f t="shared" si="2"/>
        <v>687387.02309019759</v>
      </c>
      <c r="F19" s="144">
        <f>E19*(1+0.07)^-(B19-Assumptions!$D$11)</f>
        <v>203373.01668011074</v>
      </c>
      <c r="G19" s="268"/>
      <c r="H19" s="702"/>
      <c r="I19" s="702"/>
      <c r="J19" s="702"/>
      <c r="K19" s="702"/>
      <c r="L19" s="702"/>
      <c r="M19" s="702"/>
      <c r="N19" s="702"/>
      <c r="O19" s="702"/>
      <c r="X19" s="85">
        <v>2025</v>
      </c>
      <c r="Y19" s="66">
        <f>IF(X19&gt;=(Assumptions!$D$33),IF(X19&lt;=Assumptions!$D$15,IF(X19&gt;=Assumptions!$D$33,TREND(L$32:L$33,$J$32:$J$33,$X19),0),0),0)</f>
        <v>0</v>
      </c>
      <c r="Z19" s="64">
        <f>IF(X19&gt;=(Assumptions!$D$33),IF(X19&lt;=Assumptions!$D$15,IF(X19&gt;=Assumptions!$D$33,TREND(M$32:M$33,$J$32:$J$33,$X19),0),0),0)</f>
        <v>0</v>
      </c>
      <c r="AA19" s="64">
        <f>IF(X19&gt;=(Assumptions!$D$33),IF(X19&lt;=Assumptions!$D$15,IF(X19&gt;=Assumptions!$D$33,TREND($N$32:$N$33,$J$32:$J$33,$X19),0),0),0)</f>
        <v>0</v>
      </c>
      <c r="AB19" s="64">
        <f>IF(X19&gt;=(Assumptions!$D$33),IF(X19&lt;=Assumptions!$D$15,IF(X19&gt;=Assumptions!$D$33,TREND($O$32:$O$33,$J$32:$J$33,$X19),0),0),0)</f>
        <v>0</v>
      </c>
      <c r="AC19" s="64">
        <f>IF(X19&gt;=(Assumptions!$D$33),IF(X19&lt;=Assumptions!$D$15,IF(X19&gt;=Assumptions!$D$33,TREND($P$32:$P$33,$J$32:$J$33,X$10),0),0),0)</f>
        <v>0</v>
      </c>
      <c r="AD19" s="74">
        <f t="shared" si="4"/>
        <v>0</v>
      </c>
      <c r="AE19" s="66">
        <f>IF(X19&gt;=(Assumptions!$D$33),IF(X19&lt;=Assumptions!$D$15,IF(X19&gt;=Assumptions!$D$33,TREND($L$39:$L$40,$J$39:$J$40,X19),0),0),0)</f>
        <v>0</v>
      </c>
      <c r="AF19" s="64">
        <f>IF(X19&gt;=(Assumptions!$D$33),IF(X19&lt;=Assumptions!$D$15,IF(X19&gt;=Assumptions!$D$33,TREND($M$39:$M$40,$J$39:$J$40,X19),0),0),0)</f>
        <v>0</v>
      </c>
      <c r="AG19" s="64">
        <f>IF(X19&gt;=(Assumptions!$D$33),IF(X19&lt;=Assumptions!$D$15,IF(X19&gt;=Assumptions!$D$33,TREND($N$39:$N$40,$J$39:$J$40,X19),0),0),0)</f>
        <v>0</v>
      </c>
      <c r="AH19" s="64">
        <f>IF(X19&gt;=(Assumptions!$D$33),IF(X19&lt;=Assumptions!$D$15,IF(X19&gt;=Assumptions!$D$33,TREND($O$39:$O$40,$J$39:$J$40,X19),0),0),0)</f>
        <v>0</v>
      </c>
      <c r="AI19" s="64">
        <f>IF(X19&gt;=(Assumptions!$D$33),IF(X19&lt;=Assumptions!$D$15,IF(X19&gt;=Assumptions!$D$33,TREND($P$39:$P$40,$J$39:$J$40,X19),0),0),0)</f>
        <v>0</v>
      </c>
      <c r="AJ19" s="74">
        <f t="shared" si="5"/>
        <v>0</v>
      </c>
      <c r="AK19" s="29"/>
      <c r="AL19" s="29"/>
      <c r="AM19" s="29"/>
      <c r="AN19" s="29"/>
      <c r="AO19" s="29"/>
      <c r="AP19" s="29"/>
    </row>
    <row r="20" spans="1:42" x14ac:dyDescent="0.25">
      <c r="B20" s="85">
        <f t="shared" si="3"/>
        <v>2040</v>
      </c>
      <c r="C20" s="142">
        <f t="shared" si="0"/>
        <v>1386897.1892007161</v>
      </c>
      <c r="D20" s="142">
        <f t="shared" si="1"/>
        <v>696664.10159312119</v>
      </c>
      <c r="E20" s="143">
        <f t="shared" si="2"/>
        <v>690233.08760759491</v>
      </c>
      <c r="F20" s="144">
        <f>E20*(1+0.07)^-(B20-Assumptions!$D$11)</f>
        <v>190855.2004433008</v>
      </c>
      <c r="G20" s="268"/>
      <c r="H20" s="110"/>
      <c r="I20" s="110"/>
      <c r="J20" s="110"/>
      <c r="X20" s="85">
        <v>2026</v>
      </c>
      <c r="Y20" s="66">
        <f>IF(X20&gt;=(Assumptions!$D$33),IF(X20&lt;=Assumptions!$D$15,IF(X20&gt;=Assumptions!$D$33,TREND(L$32:L$33,$J$32:$J$33,$X20),0),0),0)</f>
        <v>0</v>
      </c>
      <c r="Z20" s="64">
        <f>IF(X20&gt;=(Assumptions!$D$33),IF(X20&lt;=Assumptions!$D$15,IF(X20&gt;=Assumptions!$D$33,TREND(M$32:M$33,$J$32:$J$33,$X20),0),0),0)</f>
        <v>0</v>
      </c>
      <c r="AA20" s="64">
        <f>IF(X20&gt;=(Assumptions!$D$33),IF(X20&lt;=Assumptions!$D$15,IF(X20&gt;=Assumptions!$D$33,TREND($N$32:$N$33,$J$32:$J$33,$X20),0),0),0)</f>
        <v>0</v>
      </c>
      <c r="AB20" s="64">
        <f>IF(X20&gt;=(Assumptions!$D$33),IF(X20&lt;=Assumptions!$D$15,IF(X20&gt;=Assumptions!$D$33,TREND($O$32:$O$33,$J$32:$J$33,$X20),0),0),0)</f>
        <v>0</v>
      </c>
      <c r="AC20" s="64">
        <f>IF(X20&gt;=(Assumptions!$D$33),IF(X20&lt;=Assumptions!$D$15,IF(X20&gt;=Assumptions!$D$33,TREND($P$32:$P$33,$J$32:$J$33,X$10),0),0),0)</f>
        <v>0</v>
      </c>
      <c r="AD20" s="74">
        <f t="shared" si="4"/>
        <v>0</v>
      </c>
      <c r="AE20" s="66">
        <f>IF(X20&gt;=(Assumptions!$D$33),IF(X20&lt;=Assumptions!$D$15,IF(X20&gt;=Assumptions!$D$33,TREND($L$39:$L$40,$J$39:$J$40,X20),0),0),0)</f>
        <v>0</v>
      </c>
      <c r="AF20" s="64">
        <f>IF(X20&gt;=(Assumptions!$D$33),IF(X20&lt;=Assumptions!$D$15,IF(X20&gt;=Assumptions!$D$33,TREND($M$39:$M$40,$J$39:$J$40,X20),0),0),0)</f>
        <v>0</v>
      </c>
      <c r="AG20" s="64">
        <f>IF(X20&gt;=(Assumptions!$D$33),IF(X20&lt;=Assumptions!$D$15,IF(X20&gt;=Assumptions!$D$33,TREND($N$39:$N$40,$J$39:$J$40,X20),0),0),0)</f>
        <v>0</v>
      </c>
      <c r="AH20" s="64">
        <f>IF(X20&gt;=(Assumptions!$D$33),IF(X20&lt;=Assumptions!$D$15,IF(X20&gt;=Assumptions!$D$33,TREND($O$39:$O$40,$J$39:$J$40,X20),0),0),0)</f>
        <v>0</v>
      </c>
      <c r="AI20" s="64">
        <f>IF(X20&gt;=(Assumptions!$D$33),IF(X20&lt;=Assumptions!$D$15,IF(X20&gt;=Assumptions!$D$33,TREND($P$39:$P$40,$J$39:$J$40,X20),0),0),0)</f>
        <v>0</v>
      </c>
      <c r="AJ20" s="74">
        <f t="shared" si="5"/>
        <v>0</v>
      </c>
      <c r="AK20" s="29"/>
      <c r="AL20" s="29"/>
      <c r="AM20" s="29"/>
      <c r="AN20" s="29"/>
      <c r="AO20" s="29"/>
      <c r="AP20" s="29"/>
    </row>
    <row r="21" spans="1:42" x14ac:dyDescent="0.25">
      <c r="B21" s="85">
        <f t="shared" si="3"/>
        <v>2041</v>
      </c>
      <c r="C21" s="142">
        <f t="shared" si="0"/>
        <v>1392631.3130982798</v>
      </c>
      <c r="D21" s="142">
        <f t="shared" si="1"/>
        <v>699552.16097328591</v>
      </c>
      <c r="E21" s="143">
        <f t="shared" si="2"/>
        <v>693079.15212499385</v>
      </c>
      <c r="F21" s="144">
        <f>E21*(1+0.07)^-(B21-Assumptions!$D$11)</f>
        <v>179104.82336322253</v>
      </c>
      <c r="G21" s="29"/>
      <c r="H21" s="1" t="s">
        <v>667</v>
      </c>
      <c r="J21" s="3"/>
      <c r="O21" s="68"/>
      <c r="Q21" s="1" t="s">
        <v>669</v>
      </c>
      <c r="R21" s="2"/>
      <c r="X21" s="85">
        <v>2027</v>
      </c>
      <c r="Y21" s="66">
        <f>IF(X21&gt;=(Assumptions!$D$33),IF(X21&lt;=Assumptions!$D$15,IF(X21&gt;=Assumptions!$D$33,TREND(L$32:L$33,$J$32:$J$33,$X21),0),0),0)</f>
        <v>0</v>
      </c>
      <c r="Z21" s="64">
        <f>IF(X21&gt;=(Assumptions!$D$33),IF(X21&lt;=Assumptions!$D$15,IF(X21&gt;=Assumptions!$D$33,TREND(M$32:M$33,$J$32:$J$33,$X21),0),0),0)</f>
        <v>0</v>
      </c>
      <c r="AA21" s="64">
        <f>IF(X21&gt;=(Assumptions!$D$33),IF(X21&lt;=Assumptions!$D$15,IF(X21&gt;=Assumptions!$D$33,TREND($N$32:$N$33,$J$32:$J$33,$X21),0),0),0)</f>
        <v>0</v>
      </c>
      <c r="AB21" s="64">
        <f>IF(X21&gt;=(Assumptions!$D$33),IF(X21&lt;=Assumptions!$D$15,IF(X21&gt;=Assumptions!$D$33,TREND($O$32:$O$33,$J$32:$J$33,$X21),0),0),0)</f>
        <v>0</v>
      </c>
      <c r="AC21" s="64">
        <f>IF(X21&gt;=(Assumptions!$D$33),IF(X21&lt;=Assumptions!$D$15,IF(X21&gt;=Assumptions!$D$33,TREND($P$32:$P$33,$J$32:$J$33,X$10),0),0),0)</f>
        <v>0</v>
      </c>
      <c r="AD21" s="74">
        <f t="shared" si="4"/>
        <v>0</v>
      </c>
      <c r="AE21" s="66">
        <f>IF(X21&gt;=(Assumptions!$D$33),IF(X21&lt;=Assumptions!$D$15,IF(X21&gt;=Assumptions!$D$33,TREND($L$39:$L$40,$J$39:$J$40,X21),0),0),0)</f>
        <v>0</v>
      </c>
      <c r="AF21" s="64">
        <f>IF(X21&gt;=(Assumptions!$D$33),IF(X21&lt;=Assumptions!$D$15,IF(X21&gt;=Assumptions!$D$33,TREND($M$39:$M$40,$J$39:$J$40,X21),0),0),0)</f>
        <v>0</v>
      </c>
      <c r="AG21" s="64">
        <f>IF(X21&gt;=(Assumptions!$D$33),IF(X21&lt;=Assumptions!$D$15,IF(X21&gt;=Assumptions!$D$33,TREND($N$39:$N$40,$J$39:$J$40,X21),0),0),0)</f>
        <v>0</v>
      </c>
      <c r="AH21" s="64">
        <f>IF(X21&gt;=(Assumptions!$D$33),IF(X21&lt;=Assumptions!$D$15,IF(X21&gt;=Assumptions!$D$33,TREND($O$39:$O$40,$J$39:$J$40,X21),0),0),0)</f>
        <v>0</v>
      </c>
      <c r="AI21" s="64">
        <f>IF(X21&gt;=(Assumptions!$D$33),IF(X21&lt;=Assumptions!$D$15,IF(X21&gt;=Assumptions!$D$33,TREND($P$39:$P$40,$J$39:$J$40,X21),0),0),0)</f>
        <v>0</v>
      </c>
      <c r="AJ21" s="74">
        <f t="shared" si="5"/>
        <v>0</v>
      </c>
      <c r="AK21" s="29"/>
      <c r="AL21" s="29"/>
      <c r="AM21" s="29"/>
      <c r="AN21" s="29"/>
      <c r="AO21" s="29"/>
      <c r="AP21" s="29"/>
    </row>
    <row r="22" spans="1:42" x14ac:dyDescent="0.25">
      <c r="B22" s="85">
        <f t="shared" si="3"/>
        <v>2042</v>
      </c>
      <c r="C22" s="142">
        <f t="shared" si="0"/>
        <v>1398365.4369958425</v>
      </c>
      <c r="D22" s="142">
        <f t="shared" si="1"/>
        <v>702440.22035345074</v>
      </c>
      <c r="E22" s="143">
        <f t="shared" si="2"/>
        <v>695925.21664239175</v>
      </c>
      <c r="F22" s="144">
        <f>E22*(1+0.07)^-(B22-Assumptions!$D$11)</f>
        <v>168075.04721285272</v>
      </c>
      <c r="G22" s="29"/>
      <c r="H22" s="34" t="s">
        <v>84</v>
      </c>
      <c r="I22" s="34" t="s">
        <v>83</v>
      </c>
      <c r="J22" s="34" t="s">
        <v>626</v>
      </c>
      <c r="K22" s="34" t="s">
        <v>241</v>
      </c>
      <c r="L22" s="34" t="s">
        <v>82</v>
      </c>
      <c r="M22" s="34" t="s">
        <v>81</v>
      </c>
      <c r="N22" s="34" t="s">
        <v>80</v>
      </c>
      <c r="O22" s="34" t="s">
        <v>79</v>
      </c>
      <c r="P22" s="34" t="s">
        <v>78</v>
      </c>
      <c r="Q22" s="34" t="s">
        <v>17</v>
      </c>
      <c r="R22" s="34" t="s">
        <v>18</v>
      </c>
      <c r="S22" s="34" t="s">
        <v>19</v>
      </c>
      <c r="T22" s="34" t="s">
        <v>20</v>
      </c>
      <c r="U22" s="34" t="s">
        <v>73</v>
      </c>
      <c r="X22" s="85">
        <v>2028</v>
      </c>
      <c r="Y22" s="66">
        <f>IF(X22&gt;=(Assumptions!$D$33),IF(X22&lt;=Assumptions!$D$15,IF(X22&gt;=Assumptions!$D$33,TREND(L$32:L$33,$J$32:$J$33,$X22),0),0),0)</f>
        <v>0.10095073173761415</v>
      </c>
      <c r="Z22" s="64">
        <f>IF(X22&gt;=(Assumptions!$D$33),IF(X22&lt;=Assumptions!$D$15,IF(X22&gt;=Assumptions!$D$33,TREND(M$32:M$33,$J$32:$J$33,$X22),0),0),0)</f>
        <v>0.13460097565015228</v>
      </c>
      <c r="AA22" s="64">
        <f>IF(X22&gt;=(Assumptions!$D$33),IF(X22&lt;=Assumptions!$D$15,IF(X22&gt;=Assumptions!$D$33,TREND($N$32:$N$33,$J$32:$J$33,$X22),0),0),0)</f>
        <v>0.10095073173761415</v>
      </c>
      <c r="AB22" s="64">
        <f>IF(X22&gt;=(Assumptions!$D$33),IF(X22&lt;=Assumptions!$D$15,IF(X22&gt;=Assumptions!$D$33,TREND($O$32:$O$33,$J$32:$J$33,$X22),0),0),0)</f>
        <v>0.40380292695045661</v>
      </c>
      <c r="AC22" s="64">
        <f>IF(X22&gt;=(Assumptions!$D$33),IF(X22&lt;=Assumptions!$D$15,IF(X22&gt;=Assumptions!$D$33,TREND($P$32:$P$33,$J$32:$J$33,X$10),0),0),0)</f>
        <v>0.92477003326289342</v>
      </c>
      <c r="AD22" s="74">
        <f t="shared" si="4"/>
        <v>1318087.7024299616</v>
      </c>
      <c r="AE22" s="66">
        <f>IF(X22&gt;=(Assumptions!$D$33),IF(X22&lt;=Assumptions!$D$15,IF(X22&gt;=Assumptions!$D$33,TREND($L$39:$L$40,$J$39:$J$40,X22),0),0),0)</f>
        <v>4.0940281292234981E-2</v>
      </c>
      <c r="AF22" s="64">
        <f>IF(X22&gt;=(Assumptions!$D$33),IF(X22&lt;=Assumptions!$D$15,IF(X22&gt;=Assumptions!$D$33,TREND($M$39:$M$40,$J$39:$J$40,X22),0),0),0)</f>
        <v>0.27780774910688955</v>
      </c>
      <c r="AG22" s="64">
        <f>IF(X22&gt;=(Assumptions!$D$33),IF(X22&lt;=Assumptions!$D$15,IF(X22&gt;=Assumptions!$D$33,TREND($N$39:$N$40,$J$39:$J$40,X22),0),0),0)</f>
        <v>4.0940281292234981E-2</v>
      </c>
      <c r="AH22" s="64">
        <f>IF(X22&gt;=(Assumptions!$D$33),IF(X22&lt;=Assumptions!$D$15,IF(X22&gt;=Assumptions!$D$33,TREND($O$39:$O$40,$J$39:$J$40,X22),0),0),0)</f>
        <v>0.12282084387670489</v>
      </c>
      <c r="AI22" s="64">
        <f>IF(X22&gt;=(Assumptions!$D$33),IF(X22&lt;=Assumptions!$D$15,IF(X22&gt;=Assumptions!$D$33,TREND($P$39:$P$40,$J$39:$J$40,X22),0),0),0)</f>
        <v>1.552799870703387</v>
      </c>
      <c r="AJ22" s="74">
        <f t="shared" si="5"/>
        <v>662007.389031142</v>
      </c>
      <c r="AK22" s="29"/>
      <c r="AL22" s="29"/>
      <c r="AM22" s="29"/>
      <c r="AN22" s="29"/>
      <c r="AO22" s="29"/>
      <c r="AP22" s="29"/>
    </row>
    <row r="23" spans="1:42" x14ac:dyDescent="0.25">
      <c r="B23" s="85">
        <f t="shared" si="3"/>
        <v>2043</v>
      </c>
      <c r="C23" s="142">
        <f t="shared" si="0"/>
        <v>1404099.5608934045</v>
      </c>
      <c r="D23" s="142">
        <f t="shared" si="1"/>
        <v>705328.27973361616</v>
      </c>
      <c r="E23" s="143">
        <f t="shared" si="2"/>
        <v>698771.28115978837</v>
      </c>
      <c r="F23" s="144">
        <f>E23*(1+0.07)^-(B23-Assumptions!$D$11)</f>
        <v>157721.87760702419</v>
      </c>
      <c r="G23" s="29"/>
      <c r="H23" s="255" t="s">
        <v>830</v>
      </c>
      <c r="I23" s="269" t="s">
        <v>76</v>
      </c>
      <c r="J23" s="271">
        <f>'VMT Calcs'!$F$34</f>
        <v>3880387.9999999995</v>
      </c>
      <c r="K23" s="271">
        <f>J23-(I11*Assumptions!$D$36*365*Assumptions!$D$28)</f>
        <v>3754395.8399999994</v>
      </c>
      <c r="L23" s="272">
        <f>Q23/$K$23/5</f>
        <v>0</v>
      </c>
      <c r="M23" s="272">
        <f>R23/$J$23/5</f>
        <v>5.1541237628814447E-8</v>
      </c>
      <c r="N23" s="272">
        <f>S23/$J$23/5</f>
        <v>0</v>
      </c>
      <c r="O23" s="272">
        <f>T23/$J$23/5</f>
        <v>0</v>
      </c>
      <c r="P23" s="272">
        <f>U23/$J$23/5</f>
        <v>2.5770618814407224E-7</v>
      </c>
      <c r="Q23" s="28">
        <f>'Crash Data - Build Cars'!$B$26</f>
        <v>0</v>
      </c>
      <c r="R23" s="28">
        <f>'Crash Data - Build Cars'!$B$27</f>
        <v>1</v>
      </c>
      <c r="S23" s="28">
        <f>'Crash Data - Build Cars'!$B$28</f>
        <v>0</v>
      </c>
      <c r="T23" s="28">
        <f>'Crash Data - Build Cars'!$B$29</f>
        <v>0</v>
      </c>
      <c r="U23" s="28">
        <f>'Crash Data - Build Cars'!$B$30</f>
        <v>5</v>
      </c>
      <c r="X23" s="85">
        <v>2029</v>
      </c>
      <c r="Y23" s="66">
        <f>IF(X23&gt;=(Assumptions!$D$33),IF(X23&lt;=Assumptions!$D$15,IF(X23&gt;=Assumptions!$D$33,TREND(L$32:L$33,$J$32:$J$33,$X23),0),0),0)</f>
        <v>0.10139113725658588</v>
      </c>
      <c r="Z23" s="64">
        <f>IF(X23&gt;=(Assumptions!$D$33),IF(X23&lt;=Assumptions!$D$15,IF(X23&gt;=Assumptions!$D$33,TREND(M$32:M$33,$J$32:$J$33,$X23),0),0),0)</f>
        <v>0.1351881830087811</v>
      </c>
      <c r="AA23" s="64">
        <f>IF(X23&gt;=(Assumptions!$D$33),IF(X23&lt;=Assumptions!$D$15,IF(X23&gt;=Assumptions!$D$33,TREND($N$32:$N$33,$J$32:$J$33,$X23),0),0),0)</f>
        <v>0.10139113725658588</v>
      </c>
      <c r="AB23" s="64">
        <f>IF(X23&gt;=(Assumptions!$D$33),IF(X23&lt;=Assumptions!$D$15,IF(X23&gt;=Assumptions!$D$33,TREND($O$32:$O$33,$J$32:$J$33,$X23),0),0),0)</f>
        <v>0.40556454902634353</v>
      </c>
      <c r="AC23" s="64">
        <f>IF(X23&gt;=(Assumptions!$D$33),IF(X23&lt;=Assumptions!$D$15,IF(X23&gt;=Assumptions!$D$33,TREND($P$32:$P$33,$J$32:$J$33,X$10),0),0),0)</f>
        <v>0.92477003326289342</v>
      </c>
      <c r="AD23" s="74">
        <f t="shared" si="4"/>
        <v>1323821.8263275255</v>
      </c>
      <c r="AE23" s="66">
        <f>IF(X23&gt;=(Assumptions!$D$33),IF(X23&lt;=Assumptions!$D$15,IF(X23&gt;=Assumptions!$D$33,TREND($L$39:$L$40,$J$39:$J$40,X23),0),0),0)</f>
        <v>4.1118886494188489E-2</v>
      </c>
      <c r="AF23" s="64">
        <f>IF(X23&gt;=(Assumptions!$D$33),IF(X23&lt;=Assumptions!$D$15,IF(X23&gt;=Assumptions!$D$33,TREND($M$39:$M$40,$J$39:$J$40,X23),0),0),0)</f>
        <v>0.27901970729494652</v>
      </c>
      <c r="AG23" s="64">
        <f>IF(X23&gt;=(Assumptions!$D$33),IF(X23&lt;=Assumptions!$D$15,IF(X23&gt;=Assumptions!$D$33,TREND($N$39:$N$40,$J$39:$J$40,X23),0),0),0)</f>
        <v>4.1118886494188489E-2</v>
      </c>
      <c r="AH23" s="64">
        <f>IF(X23&gt;=(Assumptions!$D$33),IF(X23&lt;=Assumptions!$D$15,IF(X23&gt;=Assumptions!$D$33,TREND($O$39:$O$40,$J$39:$J$40,X23),0),0),0)</f>
        <v>0.12335665948256547</v>
      </c>
      <c r="AI23" s="64">
        <f>IF(X23&gt;=(Assumptions!$D$33),IF(X23&lt;=Assumptions!$D$15,IF(X23&gt;=Assumptions!$D$33,TREND($P$39:$P$40,$J$39:$J$40,X23),0),0),0)</f>
        <v>1.559574082451487</v>
      </c>
      <c r="AJ23" s="74">
        <f t="shared" si="5"/>
        <v>664895.4484113066</v>
      </c>
      <c r="AK23" s="29"/>
      <c r="AL23" s="29"/>
      <c r="AM23" s="29"/>
      <c r="AN23" s="29"/>
      <c r="AO23" s="29"/>
      <c r="AP23" s="29"/>
    </row>
    <row r="24" spans="1:42" x14ac:dyDescent="0.25">
      <c r="B24" s="85">
        <f t="shared" si="3"/>
        <v>2044</v>
      </c>
      <c r="C24" s="142">
        <f t="shared" si="0"/>
        <v>1409833.6847909684</v>
      </c>
      <c r="D24" s="142">
        <f t="shared" si="1"/>
        <v>708216.339113781</v>
      </c>
      <c r="E24" s="143">
        <f t="shared" si="2"/>
        <v>701617.34567718743</v>
      </c>
      <c r="F24" s="144">
        <f>E24*(1+0.07)^-(B24-Assumptions!$D$11)</f>
        <v>148003.99237154302</v>
      </c>
      <c r="G24" s="29"/>
      <c r="H24" s="255" t="s">
        <v>831</v>
      </c>
      <c r="I24" s="269" t="s">
        <v>77</v>
      </c>
      <c r="J24" s="271">
        <f>'VMT Calcs'!$F$9</f>
        <v>12517602</v>
      </c>
      <c r="K24" s="271">
        <f>J24-(I12*Assumptions!$D$36*365*Assumptions!$D$28)</f>
        <v>12378002.686720001</v>
      </c>
      <c r="L24" s="272">
        <f>Q24/$K$24/5</f>
        <v>1.6157695636516074E-8</v>
      </c>
      <c r="M24" s="272">
        <f t="shared" ref="M24:P24" si="6">R24/$K$24/5</f>
        <v>3.2315391273032148E-8</v>
      </c>
      <c r="N24" s="272">
        <f t="shared" si="6"/>
        <v>1.6157695636516074E-8</v>
      </c>
      <c r="O24" s="272">
        <f t="shared" si="6"/>
        <v>4.8473086909548228E-8</v>
      </c>
      <c r="P24" s="272">
        <f t="shared" si="6"/>
        <v>2.2620773891122503E-7</v>
      </c>
      <c r="Q24" s="28">
        <f>'Crash Data - Build Trucks'!$B$35</f>
        <v>1</v>
      </c>
      <c r="R24" s="28">
        <f>'Crash Data - Build Trucks'!$B$36</f>
        <v>2</v>
      </c>
      <c r="S24" s="28">
        <f>'Crash Data - Build Trucks'!$B$37</f>
        <v>1</v>
      </c>
      <c r="T24" s="28">
        <f>'Crash Data - Build Trucks'!$B$38</f>
        <v>3</v>
      </c>
      <c r="U24" s="28">
        <f>'Crash Data - Build Trucks'!$B$39</f>
        <v>14</v>
      </c>
      <c r="X24" s="85">
        <v>2030</v>
      </c>
      <c r="Y24" s="66">
        <f>IF(X24&gt;=(Assumptions!$D$33),IF(X24&lt;=Assumptions!$D$15,IF(X24&gt;=Assumptions!$D$33,TREND(L$32:L$33,$J$32:$J$33,$X24),0),0),0)</f>
        <v>0.1018315427755575</v>
      </c>
      <c r="Z24" s="64">
        <f>IF(X24&gt;=(Assumptions!$D$33),IF(X24&lt;=Assumptions!$D$15,IF(X24&gt;=Assumptions!$D$33,TREND(M$32:M$33,$J$32:$J$33,$X24),0),0),0)</f>
        <v>0.13577539036740993</v>
      </c>
      <c r="AA24" s="64">
        <f>IF(X24&gt;=(Assumptions!$D$33),IF(X24&lt;=Assumptions!$D$15,IF(X24&gt;=Assumptions!$D$33,TREND($N$32:$N$33,$J$32:$J$33,$X24),0),0),0)</f>
        <v>0.1018315427755575</v>
      </c>
      <c r="AB24" s="64">
        <f>IF(X24&gt;=(Assumptions!$D$33),IF(X24&lt;=Assumptions!$D$15,IF(X24&gt;=Assumptions!$D$33,TREND($O$32:$O$33,$J$32:$J$33,$X24),0),0),0)</f>
        <v>0.40732617110223002</v>
      </c>
      <c r="AC24" s="64">
        <f>IF(X24&gt;=(Assumptions!$D$33),IF(X24&lt;=Assumptions!$D$15,IF(X24&gt;=Assumptions!$D$33,TREND($P$32:$P$33,$J$32:$J$33,X$10),0),0),0)</f>
        <v>0.92477003326289342</v>
      </c>
      <c r="AD24" s="74">
        <f t="shared" si="4"/>
        <v>1329555.950225088</v>
      </c>
      <c r="AE24" s="66">
        <f>IF(X24&gt;=(Assumptions!$D$33),IF(X24&lt;=Assumptions!$D$15,IF(X24&gt;=Assumptions!$D$33,TREND($L$39:$L$40,$J$39:$J$40,X24),0),0),0)</f>
        <v>4.1297491696142052E-2</v>
      </c>
      <c r="AF24" s="64">
        <f>IF(X24&gt;=(Assumptions!$D$33),IF(X24&lt;=Assumptions!$D$15,IF(X24&gt;=Assumptions!$D$33,TREND($M$39:$M$40,$J$39:$J$40,X24),0),0),0)</f>
        <v>0.28023166548300393</v>
      </c>
      <c r="AG24" s="64">
        <f>IF(X24&gt;=(Assumptions!$D$33),IF(X24&lt;=Assumptions!$D$15,IF(X24&gt;=Assumptions!$D$33,TREND($N$39:$N$40,$J$39:$J$40,X24),0),0),0)</f>
        <v>4.1297491696142052E-2</v>
      </c>
      <c r="AH24" s="64">
        <f>IF(X24&gt;=(Assumptions!$D$33),IF(X24&lt;=Assumptions!$D$15,IF(X24&gt;=Assumptions!$D$33,TREND($O$39:$O$40,$J$39:$J$40,X24),0),0),0)</f>
        <v>0.12389247508842605</v>
      </c>
      <c r="AI24" s="64">
        <f>IF(X24&gt;=(Assumptions!$D$33),IF(X24&lt;=Assumptions!$D$15,IF(X24&gt;=Assumptions!$D$33,TREND($P$39:$P$40,$J$39:$J$40,X24),0),0),0)</f>
        <v>1.566348294199587</v>
      </c>
      <c r="AJ24" s="74">
        <f t="shared" si="5"/>
        <v>667783.50779147225</v>
      </c>
      <c r="AK24" s="29"/>
      <c r="AL24" s="29"/>
      <c r="AM24" s="29"/>
      <c r="AN24" s="29"/>
      <c r="AO24" s="29"/>
      <c r="AP24" s="29"/>
    </row>
    <row r="25" spans="1:42" x14ac:dyDescent="0.25">
      <c r="B25" s="85">
        <f t="shared" si="3"/>
        <v>2045</v>
      </c>
      <c r="C25" s="142">
        <f t="shared" si="0"/>
        <v>1415567.8086885309</v>
      </c>
      <c r="D25" s="142">
        <f t="shared" si="1"/>
        <v>711104.39849394572</v>
      </c>
      <c r="E25" s="143">
        <f t="shared" si="2"/>
        <v>704463.41019458522</v>
      </c>
      <c r="F25" s="144">
        <f>E25*(1+0.07)^-(B25-Assumptions!$D$11)</f>
        <v>138882.58019746494</v>
      </c>
      <c r="G25" s="29"/>
      <c r="H25" s="725" t="s">
        <v>812</v>
      </c>
      <c r="I25" s="725"/>
      <c r="J25" s="725"/>
      <c r="K25" s="725"/>
      <c r="L25" s="725"/>
      <c r="M25" s="725"/>
      <c r="N25" s="725"/>
      <c r="O25" s="725"/>
      <c r="Q25" t="s">
        <v>813</v>
      </c>
      <c r="X25" s="85">
        <v>2031</v>
      </c>
      <c r="Y25" s="66">
        <f>IF(X25&gt;=(Assumptions!$D$33),IF(X25&lt;=Assumptions!$D$15,IF(X25&gt;=Assumptions!$D$33,TREND(L$32:L$33,$J$32:$J$33,$X25),0),0),0)</f>
        <v>0.10227194829452912</v>
      </c>
      <c r="Z25" s="64">
        <f>IF(X25&gt;=(Assumptions!$D$33),IF(X25&lt;=Assumptions!$D$15,IF(X25&gt;=Assumptions!$D$33,TREND(M$32:M$33,$J$32:$J$33,$X25),0),0),0)</f>
        <v>0.13636259772603876</v>
      </c>
      <c r="AA25" s="64">
        <f>IF(X25&gt;=(Assumptions!$D$33),IF(X25&lt;=Assumptions!$D$15,IF(X25&gt;=Assumptions!$D$33,TREND($N$32:$N$33,$J$32:$J$33,$X25),0),0),0)</f>
        <v>0.10227194829452912</v>
      </c>
      <c r="AB25" s="64">
        <f>IF(X25&gt;=(Assumptions!$D$33),IF(X25&lt;=Assumptions!$D$15,IF(X25&gt;=Assumptions!$D$33,TREND($O$32:$O$33,$J$32:$J$33,$X25),0),0),0)</f>
        <v>0.4090877931781165</v>
      </c>
      <c r="AC25" s="64">
        <f>IF(X25&gt;=(Assumptions!$D$33),IF(X25&lt;=Assumptions!$D$15,IF(X25&gt;=Assumptions!$D$33,TREND($P$32:$P$33,$J$32:$J$33,X$10),0),0),0)</f>
        <v>0.92477003326289342</v>
      </c>
      <c r="AD25" s="74">
        <f t="shared" si="4"/>
        <v>1335290.0741226505</v>
      </c>
      <c r="AE25" s="66">
        <f>IF(X25&gt;=(Assumptions!$D$33),IF(X25&lt;=Assumptions!$D$15,IF(X25&gt;=Assumptions!$D$33,TREND($L$39:$L$40,$J$39:$J$40,X25),0),0),0)</f>
        <v>4.147609689809556E-2</v>
      </c>
      <c r="AF25" s="64">
        <f>IF(X25&gt;=(Assumptions!$D$33),IF(X25&lt;=Assumptions!$D$15,IF(X25&gt;=Assumptions!$D$33,TREND($M$39:$M$40,$J$39:$J$40,X25),0),0),0)</f>
        <v>0.28144362367106091</v>
      </c>
      <c r="AG25" s="64">
        <f>IF(X25&gt;=(Assumptions!$D$33),IF(X25&lt;=Assumptions!$D$15,IF(X25&gt;=Assumptions!$D$33,TREND($N$39:$N$40,$J$39:$J$40,X25),0),0),0)</f>
        <v>4.147609689809556E-2</v>
      </c>
      <c r="AH25" s="64">
        <f>IF(X25&gt;=(Assumptions!$D$33),IF(X25&lt;=Assumptions!$D$15,IF(X25&gt;=Assumptions!$D$33,TREND($O$39:$O$40,$J$39:$J$40,X25),0),0),0)</f>
        <v>0.12442829069428663</v>
      </c>
      <c r="AI25" s="64">
        <f>IF(X25&gt;=(Assumptions!$D$33),IF(X25&lt;=Assumptions!$D$15,IF(X25&gt;=Assumptions!$D$33,TREND($P$39:$P$40,$J$39:$J$40,X25),0),0),0)</f>
        <v>1.573122505947687</v>
      </c>
      <c r="AJ25" s="74">
        <f t="shared" si="5"/>
        <v>670671.56717163685</v>
      </c>
      <c r="AK25" s="29"/>
      <c r="AL25" s="29"/>
      <c r="AM25" s="29"/>
      <c r="AN25" s="29"/>
      <c r="AO25" s="29"/>
      <c r="AP25" s="29"/>
    </row>
    <row r="26" spans="1:42" x14ac:dyDescent="0.25">
      <c r="B26" s="85">
        <f t="shared" si="3"/>
        <v>2046</v>
      </c>
      <c r="C26" s="142">
        <f t="shared" si="0"/>
        <v>0</v>
      </c>
      <c r="D26" s="142">
        <f t="shared" si="1"/>
        <v>0</v>
      </c>
      <c r="E26" s="143">
        <f t="shared" si="2"/>
        <v>0</v>
      </c>
      <c r="F26" s="144">
        <f>E26*(1+0.07)^-(B26-Assumptions!$D$11)</f>
        <v>0</v>
      </c>
      <c r="G26" s="29"/>
      <c r="H26" s="702"/>
      <c r="I26" s="702"/>
      <c r="J26" s="702"/>
      <c r="K26" s="702"/>
      <c r="L26" s="702"/>
      <c r="M26" s="702"/>
      <c r="N26" s="702"/>
      <c r="O26" s="702"/>
      <c r="X26" s="85">
        <v>2032</v>
      </c>
      <c r="Y26" s="66">
        <f>IF(X26&gt;=(Assumptions!$D$33),IF(X26&lt;=Assumptions!$D$15,IF(X26&gt;=Assumptions!$D$33,TREND(L$32:L$33,$J$32:$J$33,$X26),0),0),0)</f>
        <v>0.10271235381350086</v>
      </c>
      <c r="Z26" s="64">
        <f>IF(X26&gt;=(Assumptions!$D$33),IF(X26&lt;=Assumptions!$D$15,IF(X26&gt;=Assumptions!$D$33,TREND(M$32:M$33,$J$32:$J$33,$X26),0),0),0)</f>
        <v>0.13694980508466759</v>
      </c>
      <c r="AA26" s="64">
        <f>IF(X26&gt;=(Assumptions!$D$33),IF(X26&lt;=Assumptions!$D$15,IF(X26&gt;=Assumptions!$D$33,TREND($N$32:$N$33,$J$32:$J$33,$X26),0),0),0)</f>
        <v>0.10271235381350086</v>
      </c>
      <c r="AB26" s="64">
        <f>IF(X26&gt;=(Assumptions!$D$33),IF(X26&lt;=Assumptions!$D$15,IF(X26&gt;=Assumptions!$D$33,TREND($O$32:$O$33,$J$32:$J$33,$X26),0),0),0)</f>
        <v>0.41084941525400342</v>
      </c>
      <c r="AC26" s="64">
        <f>IF(X26&gt;=(Assumptions!$D$33),IF(X26&lt;=Assumptions!$D$15,IF(X26&gt;=Assumptions!$D$33,TREND($P$32:$P$33,$J$32:$J$33,X$10),0),0),0)</f>
        <v>0.92477003326289342</v>
      </c>
      <c r="AD26" s="74">
        <f t="shared" si="4"/>
        <v>1341024.1980202137</v>
      </c>
      <c r="AE26" s="66">
        <f>IF(X26&gt;=(Assumptions!$D$33),IF(X26&lt;=Assumptions!$D$15,IF(X26&gt;=Assumptions!$D$33,TREND($L$39:$L$40,$J$39:$J$40,X26),0),0),0)</f>
        <v>4.1654702100049068E-2</v>
      </c>
      <c r="AF26" s="64">
        <f>IF(X26&gt;=(Assumptions!$D$33),IF(X26&lt;=Assumptions!$D$15,IF(X26&gt;=Assumptions!$D$33,TREND($M$39:$M$40,$J$39:$J$40,X26),0),0),0)</f>
        <v>0.28265558185911832</v>
      </c>
      <c r="AG26" s="64">
        <f>IF(X26&gt;=(Assumptions!$D$33),IF(X26&lt;=Assumptions!$D$15,IF(X26&gt;=Assumptions!$D$33,TREND($N$39:$N$40,$J$39:$J$40,X26),0),0),0)</f>
        <v>4.1654702100049068E-2</v>
      </c>
      <c r="AH26" s="64">
        <f>IF(X26&gt;=(Assumptions!$D$33),IF(X26&lt;=Assumptions!$D$15,IF(X26&gt;=Assumptions!$D$33,TREND($O$39:$O$40,$J$39:$J$40,X26),0),0),0)</f>
        <v>0.1249641063001472</v>
      </c>
      <c r="AI26" s="64">
        <f>IF(X26&gt;=(Assumptions!$D$33),IF(X26&lt;=Assumptions!$D$15,IF(X26&gt;=Assumptions!$D$33,TREND($P$39:$P$40,$J$39:$J$40,X26),0),0),0)</f>
        <v>1.579896717695787</v>
      </c>
      <c r="AJ26" s="74">
        <f t="shared" si="5"/>
        <v>673559.62655180169</v>
      </c>
      <c r="AK26" s="29"/>
      <c r="AL26" s="29"/>
      <c r="AM26" s="29"/>
      <c r="AN26" s="29"/>
      <c r="AO26" s="29"/>
      <c r="AP26" s="29"/>
    </row>
    <row r="27" spans="1:42" x14ac:dyDescent="0.25">
      <c r="B27" s="85">
        <f t="shared" si="3"/>
        <v>2047</v>
      </c>
      <c r="C27" s="142">
        <f t="shared" si="0"/>
        <v>0</v>
      </c>
      <c r="D27" s="142">
        <f t="shared" si="1"/>
        <v>0</v>
      </c>
      <c r="E27" s="143">
        <f t="shared" si="2"/>
        <v>0</v>
      </c>
      <c r="F27" s="144">
        <f>E27*(1+0.07)^-(B27-Assumptions!$D$11)</f>
        <v>0</v>
      </c>
      <c r="G27" s="268"/>
      <c r="V27" s="110"/>
      <c r="X27" s="85">
        <v>2033</v>
      </c>
      <c r="Y27" s="66">
        <f>IF(X27&gt;=(Assumptions!$D$33),IF(X27&lt;=Assumptions!$D$15,IF(X27&gt;=Assumptions!$D$33,TREND(L$32:L$33,$J$32:$J$33,$X27),0),0),0)</f>
        <v>0.10315275933247248</v>
      </c>
      <c r="Z27" s="64">
        <f>IF(X27&gt;=(Assumptions!$D$33),IF(X27&lt;=Assumptions!$D$15,IF(X27&gt;=Assumptions!$D$33,TREND(M$32:M$33,$J$32:$J$33,$X27),0),0),0)</f>
        <v>0.13753701244329664</v>
      </c>
      <c r="AA27" s="64">
        <f>IF(X27&gt;=(Assumptions!$D$33),IF(X27&lt;=Assumptions!$D$15,IF(X27&gt;=Assumptions!$D$33,TREND($N$32:$N$33,$J$32:$J$33,$X27),0),0),0)</f>
        <v>0.10315275933247248</v>
      </c>
      <c r="AB27" s="64">
        <f>IF(X27&gt;=(Assumptions!$D$33),IF(X27&lt;=Assumptions!$D$15,IF(X27&gt;=Assumptions!$D$33,TREND($O$32:$O$33,$J$32:$J$33,$X27),0),0),0)</f>
        <v>0.41261103732988991</v>
      </c>
      <c r="AC27" s="64">
        <f>IF(X27&gt;=(Assumptions!$D$33),IF(X27&lt;=Assumptions!$D$15,IF(X27&gt;=Assumptions!$D$33,TREND($P$32:$P$33,$J$32:$J$33,X$10),0),0),0)</f>
        <v>0.92477003326289342</v>
      </c>
      <c r="AD27" s="74">
        <f t="shared" si="4"/>
        <v>1346758.3219177763</v>
      </c>
      <c r="AE27" s="66">
        <f>IF(X27&gt;=(Assumptions!$D$33),IF(X27&lt;=Assumptions!$D$15,IF(X27&gt;=Assumptions!$D$33,TREND($L$39:$L$40,$J$39:$J$40,X27),0),0),0)</f>
        <v>4.1833307302002576E-2</v>
      </c>
      <c r="AF27" s="64">
        <f>IF(X27&gt;=(Assumptions!$D$33),IF(X27&lt;=Assumptions!$D$15,IF(X27&gt;=Assumptions!$D$33,TREND($M$39:$M$40,$J$39:$J$40,X27),0),0),0)</f>
        <v>0.28386754004717529</v>
      </c>
      <c r="AG27" s="64">
        <f>IF(X27&gt;=(Assumptions!$D$33),IF(X27&lt;=Assumptions!$D$15,IF(X27&gt;=Assumptions!$D$33,TREND($N$39:$N$40,$J$39:$J$40,X27),0),0),0)</f>
        <v>4.1833307302002576E-2</v>
      </c>
      <c r="AH27" s="64">
        <f>IF(X27&gt;=(Assumptions!$D$33),IF(X27&lt;=Assumptions!$D$15,IF(X27&gt;=Assumptions!$D$33,TREND($O$39:$O$40,$J$39:$J$40,X27),0),0),0)</f>
        <v>0.12549992190600778</v>
      </c>
      <c r="AI27" s="64">
        <f>IF(X27&gt;=(Assumptions!$D$33),IF(X27&lt;=Assumptions!$D$15,IF(X27&gt;=Assumptions!$D$33,TREND($P$39:$P$40,$J$39:$J$40,X27),0),0),0)</f>
        <v>1.586670929443887</v>
      </c>
      <c r="AJ27" s="74">
        <f t="shared" si="5"/>
        <v>676447.68593196629</v>
      </c>
      <c r="AK27" s="29"/>
      <c r="AL27" s="29"/>
      <c r="AM27" s="29"/>
      <c r="AN27" s="29"/>
      <c r="AO27" s="29"/>
      <c r="AP27" s="29"/>
    </row>
    <row r="28" spans="1:42" x14ac:dyDescent="0.25">
      <c r="B28" s="85">
        <f t="shared" si="3"/>
        <v>2048</v>
      </c>
      <c r="C28" s="142">
        <f t="shared" si="0"/>
        <v>0</v>
      </c>
      <c r="D28" s="142">
        <f t="shared" si="1"/>
        <v>0</v>
      </c>
      <c r="E28" s="143">
        <f t="shared" si="2"/>
        <v>0</v>
      </c>
      <c r="F28" s="144">
        <f>E28*(1+0.07)^-(B28-Assumptions!$D$11)</f>
        <v>0</v>
      </c>
      <c r="G28" s="268"/>
      <c r="H28" s="1" t="s">
        <v>810</v>
      </c>
      <c r="J28" s="3"/>
      <c r="P28" s="110"/>
      <c r="Q28" s="110"/>
      <c r="R28" s="110"/>
      <c r="S28" s="110"/>
      <c r="T28" s="110"/>
      <c r="U28" s="110"/>
      <c r="V28" s="110"/>
      <c r="X28" s="85">
        <v>2034</v>
      </c>
      <c r="Y28" s="66">
        <f>IF(X28&gt;=(Assumptions!$D$33),IF(X28&lt;=Assumptions!$D$15,IF(X28&gt;=Assumptions!$D$33,TREND(L$32:L$33,$J$32:$J$33,$X28),0),0),0)</f>
        <v>0.1035931648514441</v>
      </c>
      <c r="Z28" s="64">
        <f>IF(X28&gt;=(Assumptions!$D$33),IF(X28&lt;=Assumptions!$D$15,IF(X28&gt;=Assumptions!$D$33,TREND(M$32:M$33,$J$32:$J$33,$X28),0),0),0)</f>
        <v>0.13812421980192546</v>
      </c>
      <c r="AA28" s="64">
        <f>IF(X28&gt;=(Assumptions!$D$33),IF(X28&lt;=Assumptions!$D$15,IF(X28&gt;=Assumptions!$D$33,TREND($N$32:$N$33,$J$32:$J$33,$X28),0),0),0)</f>
        <v>0.1035931648514441</v>
      </c>
      <c r="AB28" s="64">
        <f>IF(X28&gt;=(Assumptions!$D$33),IF(X28&lt;=Assumptions!$D$15,IF(X28&gt;=Assumptions!$D$33,TREND($O$32:$O$33,$J$32:$J$33,$X28),0),0),0)</f>
        <v>0.41437265940577639</v>
      </c>
      <c r="AC28" s="64">
        <f>IF(X28&gt;=(Assumptions!$D$33),IF(X28&lt;=Assumptions!$D$15,IF(X28&gt;=Assumptions!$D$33,TREND($P$32:$P$33,$J$32:$J$33,X$10),0),0),0)</f>
        <v>0.92477003326289342</v>
      </c>
      <c r="AD28" s="74">
        <f t="shared" si="4"/>
        <v>1352492.4458153388</v>
      </c>
      <c r="AE28" s="66">
        <f>IF(X28&gt;=(Assumptions!$D$33),IF(X28&lt;=Assumptions!$D$15,IF(X28&gt;=Assumptions!$D$33,TREND($L$39:$L$40,$J$39:$J$40,X28),0),0),0)</f>
        <v>4.2011912503956084E-2</v>
      </c>
      <c r="AF28" s="64">
        <f>IF(X28&gt;=(Assumptions!$D$33),IF(X28&lt;=Assumptions!$D$15,IF(X28&gt;=Assumptions!$D$33,TREND($M$39:$M$40,$J$39:$J$40,X28),0),0),0)</f>
        <v>0.28507949823523271</v>
      </c>
      <c r="AG28" s="64">
        <f>IF(X28&gt;=(Assumptions!$D$33),IF(X28&lt;=Assumptions!$D$15,IF(X28&gt;=Assumptions!$D$33,TREND($N$39:$N$40,$J$39:$J$40,X28),0),0),0)</f>
        <v>4.2011912503956084E-2</v>
      </c>
      <c r="AH28" s="64">
        <f>IF(X28&gt;=(Assumptions!$D$33),IF(X28&lt;=Assumptions!$D$15,IF(X28&gt;=Assumptions!$D$33,TREND($O$39:$O$40,$J$39:$J$40,X28),0),0),0)</f>
        <v>0.12603573751186836</v>
      </c>
      <c r="AI28" s="64">
        <f>IF(X28&gt;=(Assumptions!$D$33),IF(X28&lt;=Assumptions!$D$15,IF(X28&gt;=Assumptions!$D$33,TREND($P$39:$P$40,$J$39:$J$40,X28),0),0),0)</f>
        <v>1.593445141191987</v>
      </c>
      <c r="AJ28" s="74">
        <f t="shared" si="5"/>
        <v>679335.74531213124</v>
      </c>
      <c r="AK28" s="29"/>
      <c r="AL28" s="29"/>
      <c r="AM28" s="29"/>
      <c r="AN28" s="29"/>
      <c r="AO28" s="29"/>
      <c r="AP28" s="29"/>
    </row>
    <row r="29" spans="1:42" ht="15" customHeight="1" x14ac:dyDescent="0.25">
      <c r="B29" s="85">
        <f t="shared" si="3"/>
        <v>2049</v>
      </c>
      <c r="C29" s="142">
        <f t="shared" si="0"/>
        <v>0</v>
      </c>
      <c r="D29" s="142">
        <f t="shared" si="1"/>
        <v>0</v>
      </c>
      <c r="E29" s="143">
        <f t="shared" si="2"/>
        <v>0</v>
      </c>
      <c r="F29" s="144">
        <f>E29*(1+0.07)^-(B29-Assumptions!$D$11)</f>
        <v>0</v>
      </c>
      <c r="G29" s="268"/>
      <c r="H29" s="34" t="s">
        <v>84</v>
      </c>
      <c r="I29" s="34" t="s">
        <v>219</v>
      </c>
      <c r="J29" s="34" t="s">
        <v>30</v>
      </c>
      <c r="K29" s="34" t="s">
        <v>46</v>
      </c>
      <c r="L29" s="34" t="s">
        <v>17</v>
      </c>
      <c r="M29" s="34" t="s">
        <v>18</v>
      </c>
      <c r="N29" s="34" t="s">
        <v>19</v>
      </c>
      <c r="O29" s="34" t="s">
        <v>20</v>
      </c>
      <c r="P29" s="34" t="s">
        <v>73</v>
      </c>
      <c r="Q29" s="87"/>
      <c r="R29" s="2"/>
      <c r="S29" s="3"/>
      <c r="T29" s="3"/>
      <c r="V29" s="110"/>
      <c r="X29" s="85">
        <v>2035</v>
      </c>
      <c r="Y29" s="66">
        <f>IF(X29&gt;=(Assumptions!$D$33),IF(X29&lt;=Assumptions!$D$15,IF(X29&gt;=Assumptions!$D$33,TREND(L$32:L$33,$J$32:$J$33,$X29),0),0),0)</f>
        <v>0.10403357037041583</v>
      </c>
      <c r="Z29" s="64">
        <f>IF(X29&gt;=(Assumptions!$D$33),IF(X29&lt;=Assumptions!$D$15,IF(X29&gt;=Assumptions!$D$33,TREND(M$32:M$33,$J$32:$J$33,$X29),0),0),0)</f>
        <v>0.13871142716055429</v>
      </c>
      <c r="AA29" s="64">
        <f>IF(X29&gt;=(Assumptions!$D$33),IF(X29&lt;=Assumptions!$D$15,IF(X29&gt;=Assumptions!$D$33,TREND($N$32:$N$33,$J$32:$J$33,$X29),0),0),0)</f>
        <v>0.10403357037041583</v>
      </c>
      <c r="AB29" s="64">
        <f>IF(X29&gt;=(Assumptions!$D$33),IF(X29&lt;=Assumptions!$D$15,IF(X29&gt;=Assumptions!$D$33,TREND($O$32:$O$33,$J$32:$J$33,$X29),0),0),0)</f>
        <v>0.41613428148166332</v>
      </c>
      <c r="AC29" s="64">
        <f>IF(X29&gt;=(Assumptions!$D$33),IF(X29&lt;=Assumptions!$D$15,IF(X29&gt;=Assumptions!$D$33,TREND($P$32:$P$33,$J$32:$J$33,X$10),0),0),0)</f>
        <v>0.92477003326289342</v>
      </c>
      <c r="AD29" s="74">
        <f t="shared" si="4"/>
        <v>1358226.5697129029</v>
      </c>
      <c r="AE29" s="66">
        <f>IF(X29&gt;=(Assumptions!$D$33),IF(X29&lt;=Assumptions!$D$15,IF(X29&gt;=Assumptions!$D$33,TREND($L$39:$L$40,$J$39:$J$40,X29),0),0),0)</f>
        <v>4.2190517705909647E-2</v>
      </c>
      <c r="AF29" s="64">
        <f>IF(X29&gt;=(Assumptions!$D$33),IF(X29&lt;=Assumptions!$D$15,IF(X29&gt;=Assumptions!$D$33,TREND($M$39:$M$40,$J$39:$J$40,X29),0),0),0)</f>
        <v>0.28629145642328968</v>
      </c>
      <c r="AG29" s="64">
        <f>IF(X29&gt;=(Assumptions!$D$33),IF(X29&lt;=Assumptions!$D$15,IF(X29&gt;=Assumptions!$D$33,TREND($N$39:$N$40,$J$39:$J$40,X29),0),0),0)</f>
        <v>4.2190517705909647E-2</v>
      </c>
      <c r="AH29" s="64">
        <f>IF(X29&gt;=(Assumptions!$D$33),IF(X29&lt;=Assumptions!$D$15,IF(X29&gt;=Assumptions!$D$33,TREND($O$39:$O$40,$J$39:$J$40,X29),0),0),0)</f>
        <v>0.12657155311772894</v>
      </c>
      <c r="AI29" s="64">
        <f>IF(X29&gt;=(Assumptions!$D$33),IF(X29&lt;=Assumptions!$D$15,IF(X29&gt;=Assumptions!$D$33,TREND($P$39:$P$40,$J$39:$J$40,X29),0),0),0)</f>
        <v>1.600219352940087</v>
      </c>
      <c r="AJ29" s="74">
        <f t="shared" si="5"/>
        <v>682223.80469229666</v>
      </c>
      <c r="AK29" s="29"/>
      <c r="AL29" s="29"/>
      <c r="AM29" s="29"/>
      <c r="AN29" s="29"/>
      <c r="AO29" s="29"/>
      <c r="AP29" s="29"/>
    </row>
    <row r="30" spans="1:42" ht="15.75" customHeight="1" x14ac:dyDescent="0.25">
      <c r="B30" s="85">
        <f t="shared" si="3"/>
        <v>2050</v>
      </c>
      <c r="C30" s="142">
        <f t="shared" si="0"/>
        <v>0</v>
      </c>
      <c r="D30" s="142">
        <f t="shared" si="1"/>
        <v>0</v>
      </c>
      <c r="E30" s="143">
        <f t="shared" si="2"/>
        <v>0</v>
      </c>
      <c r="F30" s="144">
        <f>E30*(1+0.07)^-(B30-Assumptions!$D$11)</f>
        <v>0</v>
      </c>
      <c r="G30" s="29"/>
      <c r="H30" s="269" t="s">
        <v>76</v>
      </c>
      <c r="I30" s="257">
        <v>26</v>
      </c>
      <c r="J30" s="256">
        <v>2021</v>
      </c>
      <c r="K30" s="260">
        <f>$I$11*Assumptions!$D$20</f>
        <v>520.44642857142856</v>
      </c>
      <c r="L30" s="259">
        <f>$K$30*$I$30*L16*365</f>
        <v>0</v>
      </c>
      <c r="M30" s="259">
        <f>$K$30*$I$30*M16*365</f>
        <v>0</v>
      </c>
      <c r="N30" s="259">
        <f>$K$30*$I$30*N16*365</f>
        <v>0</v>
      </c>
      <c r="O30" s="259">
        <f>$K$30*$I$30*O16*365</f>
        <v>0</v>
      </c>
      <c r="P30" s="259">
        <f>$K$30*$I$30*P16*365</f>
        <v>0</v>
      </c>
      <c r="Q30" s="87"/>
      <c r="R30" s="2"/>
      <c r="S30" s="3"/>
      <c r="T30" s="3"/>
      <c r="X30" s="85">
        <v>2036</v>
      </c>
      <c r="Y30" s="66">
        <f>IF(X30&gt;=(Assumptions!$D$33),IF(X30&lt;=Assumptions!$D$15,IF(X30&gt;=Assumptions!$D$33,TREND(L$32:L$33,$J$32:$J$33,$X30),0),0),0)</f>
        <v>0.10447397588938745</v>
      </c>
      <c r="Z30" s="64">
        <f>IF(X30&gt;=(Assumptions!$D$33),IF(X30&lt;=Assumptions!$D$15,IF(X30&gt;=Assumptions!$D$33,TREND(M$32:M$33,$J$32:$J$33,$X30),0),0),0)</f>
        <v>0.13929863451918312</v>
      </c>
      <c r="AA30" s="64">
        <f>IF(X30&gt;=(Assumptions!$D$33),IF(X30&lt;=Assumptions!$D$15,IF(X30&gt;=Assumptions!$D$33,TREND($N$32:$N$33,$J$32:$J$33,$X30),0),0),0)</f>
        <v>0.10447397588938745</v>
      </c>
      <c r="AB30" s="64">
        <f>IF(X30&gt;=(Assumptions!$D$33),IF(X30&lt;=Assumptions!$D$15,IF(X30&gt;=Assumptions!$D$33,TREND($O$32:$O$33,$J$32:$J$33,$X30),0),0),0)</f>
        <v>0.4178959035575498</v>
      </c>
      <c r="AC30" s="64">
        <f>IF(X30&gt;=(Assumptions!$D$33),IF(X30&lt;=Assumptions!$D$15,IF(X30&gt;=Assumptions!$D$33,TREND($P$32:$P$33,$J$32:$J$33,X$10),0),0),0)</f>
        <v>0.92477003326289342</v>
      </c>
      <c r="AD30" s="74">
        <f t="shared" si="4"/>
        <v>1363960.6936104652</v>
      </c>
      <c r="AE30" s="66">
        <f>IF(X30&gt;=(Assumptions!$D$33),IF(X30&lt;=Assumptions!$D$15,IF(X30&gt;=Assumptions!$D$33,TREND($L$39:$L$40,$J$39:$J$40,X30),0),0),0)</f>
        <v>4.2369122907863155E-2</v>
      </c>
      <c r="AF30" s="64">
        <f>IF(X30&gt;=(Assumptions!$D$33),IF(X30&lt;=Assumptions!$D$15,IF(X30&gt;=Assumptions!$D$33,TREND($M$39:$M$40,$J$39:$J$40,X30),0),0),0)</f>
        <v>0.2875034146113471</v>
      </c>
      <c r="AG30" s="64">
        <f>IF(X30&gt;=(Assumptions!$D$33),IF(X30&lt;=Assumptions!$D$15,IF(X30&gt;=Assumptions!$D$33,TREND($N$39:$N$40,$J$39:$J$40,X30),0),0),0)</f>
        <v>4.2369122907863155E-2</v>
      </c>
      <c r="AH30" s="64">
        <f>IF(X30&gt;=(Assumptions!$D$33),IF(X30&lt;=Assumptions!$D$15,IF(X30&gt;=Assumptions!$D$33,TREND($O$39:$O$40,$J$39:$J$40,X30),0),0),0)</f>
        <v>0.12710736872358952</v>
      </c>
      <c r="AI30" s="64">
        <f>IF(X30&gt;=(Assumptions!$D$33),IF(X30&lt;=Assumptions!$D$15,IF(X30&gt;=Assumptions!$D$33,TREND($P$39:$P$40,$J$39:$J$40,X30),0),0),0)</f>
        <v>1.606993564688187</v>
      </c>
      <c r="AJ30" s="74">
        <f t="shared" si="5"/>
        <v>685111.8640724615</v>
      </c>
      <c r="AK30" s="29"/>
      <c r="AL30" s="29"/>
      <c r="AM30" s="29"/>
      <c r="AN30" s="29"/>
      <c r="AO30" s="29"/>
      <c r="AP30" s="29"/>
    </row>
    <row r="31" spans="1:42" ht="15" customHeight="1" thickBot="1" x14ac:dyDescent="0.3">
      <c r="B31" s="85">
        <f t="shared" si="3"/>
        <v>2051</v>
      </c>
      <c r="C31" s="142">
        <f t="shared" si="0"/>
        <v>0</v>
      </c>
      <c r="D31" s="142">
        <f t="shared" si="1"/>
        <v>0</v>
      </c>
      <c r="E31" s="143">
        <f t="shared" si="2"/>
        <v>0</v>
      </c>
      <c r="F31" s="144">
        <f>E31*(1+0.07)^-(B31-Assumptions!$D$11)</f>
        <v>0</v>
      </c>
      <c r="G31" s="268"/>
      <c r="H31" s="273" t="s">
        <v>77</v>
      </c>
      <c r="I31" s="277">
        <v>127</v>
      </c>
      <c r="J31" s="274">
        <v>2021</v>
      </c>
      <c r="K31" s="275">
        <f>$I$11*Assumptions!$D$19</f>
        <v>149.55357142857144</v>
      </c>
      <c r="L31" s="264">
        <f>$K$31*$I$31*L17*365</f>
        <v>9.7867893104812614E-2</v>
      </c>
      <c r="M31" s="264">
        <f>$K$31*$I$31*M17*365</f>
        <v>0.13049052413975018</v>
      </c>
      <c r="N31" s="264">
        <f>$K$31*$I$31*N17*365</f>
        <v>9.7867893104812614E-2</v>
      </c>
      <c r="O31" s="264">
        <f>$K$31*$I$31*O17*365</f>
        <v>0.39147157241925046</v>
      </c>
      <c r="P31" s="264">
        <f>$K$31*$I$31*P17*365</f>
        <v>0.94605630001318841</v>
      </c>
      <c r="V31" s="110"/>
      <c r="X31" s="85">
        <v>2037</v>
      </c>
      <c r="Y31" s="66">
        <f>IF(X31&gt;=(Assumptions!$D$33),IF(X31&lt;=Assumptions!$D$15,IF(X31&gt;=Assumptions!$D$33,TREND(L$32:L$33,$J$32:$J$33,$X31),0),0),0)</f>
        <v>0.10491438140835907</v>
      </c>
      <c r="Z31" s="64">
        <f>IF(X31&gt;=(Assumptions!$D$33),IF(X31&lt;=Assumptions!$D$15,IF(X31&gt;=Assumptions!$D$33,TREND(M$32:M$33,$J$32:$J$33,$X31),0),0),0)</f>
        <v>0.13988584187781217</v>
      </c>
      <c r="AA31" s="64">
        <f>IF(X31&gt;=(Assumptions!$D$33),IF(X31&lt;=Assumptions!$D$15,IF(X31&gt;=Assumptions!$D$33,TREND($N$32:$N$33,$J$32:$J$33,$X31),0),0),0)</f>
        <v>0.10491438140835907</v>
      </c>
      <c r="AB31" s="64">
        <f>IF(X31&gt;=(Assumptions!$D$33),IF(X31&lt;=Assumptions!$D$15,IF(X31&gt;=Assumptions!$D$33,TREND($O$32:$O$33,$J$32:$J$33,$X31),0),0),0)</f>
        <v>0.41965752563343628</v>
      </c>
      <c r="AC31" s="64">
        <f>IF(X31&gt;=(Assumptions!$D$33),IF(X31&lt;=Assumptions!$D$15,IF(X31&gt;=Assumptions!$D$33,TREND($P$32:$P$33,$J$32:$J$33,X$10),0),0),0)</f>
        <v>0.92477003326289342</v>
      </c>
      <c r="AD31" s="74">
        <f t="shared" si="4"/>
        <v>1369694.8175080274</v>
      </c>
      <c r="AE31" s="66">
        <f>IF(X31&gt;=(Assumptions!$D$33),IF(X31&lt;=Assumptions!$D$15,IF(X31&gt;=Assumptions!$D$33,TREND($L$39:$L$40,$J$39:$J$40,X31),0),0),0)</f>
        <v>4.2547728109816663E-2</v>
      </c>
      <c r="AF31" s="64">
        <f>IF(X31&gt;=(Assumptions!$D$33),IF(X31&lt;=Assumptions!$D$15,IF(X31&gt;=Assumptions!$D$33,TREND($M$39:$M$40,$J$39:$J$40,X31),0),0),0)</f>
        <v>0.28871537279940407</v>
      </c>
      <c r="AG31" s="64">
        <f>IF(X31&gt;=(Assumptions!$D$33),IF(X31&lt;=Assumptions!$D$15,IF(X31&gt;=Assumptions!$D$33,TREND($N$39:$N$40,$J$39:$J$40,X31),0),0),0)</f>
        <v>4.2547728109816663E-2</v>
      </c>
      <c r="AH31" s="64">
        <f>IF(X31&gt;=(Assumptions!$D$33),IF(X31&lt;=Assumptions!$D$15,IF(X31&gt;=Assumptions!$D$33,TREND($O$39:$O$40,$J$39:$J$40,X31),0),0),0)</f>
        <v>0.1276431843294501</v>
      </c>
      <c r="AI31" s="64">
        <f>IF(X31&gt;=(Assumptions!$D$33),IF(X31&lt;=Assumptions!$D$15,IF(X31&gt;=Assumptions!$D$33,TREND($P$39:$P$40,$J$39:$J$40,X31),0),0),0)</f>
        <v>1.613767776436287</v>
      </c>
      <c r="AJ31" s="74">
        <f t="shared" si="5"/>
        <v>687999.9234526261</v>
      </c>
      <c r="AK31" s="29"/>
      <c r="AL31" s="29"/>
      <c r="AM31" s="29"/>
      <c r="AN31" s="29"/>
      <c r="AO31" s="29"/>
      <c r="AP31" s="29"/>
    </row>
    <row r="32" spans="1:42" ht="15" customHeight="1" thickTop="1" x14ac:dyDescent="0.25">
      <c r="A32" s="2"/>
      <c r="B32" s="85">
        <f t="shared" si="3"/>
        <v>2052</v>
      </c>
      <c r="C32" s="142">
        <f t="shared" si="0"/>
        <v>0</v>
      </c>
      <c r="D32" s="142">
        <f t="shared" si="1"/>
        <v>0</v>
      </c>
      <c r="E32" s="143">
        <f t="shared" si="2"/>
        <v>0</v>
      </c>
      <c r="F32" s="144">
        <f>E32*(1+0.07)^-(B32-Assumptions!$D$11)</f>
        <v>0</v>
      </c>
      <c r="G32" s="29"/>
      <c r="H32" s="262" t="s">
        <v>4</v>
      </c>
      <c r="I32" s="262" t="s">
        <v>66</v>
      </c>
      <c r="J32" s="262">
        <v>2021</v>
      </c>
      <c r="K32" s="276" t="s">
        <v>66</v>
      </c>
      <c r="L32" s="263">
        <f>SUM(L30:L31)</f>
        <v>9.7867893104812614E-2</v>
      </c>
      <c r="M32" s="263">
        <f>SUM(M30:M31)</f>
        <v>0.13049052413975018</v>
      </c>
      <c r="N32" s="263">
        <f>SUM(N30:N31)</f>
        <v>9.7867893104812614E-2</v>
      </c>
      <c r="O32" s="263">
        <f>SUM(O30:O31)</f>
        <v>0.39147157241925046</v>
      </c>
      <c r="P32" s="263">
        <f>SUM(P30:P31)</f>
        <v>0.94605630001318841</v>
      </c>
      <c r="X32" s="85">
        <v>2038</v>
      </c>
      <c r="Y32" s="66">
        <f>IF(X32&gt;=(Assumptions!$D$33),IF(X32&lt;=Assumptions!$D$15,IF(X32&gt;=Assumptions!$D$33,TREND(L$32:L$33,$J$32:$J$33,$X32),0),0),0)</f>
        <v>0.1053547869273308</v>
      </c>
      <c r="Z32" s="64">
        <f>IF(X32&gt;=(Assumptions!$D$33),IF(X32&lt;=Assumptions!$D$15,IF(X32&gt;=Assumptions!$D$33,TREND(M$32:M$33,$J$32:$J$33,$X32),0),0),0)</f>
        <v>0.14047304923644099</v>
      </c>
      <c r="AA32" s="64">
        <f>IF(X32&gt;=(Assumptions!$D$33),IF(X32&lt;=Assumptions!$D$15,IF(X32&gt;=Assumptions!$D$33,TREND($N$32:$N$33,$J$32:$J$33,$X32),0),0),0)</f>
        <v>0.1053547869273308</v>
      </c>
      <c r="AB32" s="64">
        <f>IF(X32&gt;=(Assumptions!$D$33),IF(X32&lt;=Assumptions!$D$15,IF(X32&gt;=Assumptions!$D$33,TREND($O$32:$O$33,$J$32:$J$33,$X32),0),0),0)</f>
        <v>0.42141914770932321</v>
      </c>
      <c r="AC32" s="64">
        <f>IF(X32&gt;=(Assumptions!$D$33),IF(X32&lt;=Assumptions!$D$15,IF(X32&gt;=Assumptions!$D$33,TREND($P$32:$P$33,$J$32:$J$33,X$10),0),0),0)</f>
        <v>0.92477003326289342</v>
      </c>
      <c r="AD32" s="74">
        <f t="shared" si="4"/>
        <v>1375428.9414055913</v>
      </c>
      <c r="AE32" s="66">
        <f>IF(X32&gt;=(Assumptions!$D$33),IF(X32&lt;=Assumptions!$D$15,IF(X32&gt;=Assumptions!$D$33,TREND($L$39:$L$40,$J$39:$J$40,X32),0),0),0)</f>
        <v>4.2726333311770226E-2</v>
      </c>
      <c r="AF32" s="64">
        <f>IF(X32&gt;=(Assumptions!$D$33),IF(X32&lt;=Assumptions!$D$15,IF(X32&gt;=Assumptions!$D$33,TREND($M$39:$M$40,$J$39:$J$40,X32),0),0),0)</f>
        <v>0.28992733098746148</v>
      </c>
      <c r="AG32" s="64">
        <f>IF(X32&gt;=(Assumptions!$D$33),IF(X32&lt;=Assumptions!$D$15,IF(X32&gt;=Assumptions!$D$33,TREND($N$39:$N$40,$J$39:$J$40,X32),0),0),0)</f>
        <v>4.2726333311770226E-2</v>
      </c>
      <c r="AH32" s="64">
        <f>IF(X32&gt;=(Assumptions!$D$33),IF(X32&lt;=Assumptions!$D$15,IF(X32&gt;=Assumptions!$D$33,TREND($O$39:$O$40,$J$39:$J$40,X32),0),0),0)</f>
        <v>0.12817899993531068</v>
      </c>
      <c r="AI32" s="64">
        <f>IF(X32&gt;=(Assumptions!$D$33),IF(X32&lt;=Assumptions!$D$15,IF(X32&gt;=Assumptions!$D$33,TREND($P$39:$P$40,$J$39:$J$40,X32),0),0),0)</f>
        <v>1.620541988184387</v>
      </c>
      <c r="AJ32" s="74">
        <f t="shared" si="5"/>
        <v>690887.98283279175</v>
      </c>
      <c r="AK32" s="29"/>
      <c r="AL32" s="29"/>
      <c r="AM32" s="29"/>
      <c r="AN32" s="29"/>
      <c r="AO32" s="29"/>
      <c r="AP32" s="29"/>
    </row>
    <row r="33" spans="1:42" ht="15" customHeight="1" x14ac:dyDescent="0.25">
      <c r="B33" s="85">
        <f t="shared" si="3"/>
        <v>2053</v>
      </c>
      <c r="C33" s="142">
        <f t="shared" si="0"/>
        <v>0</v>
      </c>
      <c r="D33" s="142">
        <f t="shared" si="1"/>
        <v>0</v>
      </c>
      <c r="E33" s="143">
        <f t="shared" si="2"/>
        <v>0</v>
      </c>
      <c r="F33" s="144">
        <f>E33*(1+0.07)^-(B33-Assumptions!$D$11)</f>
        <v>0</v>
      </c>
      <c r="G33" s="29"/>
      <c r="H33" s="24" t="s">
        <v>4</v>
      </c>
      <c r="I33" s="24" t="s">
        <v>66</v>
      </c>
      <c r="J33" s="24">
        <v>2045</v>
      </c>
      <c r="K33" s="72" t="s">
        <v>66</v>
      </c>
      <c r="L33" s="259">
        <f>L32*($I$12/$I$11)</f>
        <v>0.10843762556013238</v>
      </c>
      <c r="M33" s="259">
        <f>M32*($I$12/$I$11)</f>
        <v>0.1445835007468432</v>
      </c>
      <c r="N33" s="259">
        <f>N32*($I$12/$I$11)</f>
        <v>0.10843762556013238</v>
      </c>
      <c r="O33" s="259">
        <f>O32*($I$12/$I$11)</f>
        <v>0.43375050224052952</v>
      </c>
      <c r="P33" s="259">
        <f>P32*($I$12/$I$11)</f>
        <v>1.0482303804146129</v>
      </c>
      <c r="X33" s="85">
        <v>2039</v>
      </c>
      <c r="Y33" s="66">
        <f>IF(X33&gt;=(Assumptions!$D$33),IF(X33&lt;=Assumptions!$D$15,IF(X33&gt;=Assumptions!$D$33,TREND(L$32:L$33,$J$32:$J$33,$X33),0),0),0)</f>
        <v>0.10579519244630242</v>
      </c>
      <c r="Z33" s="64">
        <f>IF(X33&gt;=(Assumptions!$D$33),IF(X33&lt;=Assumptions!$D$15,IF(X33&gt;=Assumptions!$D$33,TREND(M$32:M$33,$J$32:$J$33,$X33),0),0),0)</f>
        <v>0.14106025659506982</v>
      </c>
      <c r="AA33" s="64">
        <f>IF(X33&gt;=(Assumptions!$D$33),IF(X33&lt;=Assumptions!$D$15,IF(X33&gt;=Assumptions!$D$33,TREND($N$32:$N$33,$J$32:$J$33,$X33),0),0),0)</f>
        <v>0.10579519244630242</v>
      </c>
      <c r="AB33" s="64">
        <f>IF(X33&gt;=(Assumptions!$D$33),IF(X33&lt;=Assumptions!$D$15,IF(X33&gt;=Assumptions!$D$33,TREND($O$32:$O$33,$J$32:$J$33,$X33),0),0),0)</f>
        <v>0.42318076978520969</v>
      </c>
      <c r="AC33" s="64">
        <f>IF(X33&gt;=(Assumptions!$D$33),IF(X33&lt;=Assumptions!$D$15,IF(X33&gt;=Assumptions!$D$33,TREND($P$32:$P$33,$J$32:$J$33,X$10),0),0),0)</f>
        <v>0.92477003326289342</v>
      </c>
      <c r="AD33" s="74">
        <f t="shared" si="4"/>
        <v>1381163.0653031538</v>
      </c>
      <c r="AE33" s="66">
        <f>IF(X33&gt;=(Assumptions!$D$33),IF(X33&lt;=Assumptions!$D$15,IF(X33&gt;=Assumptions!$D$33,TREND($L$39:$L$40,$J$39:$J$40,X33),0),0),0)</f>
        <v>4.2904938513723734E-2</v>
      </c>
      <c r="AF33" s="64">
        <f>IF(X33&gt;=(Assumptions!$D$33),IF(X33&lt;=Assumptions!$D$15,IF(X33&gt;=Assumptions!$D$33,TREND($M$39:$M$40,$J$39:$J$40,X33),0),0),0)</f>
        <v>0.29113928917551846</v>
      </c>
      <c r="AG33" s="64">
        <f>IF(X33&gt;=(Assumptions!$D$33),IF(X33&lt;=Assumptions!$D$15,IF(X33&gt;=Assumptions!$D$33,TREND($N$39:$N$40,$J$39:$J$40,X33),0),0),0)</f>
        <v>4.2904938513723734E-2</v>
      </c>
      <c r="AH33" s="64">
        <f>IF(X33&gt;=(Assumptions!$D$33),IF(X33&lt;=Assumptions!$D$15,IF(X33&gt;=Assumptions!$D$33,TREND($O$39:$O$40,$J$39:$J$40,X33),0),0),0)</f>
        <v>0.12871481554117126</v>
      </c>
      <c r="AI33" s="64">
        <f>IF(X33&gt;=(Assumptions!$D$33),IF(X33&lt;=Assumptions!$D$15,IF(X33&gt;=Assumptions!$D$33,TREND($P$39:$P$40,$J$39:$J$40,X33),0),0),0)</f>
        <v>1.6273161999324888</v>
      </c>
      <c r="AJ33" s="74">
        <f t="shared" si="5"/>
        <v>693776.04221295624</v>
      </c>
      <c r="AK33" s="29"/>
      <c r="AL33" s="29"/>
      <c r="AM33" s="29"/>
      <c r="AN33" s="29"/>
      <c r="AO33" s="29"/>
      <c r="AP33" s="29"/>
    </row>
    <row r="34" spans="1:42" ht="15" customHeight="1" x14ac:dyDescent="0.25">
      <c r="B34" s="85">
        <f t="shared" si="3"/>
        <v>2054</v>
      </c>
      <c r="C34" s="142">
        <f t="shared" si="0"/>
        <v>0</v>
      </c>
      <c r="D34" s="142">
        <f t="shared" si="1"/>
        <v>0</v>
      </c>
      <c r="E34" s="143">
        <f t="shared" si="2"/>
        <v>0</v>
      </c>
      <c r="F34" s="144">
        <f>E34*(1+0.07)^-(B34-Assumptions!$D$11)</f>
        <v>0</v>
      </c>
      <c r="G34" s="29"/>
      <c r="X34" s="85">
        <v>2040</v>
      </c>
      <c r="Y34" s="66">
        <f>IF(X34&gt;=(Assumptions!$D$33),IF(X34&lt;=Assumptions!$D$15,IF(X34&gt;=Assumptions!$D$33,TREND(L$32:L$33,$J$32:$J$33,$X34),0),0),0)</f>
        <v>0.10623559796527404</v>
      </c>
      <c r="Z34" s="64">
        <f>IF(X34&gt;=(Assumptions!$D$33),IF(X34&lt;=Assumptions!$D$15,IF(X34&gt;=Assumptions!$D$33,TREND(M$32:M$33,$J$32:$J$33,$X34),0),0),0)</f>
        <v>0.14164746395369865</v>
      </c>
      <c r="AA34" s="64">
        <f>IF(X34&gt;=(Assumptions!$D$33),IF(X34&lt;=Assumptions!$D$15,IF(X34&gt;=Assumptions!$D$33,TREND($N$32:$N$33,$J$32:$J$33,$X34),0),0),0)</f>
        <v>0.10623559796527404</v>
      </c>
      <c r="AB34" s="64">
        <f>IF(X34&gt;=(Assumptions!$D$33),IF(X34&lt;=Assumptions!$D$15,IF(X34&gt;=Assumptions!$D$33,TREND($O$32:$O$33,$J$32:$J$33,$X34),0),0),0)</f>
        <v>0.42494239186109617</v>
      </c>
      <c r="AC34" s="64">
        <f>IF(X34&gt;=(Assumptions!$D$33),IF(X34&lt;=Assumptions!$D$15,IF(X34&gt;=Assumptions!$D$33,TREND($P$32:$P$33,$J$32:$J$33,X$10),0),0),0)</f>
        <v>0.92477003326289342</v>
      </c>
      <c r="AD34" s="74">
        <f t="shared" si="4"/>
        <v>1386897.1892007161</v>
      </c>
      <c r="AE34" s="66">
        <f>IF(X34&gt;=(Assumptions!$D$33),IF(X34&lt;=Assumptions!$D$15,IF(X34&gt;=Assumptions!$D$33,TREND($L$39:$L$40,$J$39:$J$40,X34),0),0),0)</f>
        <v>4.3083543715677242E-2</v>
      </c>
      <c r="AF34" s="64">
        <f>IF(X34&gt;=(Assumptions!$D$33),IF(X34&lt;=Assumptions!$D$15,IF(X34&gt;=Assumptions!$D$33,TREND($M$39:$M$40,$J$39:$J$40,X34),0),0),0)</f>
        <v>0.29235124736357587</v>
      </c>
      <c r="AG34" s="64">
        <f>IF(X34&gt;=(Assumptions!$D$33),IF(X34&lt;=Assumptions!$D$15,IF(X34&gt;=Assumptions!$D$33,TREND($N$39:$N$40,$J$39:$J$40,X34),0),0),0)</f>
        <v>4.3083543715677242E-2</v>
      </c>
      <c r="AH34" s="64">
        <f>IF(X34&gt;=(Assumptions!$D$33),IF(X34&lt;=Assumptions!$D$15,IF(X34&gt;=Assumptions!$D$33,TREND($O$39:$O$40,$J$39:$J$40,X34),0),0),0)</f>
        <v>0.12925063114703161</v>
      </c>
      <c r="AI34" s="64">
        <f>IF(X34&gt;=(Assumptions!$D$33),IF(X34&lt;=Assumptions!$D$15,IF(X34&gt;=Assumptions!$D$33,TREND($P$39:$P$40,$J$39:$J$40,X34),0),0),0)</f>
        <v>1.6340904116805888</v>
      </c>
      <c r="AJ34" s="74">
        <f t="shared" si="5"/>
        <v>696664.10159312119</v>
      </c>
      <c r="AK34" s="29"/>
      <c r="AL34" s="29"/>
      <c r="AM34" s="29"/>
      <c r="AN34" s="29"/>
      <c r="AO34" s="29"/>
      <c r="AP34" s="29"/>
    </row>
    <row r="35" spans="1:42" ht="15" customHeight="1" thickBot="1" x14ac:dyDescent="0.3">
      <c r="B35" s="86">
        <f t="shared" si="3"/>
        <v>2055</v>
      </c>
      <c r="C35" s="145">
        <f t="shared" si="0"/>
        <v>0</v>
      </c>
      <c r="D35" s="145">
        <f t="shared" si="1"/>
        <v>0</v>
      </c>
      <c r="E35" s="146">
        <f t="shared" si="2"/>
        <v>0</v>
      </c>
      <c r="F35" s="147">
        <f>E35*(1+0.07)^-(B35-Assumptions!$D$11)</f>
        <v>0</v>
      </c>
      <c r="G35" s="29"/>
      <c r="H35" s="1" t="s">
        <v>811</v>
      </c>
      <c r="J35" s="3"/>
      <c r="P35" s="110"/>
      <c r="X35" s="85">
        <v>2041</v>
      </c>
      <c r="Y35" s="66">
        <f>IF(X35&gt;=(Assumptions!$D$33),IF(X35&lt;=Assumptions!$D$15,IF(X35&gt;=Assumptions!$D$33,TREND(L$32:L$33,$J$32:$J$33,$X35),0),0),0)</f>
        <v>0.10667600348424577</v>
      </c>
      <c r="Z35" s="64">
        <f>IF(X35&gt;=(Assumptions!$D$33),IF(X35&lt;=Assumptions!$D$15,IF(X35&gt;=Assumptions!$D$33,TREND(M$32:M$33,$J$32:$J$33,$X35),0),0),0)</f>
        <v>0.14223467131232748</v>
      </c>
      <c r="AA35" s="64">
        <f>IF(X35&gt;=(Assumptions!$D$33),IF(X35&lt;=Assumptions!$D$15,IF(X35&gt;=Assumptions!$D$33,TREND($N$32:$N$33,$J$32:$J$33,$X35),0),0),0)</f>
        <v>0.10667600348424577</v>
      </c>
      <c r="AB35" s="64">
        <f>IF(X35&gt;=(Assumptions!$D$33),IF(X35&lt;=Assumptions!$D$15,IF(X35&gt;=Assumptions!$D$33,TREND($O$32:$O$33,$J$32:$J$33,$X35),0),0),0)</f>
        <v>0.4267040139369831</v>
      </c>
      <c r="AC35" s="64">
        <f>IF(X35&gt;=(Assumptions!$D$33),IF(X35&lt;=Assumptions!$D$15,IF(X35&gt;=Assumptions!$D$33,TREND($P$32:$P$33,$J$32:$J$33,X$10),0),0),0)</f>
        <v>0.92477003326289342</v>
      </c>
      <c r="AD35" s="74">
        <f t="shared" si="4"/>
        <v>1392631.3130982798</v>
      </c>
      <c r="AE35" s="66">
        <f>IF(X35&gt;=(Assumptions!$D$33),IF(X35&lt;=Assumptions!$D$15,IF(X35&gt;=Assumptions!$D$33,TREND($L$39:$L$40,$J$39:$J$40,X35),0),0),0)</f>
        <v>4.3262148917630749E-2</v>
      </c>
      <c r="AF35" s="64">
        <f>IF(X35&gt;=(Assumptions!$D$33),IF(X35&lt;=Assumptions!$D$15,IF(X35&gt;=Assumptions!$D$33,TREND($M$39:$M$40,$J$39:$J$40,X35),0),0),0)</f>
        <v>0.29356320555163284</v>
      </c>
      <c r="AG35" s="64">
        <f>IF(X35&gt;=(Assumptions!$D$33),IF(X35&lt;=Assumptions!$D$15,IF(X35&gt;=Assumptions!$D$33,TREND($N$39:$N$40,$J$39:$J$40,X35),0),0),0)</f>
        <v>4.3262148917630749E-2</v>
      </c>
      <c r="AH35" s="64">
        <f>IF(X35&gt;=(Assumptions!$D$33),IF(X35&lt;=Assumptions!$D$15,IF(X35&gt;=Assumptions!$D$33,TREND($O$39:$O$40,$J$39:$J$40,X35),0),0),0)</f>
        <v>0.12978644675289219</v>
      </c>
      <c r="AI35" s="64">
        <f>IF(X35&gt;=(Assumptions!$D$33),IF(X35&lt;=Assumptions!$D$15,IF(X35&gt;=Assumptions!$D$33,TREND($P$39:$P$40,$J$39:$J$40,X35),0),0),0)</f>
        <v>1.6408646234286888</v>
      </c>
      <c r="AJ35" s="74">
        <f t="shared" si="5"/>
        <v>699552.16097328591</v>
      </c>
      <c r="AK35" s="29"/>
      <c r="AL35" s="29"/>
      <c r="AM35" s="29"/>
      <c r="AN35" s="29"/>
      <c r="AO35" s="29"/>
      <c r="AP35" s="29"/>
    </row>
    <row r="36" spans="1:42" ht="15" customHeight="1" thickBot="1" x14ac:dyDescent="0.3">
      <c r="A36" s="2"/>
      <c r="E36" s="95" t="s">
        <v>2</v>
      </c>
      <c r="F36" s="148">
        <f>SUM(F6:F35)</f>
        <v>4525813.256806016</v>
      </c>
      <c r="G36" s="29"/>
      <c r="H36" s="34" t="s">
        <v>84</v>
      </c>
      <c r="I36" s="34" t="s">
        <v>219</v>
      </c>
      <c r="J36" s="34" t="s">
        <v>30</v>
      </c>
      <c r="K36" s="34" t="s">
        <v>46</v>
      </c>
      <c r="L36" s="34" t="s">
        <v>17</v>
      </c>
      <c r="M36" s="34" t="s">
        <v>18</v>
      </c>
      <c r="N36" s="34" t="s">
        <v>19</v>
      </c>
      <c r="O36" s="34" t="s">
        <v>20</v>
      </c>
      <c r="P36" s="34" t="s">
        <v>73</v>
      </c>
      <c r="X36" s="85">
        <v>2042</v>
      </c>
      <c r="Y36" s="66">
        <f>IF(X36&gt;=(Assumptions!$D$33),IF(X36&lt;=Assumptions!$D$15,IF(X36&gt;=Assumptions!$D$33,TREND(L$32:L$33,$J$32:$J$33,$X36),0),0),0)</f>
        <v>0.10711640900321739</v>
      </c>
      <c r="Z36" s="64">
        <f>IF(X36&gt;=(Assumptions!$D$33),IF(X36&lt;=Assumptions!$D$15,IF(X36&gt;=Assumptions!$D$33,TREND(M$32:M$33,$J$32:$J$33,$X36),0),0),0)</f>
        <v>0.14282187867095653</v>
      </c>
      <c r="AA36" s="64">
        <f>IF(X36&gt;=(Assumptions!$D$33),IF(X36&lt;=Assumptions!$D$15,IF(X36&gt;=Assumptions!$D$33,TREND($N$32:$N$33,$J$32:$J$33,$X36),0),0),0)</f>
        <v>0.10711640900321739</v>
      </c>
      <c r="AB36" s="64">
        <f>IF(X36&gt;=(Assumptions!$D$33),IF(X36&lt;=Assumptions!$D$15,IF(X36&gt;=Assumptions!$D$33,TREND($O$32:$O$33,$J$32:$J$33,$X36),0),0),0)</f>
        <v>0.42846563601286958</v>
      </c>
      <c r="AC36" s="64">
        <f>IF(X36&gt;=(Assumptions!$D$33),IF(X36&lt;=Assumptions!$D$15,IF(X36&gt;=Assumptions!$D$33,TREND($P$32:$P$33,$J$32:$J$33,X$10),0),0),0)</f>
        <v>0.92477003326289342</v>
      </c>
      <c r="AD36" s="74">
        <f t="shared" si="4"/>
        <v>1398365.4369958425</v>
      </c>
      <c r="AE36" s="66">
        <f>IF(X36&gt;=(Assumptions!$D$33),IF(X36&lt;=Assumptions!$D$15,IF(X36&gt;=Assumptions!$D$33,TREND($L$39:$L$40,$J$39:$J$40,X36),0),0),0)</f>
        <v>4.3440754119584257E-2</v>
      </c>
      <c r="AF36" s="64">
        <f>IF(X36&gt;=(Assumptions!$D$33),IF(X36&lt;=Assumptions!$D$15,IF(X36&gt;=Assumptions!$D$33,TREND($M$39:$M$40,$J$39:$J$40,X36),0),0),0)</f>
        <v>0.29477516373969026</v>
      </c>
      <c r="AG36" s="64">
        <f>IF(X36&gt;=(Assumptions!$D$33),IF(X36&lt;=Assumptions!$D$15,IF(X36&gt;=Assumptions!$D$33,TREND($N$39:$N$40,$J$39:$J$40,X36),0),0),0)</f>
        <v>4.3440754119584257E-2</v>
      </c>
      <c r="AH36" s="64">
        <f>IF(X36&gt;=(Assumptions!$D$33),IF(X36&lt;=Assumptions!$D$15,IF(X36&gt;=Assumptions!$D$33,TREND($O$39:$O$40,$J$39:$J$40,X36),0),0),0)</f>
        <v>0.13032226235875277</v>
      </c>
      <c r="AI36" s="64">
        <f>IF(X36&gt;=(Assumptions!$D$33),IF(X36&lt;=Assumptions!$D$15,IF(X36&gt;=Assumptions!$D$33,TREND($P$39:$P$40,$J$39:$J$40,X36),0),0),0)</f>
        <v>1.6476388351767888</v>
      </c>
      <c r="AJ36" s="74">
        <f t="shared" si="5"/>
        <v>702440.22035345074</v>
      </c>
      <c r="AK36" s="29"/>
      <c r="AL36" s="29"/>
      <c r="AM36" s="29"/>
      <c r="AN36" s="29"/>
      <c r="AO36" s="29"/>
      <c r="AP36" s="29"/>
    </row>
    <row r="37" spans="1:42" ht="15" customHeight="1" x14ac:dyDescent="0.25">
      <c r="B37" s="44"/>
      <c r="C37" s="42"/>
      <c r="D37" s="42"/>
      <c r="E37" s="42"/>
      <c r="F37" s="42"/>
      <c r="G37" s="42"/>
      <c r="H37" s="24" t="s">
        <v>76</v>
      </c>
      <c r="I37" s="257">
        <v>19.399999999999999</v>
      </c>
      <c r="J37" s="256">
        <v>2021</v>
      </c>
      <c r="K37" s="260">
        <f>$I$11*Assumptions!$D$20</f>
        <v>520.44642857142856</v>
      </c>
      <c r="L37" s="259">
        <f>$K$37*$I$37*L23*365</f>
        <v>0</v>
      </c>
      <c r="M37" s="259">
        <f>$K$37*$I$37*M23*365</f>
        <v>0.18994395203336811</v>
      </c>
      <c r="N37" s="259">
        <f>$K$37*$I$37*N23*365</f>
        <v>0</v>
      </c>
      <c r="O37" s="259">
        <f>$K$37*$I$37*O23*365</f>
        <v>0</v>
      </c>
      <c r="P37" s="259">
        <f>$K$37*$I$37*P23*365</f>
        <v>0.94971976016684068</v>
      </c>
      <c r="X37" s="85">
        <v>2043</v>
      </c>
      <c r="Y37" s="66">
        <f>IF(X37&gt;=(Assumptions!$D$33),IF(X37&lt;=Assumptions!$D$15,IF(X37&gt;=Assumptions!$D$33,TREND(L$32:L$33,$J$32:$J$33,$X37),0),0),0)</f>
        <v>0.10755681452218901</v>
      </c>
      <c r="Z37" s="64">
        <f>IF(X37&gt;=(Assumptions!$D$33),IF(X37&lt;=Assumptions!$D$15,IF(X37&gt;=Assumptions!$D$33,TREND(M$32:M$33,$J$32:$J$33,$X37),0),0),0)</f>
        <v>0.14340908602958535</v>
      </c>
      <c r="AA37" s="64">
        <f>IF(X37&gt;=(Assumptions!$D$33),IF(X37&lt;=Assumptions!$D$15,IF(X37&gt;=Assumptions!$D$33,TREND($N$32:$N$33,$J$32:$J$33,$X37),0),0),0)</f>
        <v>0.10755681452218901</v>
      </c>
      <c r="AB37" s="64">
        <f>IF(X37&gt;=(Assumptions!$D$33),IF(X37&lt;=Assumptions!$D$15,IF(X37&gt;=Assumptions!$D$33,TREND($O$32:$O$33,$J$32:$J$33,$X37),0),0),0)</f>
        <v>0.43022725808875606</v>
      </c>
      <c r="AC37" s="64">
        <f>IF(X37&gt;=(Assumptions!$D$33),IF(X37&lt;=Assumptions!$D$15,IF(X37&gt;=Assumptions!$D$33,TREND($P$32:$P$33,$J$32:$J$33,X$10),0),0),0)</f>
        <v>0.92477003326289342</v>
      </c>
      <c r="AD37" s="74">
        <f t="shared" si="4"/>
        <v>1404099.5608934045</v>
      </c>
      <c r="AE37" s="66">
        <f>IF(X37&gt;=(Assumptions!$D$33),IF(X37&lt;=Assumptions!$D$15,IF(X37&gt;=Assumptions!$D$33,TREND($L$39:$L$40,$J$39:$J$40,X37),0),0),0)</f>
        <v>4.3619359321537821E-2</v>
      </c>
      <c r="AF37" s="64">
        <f>IF(X37&gt;=(Assumptions!$D$33),IF(X37&lt;=Assumptions!$D$15,IF(X37&gt;=Assumptions!$D$33,TREND($M$39:$M$40,$J$39:$J$40,X37),0),0),0)</f>
        <v>0.29598712192774723</v>
      </c>
      <c r="AG37" s="64">
        <f>IF(X37&gt;=(Assumptions!$D$33),IF(X37&lt;=Assumptions!$D$15,IF(X37&gt;=Assumptions!$D$33,TREND($N$39:$N$40,$J$39:$J$40,X37),0),0),0)</f>
        <v>4.3619359321537821E-2</v>
      </c>
      <c r="AH37" s="64">
        <f>IF(X37&gt;=(Assumptions!$D$33),IF(X37&lt;=Assumptions!$D$15,IF(X37&gt;=Assumptions!$D$33,TREND($O$39:$O$40,$J$39:$J$40,X37),0),0),0)</f>
        <v>0.13085807796461335</v>
      </c>
      <c r="AI37" s="64">
        <f>IF(X37&gt;=(Assumptions!$D$33),IF(X37&lt;=Assumptions!$D$15,IF(X37&gt;=Assumptions!$D$33,TREND($P$39:$P$40,$J$39:$J$40,X37),0),0),0)</f>
        <v>1.6544130469248888</v>
      </c>
      <c r="AJ37" s="74">
        <f t="shared" si="5"/>
        <v>705328.27973361616</v>
      </c>
      <c r="AK37" s="42"/>
      <c r="AL37" s="42"/>
      <c r="AM37" s="42"/>
      <c r="AN37" s="42"/>
      <c r="AO37" s="42"/>
    </row>
    <row r="38" spans="1:42" ht="15.75" thickBot="1" x14ac:dyDescent="0.3">
      <c r="A38" s="2"/>
      <c r="H38" s="273" t="s">
        <v>77</v>
      </c>
      <c r="I38" s="277">
        <v>45</v>
      </c>
      <c r="J38" s="274">
        <v>2021</v>
      </c>
      <c r="K38" s="275">
        <f>$I$11*Assumptions!$D$19</f>
        <v>149.55357142857144</v>
      </c>
      <c r="L38" s="264">
        <f>$K$38*$I$38*L24*365</f>
        <v>3.9690044878560329E-2</v>
      </c>
      <c r="M38" s="264">
        <f>$K$38*$I$38*M24*365</f>
        <v>7.9380089757120659E-2</v>
      </c>
      <c r="N38" s="264">
        <f>$K$38*$I$38*N24*365</f>
        <v>3.9690044878560329E-2</v>
      </c>
      <c r="O38" s="264">
        <f>$K$38*$I$38*O24*365</f>
        <v>0.119070134635681</v>
      </c>
      <c r="P38" s="264">
        <f>$K$38*$I$38*P24*365</f>
        <v>0.55566062829984464</v>
      </c>
      <c r="Q38" s="1"/>
      <c r="X38" s="85">
        <v>2044</v>
      </c>
      <c r="Y38" s="66">
        <f>IF(X38&gt;=(Assumptions!$D$33),IF(X38&lt;=Assumptions!$D$15,IF(X38&gt;=Assumptions!$D$33,TREND(L$32:L$33,$J$32:$J$33,$X38),0),0),0)</f>
        <v>0.10799722004116075</v>
      </c>
      <c r="Z38" s="64">
        <f>IF(X38&gt;=(Assumptions!$D$33),IF(X38&lt;=Assumptions!$D$15,IF(X38&gt;=Assumptions!$D$33,TREND(M$32:M$33,$J$32:$J$33,$X38),0),0),0)</f>
        <v>0.14399629338821418</v>
      </c>
      <c r="AA38" s="64">
        <f>IF(X38&gt;=(Assumptions!$D$33),IF(X38&lt;=Assumptions!$D$15,IF(X38&gt;=Assumptions!$D$33,TREND($N$32:$N$33,$J$32:$J$33,$X38),0),0),0)</f>
        <v>0.10799722004116075</v>
      </c>
      <c r="AB38" s="64">
        <f>IF(X38&gt;=(Assumptions!$D$33),IF(X38&lt;=Assumptions!$D$15,IF(X38&gt;=Assumptions!$D$33,TREND($O$32:$O$33,$J$32:$J$33,$X38),0),0),0)</f>
        <v>0.43198888016464299</v>
      </c>
      <c r="AC38" s="64">
        <f>IF(X38&gt;=(Assumptions!$D$33),IF(X38&lt;=Assumptions!$D$15,IF(X38&gt;=Assumptions!$D$33,TREND($P$32:$P$33,$J$32:$J$33,X$10),0),0),0)</f>
        <v>0.92477003326289342</v>
      </c>
      <c r="AD38" s="74">
        <f t="shared" si="4"/>
        <v>1409833.6847909684</v>
      </c>
      <c r="AE38" s="66">
        <f>IF(X38&gt;=(Assumptions!$D$33),IF(X38&lt;=Assumptions!$D$15,IF(X38&gt;=Assumptions!$D$33,TREND($L$39:$L$40,$J$39:$J$40,X38),0),0),0)</f>
        <v>4.3797964523491328E-2</v>
      </c>
      <c r="AF38" s="64">
        <f>IF(X38&gt;=(Assumptions!$D$33),IF(X38&lt;=Assumptions!$D$15,IF(X38&gt;=Assumptions!$D$33,TREND($M$39:$M$40,$J$39:$J$40,X38),0),0),0)</f>
        <v>0.29719908011580465</v>
      </c>
      <c r="AG38" s="64">
        <f>IF(X38&gt;=(Assumptions!$D$33),IF(X38&lt;=Assumptions!$D$15,IF(X38&gt;=Assumptions!$D$33,TREND($N$39:$N$40,$J$39:$J$40,X38),0),0),0)</f>
        <v>4.3797964523491328E-2</v>
      </c>
      <c r="AH38" s="64">
        <f>IF(X38&gt;=(Assumptions!$D$33),IF(X38&lt;=Assumptions!$D$15,IF(X38&gt;=Assumptions!$D$33,TREND($O$39:$O$40,$J$39:$J$40,X38),0),0),0)</f>
        <v>0.13139389357047393</v>
      </c>
      <c r="AI38" s="64">
        <f>IF(X38&gt;=(Assumptions!$D$33),IF(X38&lt;=Assumptions!$D$15,IF(X38&gt;=Assumptions!$D$33,TREND($P$39:$P$40,$J$39:$J$40,X38),0),0),0)</f>
        <v>1.6611872586729888</v>
      </c>
      <c r="AJ38" s="74">
        <f t="shared" si="5"/>
        <v>708216.339113781</v>
      </c>
    </row>
    <row r="39" spans="1:42" ht="15" customHeight="1" thickTop="1" x14ac:dyDescent="0.25">
      <c r="H39" s="262" t="s">
        <v>4</v>
      </c>
      <c r="I39" s="262" t="s">
        <v>66</v>
      </c>
      <c r="J39" s="262">
        <v>2021</v>
      </c>
      <c r="K39" s="276" t="s">
        <v>66</v>
      </c>
      <c r="L39" s="263">
        <f>SUM(L37:L38)</f>
        <v>3.9690044878560329E-2</v>
      </c>
      <c r="M39" s="263">
        <f>SUM(M37:M38)</f>
        <v>0.26932404179048874</v>
      </c>
      <c r="N39" s="263">
        <f>SUM(N37:N38)</f>
        <v>3.9690044878560329E-2</v>
      </c>
      <c r="O39" s="263">
        <f>SUM(O37:O38)</f>
        <v>0.119070134635681</v>
      </c>
      <c r="P39" s="263">
        <f>SUM(P37:P38)</f>
        <v>1.5053803884666852</v>
      </c>
      <c r="Q39" s="1"/>
      <c r="X39" s="85">
        <v>2045</v>
      </c>
      <c r="Y39" s="66">
        <f>IF(X39&gt;=(Assumptions!$D$33),IF(X39&lt;=Assumptions!$D$15,IF(X39&gt;=Assumptions!$D$33,TREND(L$32:L$33,$J$32:$J$33,$X39),0),0),0)</f>
        <v>0.10843762556013237</v>
      </c>
      <c r="Z39" s="64">
        <f>IF(X39&gt;=(Assumptions!$D$33),IF(X39&lt;=Assumptions!$D$15,IF(X39&gt;=Assumptions!$D$33,TREND(M$32:M$33,$J$32:$J$33,$X39),0),0),0)</f>
        <v>0.14458350074684301</v>
      </c>
      <c r="AA39" s="64">
        <f>IF(X39&gt;=(Assumptions!$D$33),IF(X39&lt;=Assumptions!$D$15,IF(X39&gt;=Assumptions!$D$33,TREND($N$32:$N$33,$J$32:$J$33,$X39),0),0),0)</f>
        <v>0.10843762556013237</v>
      </c>
      <c r="AB39" s="64">
        <f>IF(X39&gt;=(Assumptions!$D$33),IF(X39&lt;=Assumptions!$D$15,IF(X39&gt;=Assumptions!$D$33,TREND($O$32:$O$33,$J$32:$J$33,$X39),0),0),0)</f>
        <v>0.43375050224052947</v>
      </c>
      <c r="AC39" s="64">
        <f>IF(X39&gt;=(Assumptions!$D$33),IF(X39&lt;=Assumptions!$D$15,IF(X39&gt;=Assumptions!$D$33,TREND($P$32:$P$33,$J$32:$J$33,X$10),0),0),0)</f>
        <v>0.92477003326289342</v>
      </c>
      <c r="AD39" s="74">
        <f t="shared" si="4"/>
        <v>1415567.8086885309</v>
      </c>
      <c r="AE39" s="66">
        <f>IF(X39&gt;=(Assumptions!$D$33),IF(X39&lt;=Assumptions!$D$15,IF(X39&gt;=Assumptions!$D$33,TREND($L$39:$L$40,$J$39:$J$40,X39),0),0),0)</f>
        <v>4.3976569725444836E-2</v>
      </c>
      <c r="AF39" s="64">
        <f>IF(X39&gt;=(Assumptions!$D$33),IF(X39&lt;=Assumptions!$D$15,IF(X39&gt;=Assumptions!$D$33,TREND($M$39:$M$40,$J$39:$J$40,X39),0),0),0)</f>
        <v>0.29841103830386162</v>
      </c>
      <c r="AG39" s="64">
        <f>IF(X39&gt;=(Assumptions!$D$33),IF(X39&lt;=Assumptions!$D$15,IF(X39&gt;=Assumptions!$D$33,TREND($N$39:$N$40,$J$39:$J$40,X39),0),0),0)</f>
        <v>4.3976569725444836E-2</v>
      </c>
      <c r="AH39" s="64">
        <f>IF(X39&gt;=(Assumptions!$D$33),IF(X39&lt;=Assumptions!$D$15,IF(X39&gt;=Assumptions!$D$33,TREND($O$39:$O$40,$J$39:$J$40,X39),0),0),0)</f>
        <v>0.13192970917633451</v>
      </c>
      <c r="AI39" s="64">
        <f>IF(X39&gt;=(Assumptions!$D$33),IF(X39&lt;=Assumptions!$D$15,IF(X39&gt;=Assumptions!$D$33,TREND($P$39:$P$40,$J$39:$J$40,X39),0),0),0)</f>
        <v>1.6679614704210888</v>
      </c>
      <c r="AJ39" s="74">
        <f t="shared" si="5"/>
        <v>711104.39849394572</v>
      </c>
    </row>
    <row r="40" spans="1:42" ht="15" customHeight="1" x14ac:dyDescent="0.25">
      <c r="B40" s="1" t="s">
        <v>3</v>
      </c>
      <c r="C40" s="1"/>
      <c r="D40" s="1"/>
      <c r="H40" s="24" t="s">
        <v>4</v>
      </c>
      <c r="I40" s="24" t="s">
        <v>66</v>
      </c>
      <c r="J40" s="24">
        <v>2045</v>
      </c>
      <c r="K40" s="72" t="s">
        <v>66</v>
      </c>
      <c r="L40" s="259">
        <f>L39*($I$12/$I$11)</f>
        <v>4.397656972544485E-2</v>
      </c>
      <c r="M40" s="259">
        <f>M39*($I$12/$I$11)</f>
        <v>0.29841103830386156</v>
      </c>
      <c r="N40" s="259">
        <f>N39*($I$12/$I$11)</f>
        <v>4.397656972544485E-2</v>
      </c>
      <c r="O40" s="259">
        <f>O39*($I$12/$I$11)</f>
        <v>0.13192970917633456</v>
      </c>
      <c r="P40" s="259">
        <f>P39*($I$12/$I$11)</f>
        <v>1.6679614704210874</v>
      </c>
      <c r="Q40" s="1"/>
      <c r="X40" s="85">
        <v>2046</v>
      </c>
      <c r="Y40" s="66">
        <f>IF(X40&gt;=(Assumptions!$D$33),IF(X40&lt;=Assumptions!$D$15,IF(X40&gt;=Assumptions!$D$33,TREND(L$32:L$33,$J$32:$J$33,$X40),0),0),0)</f>
        <v>0</v>
      </c>
      <c r="Z40" s="64">
        <f>IF(X40&gt;=(Assumptions!$D$33),IF(X40&lt;=Assumptions!$D$15,IF(X40&gt;=Assumptions!$D$33,TREND(M$32:M$33,$J$32:$J$33,$X40),0),0),0)</f>
        <v>0</v>
      </c>
      <c r="AA40" s="64">
        <f>IF(X40&gt;=(Assumptions!$D$33),IF(X40&lt;=Assumptions!$D$15,IF(X40&gt;=Assumptions!$D$33,TREND($N$32:$N$33,$J$32:$J$33,$X40),0),0),0)</f>
        <v>0</v>
      </c>
      <c r="AB40" s="64">
        <f>IF(X40&gt;=(Assumptions!$D$33),IF(X40&lt;=Assumptions!$D$15,IF(X40&gt;=Assumptions!$D$33,TREND($O$32:$O$33,$J$32:$J$33,$X40),0),0),0)</f>
        <v>0</v>
      </c>
      <c r="AC40" s="64">
        <f>IF(X40&gt;=(Assumptions!$D$33),IF(X40&lt;=Assumptions!$D$15,IF(X40&gt;=Assumptions!$D$33,TREND($P$32:$P$33,$J$32:$J$33,X$10),0),0),0)</f>
        <v>0</v>
      </c>
      <c r="AD40" s="74">
        <f t="shared" si="4"/>
        <v>0</v>
      </c>
      <c r="AE40" s="66">
        <f>IF(X40&gt;=(Assumptions!$D$33),IF(X40&lt;=Assumptions!$D$15,IF(X40&gt;=Assumptions!$D$33,TREND($L$39:$L$40,$J$39:$J$40,X40),0),0),0)</f>
        <v>0</v>
      </c>
      <c r="AF40" s="64">
        <f>IF(X40&gt;=(Assumptions!$D$33),IF(X40&lt;=Assumptions!$D$15,IF(X40&gt;=Assumptions!$D$33,TREND($M$39:$M$40,$J$39:$J$40,X40),0),0),0)</f>
        <v>0</v>
      </c>
      <c r="AG40" s="64">
        <f>IF(X40&gt;=(Assumptions!$D$33),IF(X40&lt;=Assumptions!$D$15,IF(X40&gt;=Assumptions!$D$33,TREND($N$39:$N$40,$J$39:$J$40,X40),0),0),0)</f>
        <v>0</v>
      </c>
      <c r="AH40" s="64">
        <f>IF(X40&gt;=(Assumptions!$D$33),IF(X40&lt;=Assumptions!$D$15,IF(X40&gt;=Assumptions!$D$33,TREND($O$39:$O$40,$J$39:$J$40,X40),0),0),0)</f>
        <v>0</v>
      </c>
      <c r="AI40" s="64">
        <f>IF(X40&gt;=(Assumptions!$D$33),IF(X40&lt;=Assumptions!$D$15,IF(X40&gt;=Assumptions!$D$33,TREND($P$39:$P$40,$J$39:$J$40,X40),0),0),0)</f>
        <v>0</v>
      </c>
      <c r="AJ40" s="74">
        <f t="shared" si="5"/>
        <v>0</v>
      </c>
    </row>
    <row r="41" spans="1:42" ht="15" customHeight="1" x14ac:dyDescent="0.25">
      <c r="A41" s="2" t="s">
        <v>16</v>
      </c>
      <c r="B41" s="672" t="s">
        <v>665</v>
      </c>
      <c r="C41" s="672"/>
      <c r="D41" s="672"/>
      <c r="E41" s="672"/>
      <c r="F41" s="672"/>
      <c r="G41" s="37"/>
      <c r="H41" s="1"/>
      <c r="I41" s="1"/>
      <c r="J41" s="1"/>
      <c r="K41" s="110"/>
      <c r="L41" s="8"/>
      <c r="M41" s="8"/>
      <c r="N41" s="8"/>
      <c r="X41" s="85">
        <v>2047</v>
      </c>
      <c r="Y41" s="66">
        <f>IF(X41&gt;=(Assumptions!$D$33),IF(X41&lt;=Assumptions!$D$15,IF(X41&gt;=Assumptions!$D$33,TREND(L$32:L$33,$J$32:$J$33,$X41),0),0),0)</f>
        <v>0</v>
      </c>
      <c r="Z41" s="64">
        <f>IF(X41&gt;=(Assumptions!$D$33),IF(X41&lt;=Assumptions!$D$15,IF(X41&gt;=Assumptions!$D$33,TREND(M$32:M$33,$J$32:$J$33,$X41),0),0),0)</f>
        <v>0</v>
      </c>
      <c r="AA41" s="64">
        <f>IF(X41&gt;=(Assumptions!$D$33),IF(X41&lt;=Assumptions!$D$15,IF(X41&gt;=Assumptions!$D$33,TREND($N$32:$N$33,$J$32:$J$33,$X41),0),0),0)</f>
        <v>0</v>
      </c>
      <c r="AB41" s="64">
        <f>IF(X41&gt;=(Assumptions!$D$33),IF(X41&lt;=Assumptions!$D$15,IF(X41&gt;=Assumptions!$D$33,TREND($O$32:$O$33,$J$32:$J$33,$X41),0),0),0)</f>
        <v>0</v>
      </c>
      <c r="AC41" s="64">
        <f>IF(X41&gt;=(Assumptions!$D$33),IF(X41&lt;=Assumptions!$D$15,IF(X41&gt;=Assumptions!$D$33,TREND($P$32:$P$33,$J$32:$J$33,X$10),0),0),0)</f>
        <v>0</v>
      </c>
      <c r="AD41" s="74">
        <f t="shared" si="4"/>
        <v>0</v>
      </c>
      <c r="AE41" s="66">
        <f>IF(X41&gt;=(Assumptions!$D$33),IF(X41&lt;=Assumptions!$D$15,IF(X41&gt;=Assumptions!$D$33,TREND($L$39:$L$40,$J$39:$J$40,X41),0),0),0)</f>
        <v>0</v>
      </c>
      <c r="AF41" s="64">
        <f>IF(X41&gt;=(Assumptions!$D$33),IF(X41&lt;=Assumptions!$D$15,IF(X41&gt;=Assumptions!$D$33,TREND($M$39:$M$40,$J$39:$J$40,X41),0),0),0)</f>
        <v>0</v>
      </c>
      <c r="AG41" s="64">
        <f>IF(X41&gt;=(Assumptions!$D$33),IF(X41&lt;=Assumptions!$D$15,IF(X41&gt;=Assumptions!$D$33,TREND($N$39:$N$40,$J$39:$J$40,X41),0),0),0)</f>
        <v>0</v>
      </c>
      <c r="AH41" s="64">
        <f>IF(X41&gt;=(Assumptions!$D$33),IF(X41&lt;=Assumptions!$D$15,IF(X41&gt;=Assumptions!$D$33,TREND($O$39:$O$40,$J$39:$J$40,X41),0),0),0)</f>
        <v>0</v>
      </c>
      <c r="AI41" s="64">
        <f>IF(X41&gt;=(Assumptions!$D$33),IF(X41&lt;=Assumptions!$D$15,IF(X41&gt;=Assumptions!$D$33,TREND($P$39:$P$40,$J$39:$J$40,X41),0),0),0)</f>
        <v>0</v>
      </c>
      <c r="AJ41" s="74">
        <f t="shared" si="5"/>
        <v>0</v>
      </c>
      <c r="AK41" s="37"/>
      <c r="AL41" s="37"/>
      <c r="AM41" s="37"/>
      <c r="AN41" s="37"/>
      <c r="AO41" s="37"/>
      <c r="AP41" s="37"/>
    </row>
    <row r="42" spans="1:42" ht="15" customHeight="1" x14ac:dyDescent="0.25">
      <c r="B42" s="672"/>
      <c r="C42" s="672"/>
      <c r="D42" s="672"/>
      <c r="E42" s="672"/>
      <c r="F42" s="672"/>
      <c r="G42" s="37"/>
      <c r="H42" s="1"/>
      <c r="I42" s="1"/>
      <c r="J42" s="1"/>
      <c r="K42" s="110"/>
      <c r="L42" s="110"/>
      <c r="M42" s="110"/>
      <c r="N42" s="110"/>
      <c r="O42" s="110"/>
      <c r="P42" s="110"/>
      <c r="Q42" s="110"/>
      <c r="R42" s="110"/>
      <c r="S42" s="110"/>
      <c r="T42" s="110"/>
      <c r="U42" s="110"/>
      <c r="X42" s="85">
        <v>2048</v>
      </c>
      <c r="Y42" s="66">
        <f>IF(X42&gt;=(Assumptions!$D$33),IF(X42&lt;=Assumptions!$D$15,IF(X42&gt;=Assumptions!$D$33,TREND(L$32:L$33,$J$32:$J$33,$X42),0),0),0)</f>
        <v>0</v>
      </c>
      <c r="Z42" s="64">
        <f>IF(X42&gt;=(Assumptions!$D$33),IF(X42&lt;=Assumptions!$D$15,IF(X42&gt;=Assumptions!$D$33,TREND(M$32:M$33,$J$32:$J$33,$X42),0),0),0)</f>
        <v>0</v>
      </c>
      <c r="AA42" s="64">
        <f>IF(X42&gt;=(Assumptions!$D$33),IF(X42&lt;=Assumptions!$D$15,IF(X42&gt;=Assumptions!$D$33,TREND($N$32:$N$33,$J$32:$J$33,$X42),0),0),0)</f>
        <v>0</v>
      </c>
      <c r="AB42" s="64">
        <f>IF(X42&gt;=(Assumptions!$D$33),IF(X42&lt;=Assumptions!$D$15,IF(X42&gt;=Assumptions!$D$33,TREND($O$32:$O$33,$J$32:$J$33,$X42),0),0),0)</f>
        <v>0</v>
      </c>
      <c r="AC42" s="64">
        <f>IF(X42&gt;=(Assumptions!$D$33),IF(X42&lt;=Assumptions!$D$15,IF(X42&gt;=Assumptions!$D$33,TREND($P$32:$P$33,$J$32:$J$33,X$10),0),0),0)</f>
        <v>0</v>
      </c>
      <c r="AD42" s="74">
        <f t="shared" si="4"/>
        <v>0</v>
      </c>
      <c r="AE42" s="66">
        <f>IF(X42&gt;=(Assumptions!$D$33),IF(X42&lt;=Assumptions!$D$15,IF(X42&gt;=Assumptions!$D$33,TREND($L$39:$L$40,$J$39:$J$40,X42),0),0),0)</f>
        <v>0</v>
      </c>
      <c r="AF42" s="64">
        <f>IF(X42&gt;=(Assumptions!$D$33),IF(X42&lt;=Assumptions!$D$15,IF(X42&gt;=Assumptions!$D$33,TREND($M$39:$M$40,$J$39:$J$40,X42),0),0),0)</f>
        <v>0</v>
      </c>
      <c r="AG42" s="64">
        <f>IF(X42&gt;=(Assumptions!$D$33),IF(X42&lt;=Assumptions!$D$15,IF(X42&gt;=Assumptions!$D$33,TREND($N$39:$N$40,$J$39:$J$40,X42),0),0),0)</f>
        <v>0</v>
      </c>
      <c r="AH42" s="64">
        <f>IF(X42&gt;=(Assumptions!$D$33),IF(X42&lt;=Assumptions!$D$15,IF(X42&gt;=Assumptions!$D$33,TREND($O$39:$O$40,$J$39:$J$40,X42),0),0),0)</f>
        <v>0</v>
      </c>
      <c r="AI42" s="64">
        <f>IF(X42&gt;=(Assumptions!$D$33),IF(X42&lt;=Assumptions!$D$15,IF(X42&gt;=Assumptions!$D$33,TREND($P$39:$P$40,$J$39:$J$40,X42),0),0),0)</f>
        <v>0</v>
      </c>
      <c r="AJ42" s="74">
        <f t="shared" si="5"/>
        <v>0</v>
      </c>
      <c r="AK42" s="37"/>
      <c r="AL42" s="37"/>
      <c r="AM42" s="37"/>
      <c r="AN42" s="37"/>
      <c r="AO42" s="37"/>
      <c r="AP42" s="37"/>
    </row>
    <row r="43" spans="1:42" ht="15" customHeight="1" x14ac:dyDescent="0.25">
      <c r="A43" s="2"/>
      <c r="B43" s="672"/>
      <c r="C43" s="672"/>
      <c r="D43" s="672"/>
      <c r="E43" s="672"/>
      <c r="F43" s="672"/>
      <c r="G43" s="37"/>
      <c r="H43" s="110"/>
      <c r="I43" s="110"/>
      <c r="J43" s="110"/>
      <c r="K43" s="110"/>
      <c r="L43" s="110"/>
      <c r="M43" s="110"/>
      <c r="N43" s="110"/>
      <c r="O43" s="110"/>
      <c r="P43" s="110"/>
      <c r="Q43" s="110"/>
      <c r="R43" s="110"/>
      <c r="S43" s="110"/>
      <c r="T43" s="110"/>
      <c r="U43" s="110"/>
      <c r="X43" s="85">
        <v>2049</v>
      </c>
      <c r="Y43" s="66">
        <f>IF(X43&gt;=(Assumptions!$D$33),IF(X43&lt;=Assumptions!$D$15,IF(X43&gt;=Assumptions!$D$33,TREND(L$32:L$33,$J$32:$J$33,$X43),0),0),0)</f>
        <v>0</v>
      </c>
      <c r="Z43" s="64">
        <f>IF(X43&gt;=(Assumptions!$D$33),IF(X43&lt;=Assumptions!$D$15,IF(X43&gt;=Assumptions!$D$33,TREND(M$32:M$33,$J$32:$J$33,$X43),0),0),0)</f>
        <v>0</v>
      </c>
      <c r="AA43" s="64">
        <f>IF(X43&gt;=(Assumptions!$D$33),IF(X43&lt;=Assumptions!$D$15,IF(X43&gt;=Assumptions!$D$33,TREND($N$32:$N$33,$J$32:$J$33,$X43),0),0),0)</f>
        <v>0</v>
      </c>
      <c r="AB43" s="64">
        <f>IF(X43&gt;=(Assumptions!$D$33),IF(X43&lt;=Assumptions!$D$15,IF(X43&gt;=Assumptions!$D$33,TREND($O$32:$O$33,$J$32:$J$33,$X43),0),0),0)</f>
        <v>0</v>
      </c>
      <c r="AC43" s="64">
        <f>IF(X43&gt;=(Assumptions!$D$33),IF(X43&lt;=Assumptions!$D$15,IF(X43&gt;=Assumptions!$D$33,TREND($P$32:$P$33,$J$32:$J$33,X$10),0),0),0)</f>
        <v>0</v>
      </c>
      <c r="AD43" s="74">
        <f t="shared" si="4"/>
        <v>0</v>
      </c>
      <c r="AE43" s="66">
        <f>IF(X43&gt;=(Assumptions!$D$33),IF(X43&lt;=Assumptions!$D$15,IF(X43&gt;=Assumptions!$D$33,TREND($L$39:$L$40,$J$39:$J$40,X43),0),0),0)</f>
        <v>0</v>
      </c>
      <c r="AF43" s="64">
        <f>IF(X43&gt;=(Assumptions!$D$33),IF(X43&lt;=Assumptions!$D$15,IF(X43&gt;=Assumptions!$D$33,TREND($M$39:$M$40,$J$39:$J$40,X43),0),0),0)</f>
        <v>0</v>
      </c>
      <c r="AG43" s="64">
        <f>IF(X43&gt;=(Assumptions!$D$33),IF(X43&lt;=Assumptions!$D$15,IF(X43&gt;=Assumptions!$D$33,TREND($N$39:$N$40,$J$39:$J$40,X43),0),0),0)</f>
        <v>0</v>
      </c>
      <c r="AH43" s="64">
        <f>IF(X43&gt;=(Assumptions!$D$33),IF(X43&lt;=Assumptions!$D$15,IF(X43&gt;=Assumptions!$D$33,TREND($O$39:$O$40,$J$39:$J$40,X43),0),0),0)</f>
        <v>0</v>
      </c>
      <c r="AI43" s="64">
        <f>IF(X43&gt;=(Assumptions!$D$33),IF(X43&lt;=Assumptions!$D$15,IF(X43&gt;=Assumptions!$D$33,TREND($P$39:$P$40,$J$39:$J$40,X43),0),0),0)</f>
        <v>0</v>
      </c>
      <c r="AJ43" s="74">
        <f t="shared" si="5"/>
        <v>0</v>
      </c>
      <c r="AK43" s="37"/>
      <c r="AL43" s="37"/>
      <c r="AM43" s="37"/>
      <c r="AN43" s="37"/>
      <c r="AO43" s="37"/>
      <c r="AP43" s="37"/>
    </row>
    <row r="44" spans="1:42" ht="15" customHeight="1" x14ac:dyDescent="0.25">
      <c r="B44" s="672"/>
      <c r="C44" s="672"/>
      <c r="D44" s="672"/>
      <c r="E44" s="672"/>
      <c r="F44" s="672"/>
      <c r="G44" s="37"/>
      <c r="Q44" s="1"/>
      <c r="X44" s="85">
        <v>2050</v>
      </c>
      <c r="Y44" s="66">
        <f>IF(X44&gt;=(Assumptions!$D$33),IF(X44&lt;=Assumptions!$D$15,IF(X44&gt;=Assumptions!$D$33,TREND(L$32:L$33,$J$32:$J$33,$X44),0),0),0)</f>
        <v>0</v>
      </c>
      <c r="Z44" s="64">
        <f>IF(X44&gt;=(Assumptions!$D$33),IF(X44&lt;=Assumptions!$D$15,IF(X44&gt;=Assumptions!$D$33,TREND(M$32:M$33,$J$32:$J$33,$X44),0),0),0)</f>
        <v>0</v>
      </c>
      <c r="AA44" s="64">
        <f>IF(X44&gt;=(Assumptions!$D$33),IF(X44&lt;=Assumptions!$D$15,IF(X44&gt;=Assumptions!$D$33,TREND($N$32:$N$33,$J$32:$J$33,$X44),0),0),0)</f>
        <v>0</v>
      </c>
      <c r="AB44" s="64">
        <f>IF(X44&gt;=(Assumptions!$D$33),IF(X44&lt;=Assumptions!$D$15,IF(X44&gt;=Assumptions!$D$33,TREND($O$32:$O$33,$J$32:$J$33,$X44),0),0),0)</f>
        <v>0</v>
      </c>
      <c r="AC44" s="64">
        <f>IF(X44&gt;=(Assumptions!$D$33),IF(X44&lt;=Assumptions!$D$15,IF(X44&gt;=Assumptions!$D$33,TREND($P$32:$P$33,$J$32:$J$33,X$10),0),0),0)</f>
        <v>0</v>
      </c>
      <c r="AD44" s="74">
        <f t="shared" si="4"/>
        <v>0</v>
      </c>
      <c r="AE44" s="66">
        <f>IF(X44&gt;=(Assumptions!$D$33),IF(X44&lt;=Assumptions!$D$15,IF(X44&gt;=Assumptions!$D$33,TREND($L$39:$L$40,$J$39:$J$40,X44),0),0),0)</f>
        <v>0</v>
      </c>
      <c r="AF44" s="64">
        <f>IF(X44&gt;=(Assumptions!$D$33),IF(X44&lt;=Assumptions!$D$15,IF(X44&gt;=Assumptions!$D$33,TREND($M$39:$M$40,$J$39:$J$40,X44),0),0),0)</f>
        <v>0</v>
      </c>
      <c r="AG44" s="64">
        <f>IF(X44&gt;=(Assumptions!$D$33),IF(X44&lt;=Assumptions!$D$15,IF(X44&gt;=Assumptions!$D$33,TREND($N$39:$N$40,$J$39:$J$40,X44),0),0),0)</f>
        <v>0</v>
      </c>
      <c r="AH44" s="64">
        <f>IF(X44&gt;=(Assumptions!$D$33),IF(X44&lt;=Assumptions!$D$15,IF(X44&gt;=Assumptions!$D$33,TREND($O$39:$O$40,$J$39:$J$40,X44),0),0),0)</f>
        <v>0</v>
      </c>
      <c r="AI44" s="64">
        <f>IF(X44&gt;=(Assumptions!$D$33),IF(X44&lt;=Assumptions!$D$15,IF(X44&gt;=Assumptions!$D$33,TREND($P$39:$P$40,$J$39:$J$40,X44),0),0),0)</f>
        <v>0</v>
      </c>
      <c r="AJ44" s="74">
        <f t="shared" si="5"/>
        <v>0</v>
      </c>
      <c r="AK44" s="37"/>
      <c r="AL44" s="37"/>
      <c r="AM44" s="37"/>
      <c r="AN44" s="37"/>
      <c r="AO44" s="37"/>
      <c r="AP44" s="37"/>
    </row>
    <row r="45" spans="1:42" ht="15" customHeight="1" x14ac:dyDescent="0.25">
      <c r="B45" s="40"/>
      <c r="C45" s="40"/>
      <c r="D45" s="40"/>
      <c r="E45" s="40"/>
      <c r="F45" s="40"/>
      <c r="G45" s="37"/>
      <c r="Q45" s="1"/>
      <c r="X45" s="85">
        <v>2051</v>
      </c>
      <c r="Y45" s="66">
        <f>IF(X45&gt;=(Assumptions!$D$33),IF(X45&lt;=Assumptions!$D$15,IF(X45&gt;=Assumptions!$D$33,TREND(L$32:L$33,$J$32:$J$33,$X45),0),0),0)</f>
        <v>0</v>
      </c>
      <c r="Z45" s="64">
        <f>IF(X45&gt;=(Assumptions!$D$33),IF(X45&lt;=Assumptions!$D$15,IF(X45&gt;=Assumptions!$D$33,TREND(M$32:M$33,$J$32:$J$33,$X45),0),0),0)</f>
        <v>0</v>
      </c>
      <c r="AA45" s="64">
        <f>IF(X45&gt;=(Assumptions!$D$33),IF(X45&lt;=Assumptions!$D$15,IF(X45&gt;=Assumptions!$D$33,TREND($N$32:$N$33,$J$32:$J$33,$X45),0),0),0)</f>
        <v>0</v>
      </c>
      <c r="AB45" s="64">
        <f>IF(X45&gt;=(Assumptions!$D$33),IF(X45&lt;=Assumptions!$D$15,IF(X45&gt;=Assumptions!$D$33,TREND($O$32:$O$33,$J$32:$J$33,$X45),0),0),0)</f>
        <v>0</v>
      </c>
      <c r="AC45" s="64">
        <f>IF(X45&gt;=(Assumptions!$D$33),IF(X45&lt;=Assumptions!$D$15,IF(X45&gt;=Assumptions!$D$33,TREND($P$32:$P$33,$J$32:$J$33,X$10),0),0),0)</f>
        <v>0</v>
      </c>
      <c r="AD45" s="74">
        <f t="shared" si="4"/>
        <v>0</v>
      </c>
      <c r="AE45" s="66">
        <f>IF(X45&gt;=(Assumptions!$D$33),IF(X45&lt;=Assumptions!$D$15,IF(X45&gt;=Assumptions!$D$33,TREND($L$39:$L$40,$J$39:$J$40,X45),0),0),0)</f>
        <v>0</v>
      </c>
      <c r="AF45" s="64">
        <f>IF(X45&gt;=(Assumptions!$D$33),IF(X45&lt;=Assumptions!$D$15,IF(X45&gt;=Assumptions!$D$33,TREND($M$39:$M$40,$J$39:$J$40,X45),0),0),0)</f>
        <v>0</v>
      </c>
      <c r="AG45" s="64">
        <f>IF(X45&gt;=(Assumptions!$D$33),IF(X45&lt;=Assumptions!$D$15,IF(X45&gt;=Assumptions!$D$33,TREND($N$39:$N$40,$J$39:$J$40,X45),0),0),0)</f>
        <v>0</v>
      </c>
      <c r="AH45" s="64">
        <f>IF(X45&gt;=(Assumptions!$D$33),IF(X45&lt;=Assumptions!$D$15,IF(X45&gt;=Assumptions!$D$33,TREND($O$39:$O$40,$J$39:$J$40,X45),0),0),0)</f>
        <v>0</v>
      </c>
      <c r="AI45" s="64">
        <f>IF(X45&gt;=(Assumptions!$D$33),IF(X45&lt;=Assumptions!$D$15,IF(X45&gt;=Assumptions!$D$33,TREND($P$39:$P$40,$J$39:$J$40,X45),0),0),0)</f>
        <v>0</v>
      </c>
      <c r="AJ45" s="74">
        <f t="shared" si="5"/>
        <v>0</v>
      </c>
      <c r="AK45" s="37"/>
      <c r="AL45" s="37"/>
      <c r="AM45" s="37"/>
      <c r="AN45" s="37"/>
      <c r="AO45" s="37"/>
      <c r="AP45" s="37"/>
    </row>
    <row r="46" spans="1:42" x14ac:dyDescent="0.25">
      <c r="A46" s="2" t="s">
        <v>22</v>
      </c>
      <c r="B46" s="702" t="s">
        <v>664</v>
      </c>
      <c r="C46" s="702"/>
      <c r="D46" s="702"/>
      <c r="E46" s="702"/>
      <c r="F46" s="702"/>
      <c r="Q46" s="1"/>
      <c r="X46" s="85">
        <v>2052</v>
      </c>
      <c r="Y46" s="66">
        <f>IF(X46&gt;=(Assumptions!$D$33),IF(X46&lt;=Assumptions!$D$15,IF(X46&gt;=Assumptions!$D$33,TREND(L$32:L$33,$J$32:$J$33,$X46),0),0),0)</f>
        <v>0</v>
      </c>
      <c r="Z46" s="64">
        <f>IF(X46&gt;=(Assumptions!$D$33),IF(X46&lt;=Assumptions!$D$15,IF(X46&gt;=Assumptions!$D$33,TREND(M$32:M$33,$J$32:$J$33,$X46),0),0),0)</f>
        <v>0</v>
      </c>
      <c r="AA46" s="64">
        <f>IF(X46&gt;=(Assumptions!$D$33),IF(X46&lt;=Assumptions!$D$15,IF(X46&gt;=Assumptions!$D$33,TREND($N$32:$N$33,$J$32:$J$33,$X46),0),0),0)</f>
        <v>0</v>
      </c>
      <c r="AB46" s="64">
        <f>IF(X46&gt;=(Assumptions!$D$33),IF(X46&lt;=Assumptions!$D$15,IF(X46&gt;=Assumptions!$D$33,TREND($O$32:$O$33,$J$32:$J$33,$X46),0),0),0)</f>
        <v>0</v>
      </c>
      <c r="AC46" s="64">
        <f>IF(X46&gt;=(Assumptions!$D$33),IF(X46&lt;=Assumptions!$D$15,IF(X46&gt;=Assumptions!$D$33,TREND($P$32:$P$33,$J$32:$J$33,X$10),0),0),0)</f>
        <v>0</v>
      </c>
      <c r="AD46" s="74">
        <f t="shared" si="4"/>
        <v>0</v>
      </c>
      <c r="AE46" s="66">
        <f>IF(X46&gt;=(Assumptions!$D$33),IF(X46&lt;=Assumptions!$D$15,IF(X46&gt;=Assumptions!$D$33,TREND($L$39:$L$40,$J$39:$J$40,X46),0),0),0)</f>
        <v>0</v>
      </c>
      <c r="AF46" s="64">
        <f>IF(X46&gt;=(Assumptions!$D$33),IF(X46&lt;=Assumptions!$D$15,IF(X46&gt;=Assumptions!$D$33,TREND($M$39:$M$40,$J$39:$J$40,X46),0),0),0)</f>
        <v>0</v>
      </c>
      <c r="AG46" s="64">
        <f>IF(X46&gt;=(Assumptions!$D$33),IF(X46&lt;=Assumptions!$D$15,IF(X46&gt;=Assumptions!$D$33,TREND($N$39:$N$40,$J$39:$J$40,X46),0),0),0)</f>
        <v>0</v>
      </c>
      <c r="AH46" s="64">
        <f>IF(X46&gt;=(Assumptions!$D$33),IF(X46&lt;=Assumptions!$D$15,IF(X46&gt;=Assumptions!$D$33,TREND($O$39:$O$40,$J$39:$J$40,X46),0),0),0)</f>
        <v>0</v>
      </c>
      <c r="AI46" s="64">
        <f>IF(X46&gt;=(Assumptions!$D$33),IF(X46&lt;=Assumptions!$D$15,IF(X46&gt;=Assumptions!$D$33,TREND($P$39:$P$40,$J$39:$J$40,X46),0),0),0)</f>
        <v>0</v>
      </c>
      <c r="AJ46" s="74">
        <f t="shared" si="5"/>
        <v>0</v>
      </c>
    </row>
    <row r="47" spans="1:42" ht="15" customHeight="1" x14ac:dyDescent="0.25">
      <c r="B47" s="702"/>
      <c r="C47" s="702"/>
      <c r="D47" s="702"/>
      <c r="E47" s="702"/>
      <c r="F47" s="702"/>
      <c r="Q47" s="1"/>
      <c r="X47" s="85">
        <v>2053</v>
      </c>
      <c r="Y47" s="66">
        <f>IF(X47&gt;=(Assumptions!$D$33),IF(X47&lt;=Assumptions!$D$15,IF(X47&gt;=Assumptions!$D$33,TREND(L$32:L$33,$J$32:$J$33,$X47),0),0),0)</f>
        <v>0</v>
      </c>
      <c r="Z47" s="64">
        <f>IF(X47&gt;=(Assumptions!$D$33),IF(X47&lt;=Assumptions!$D$15,IF(X47&gt;=Assumptions!$D$33,TREND(M$32:M$33,$J$32:$J$33,$X47),0),0),0)</f>
        <v>0</v>
      </c>
      <c r="AA47" s="64">
        <f>IF(X47&gt;=(Assumptions!$D$33),IF(X47&lt;=Assumptions!$D$15,IF(X47&gt;=Assumptions!$D$33,TREND($N$32:$N$33,$J$32:$J$33,$X47),0),0),0)</f>
        <v>0</v>
      </c>
      <c r="AB47" s="64">
        <f>IF(X47&gt;=(Assumptions!$D$33),IF(X47&lt;=Assumptions!$D$15,IF(X47&gt;=Assumptions!$D$33,TREND($O$32:$O$33,$J$32:$J$33,$X47),0),0),0)</f>
        <v>0</v>
      </c>
      <c r="AC47" s="64">
        <f>IF(X47&gt;=(Assumptions!$D$33),IF(X47&lt;=Assumptions!$D$15,IF(X47&gt;=Assumptions!$D$33,TREND($P$32:$P$33,$J$32:$J$33,X$10),0),0),0)</f>
        <v>0</v>
      </c>
      <c r="AD47" s="74">
        <f t="shared" si="4"/>
        <v>0</v>
      </c>
      <c r="AE47" s="66">
        <f>IF(X47&gt;=(Assumptions!$D$33),IF(X47&lt;=Assumptions!$D$15,IF(X47&gt;=Assumptions!$D$33,TREND($L$39:$L$40,$J$39:$J$40,X47),0),0),0)</f>
        <v>0</v>
      </c>
      <c r="AF47" s="64">
        <f>IF(X47&gt;=(Assumptions!$D$33),IF(X47&lt;=Assumptions!$D$15,IF(X47&gt;=Assumptions!$D$33,TREND($M$39:$M$40,$J$39:$J$40,X47),0),0),0)</f>
        <v>0</v>
      </c>
      <c r="AG47" s="64">
        <f>IF(X47&gt;=(Assumptions!$D$33),IF(X47&lt;=Assumptions!$D$15,IF(X47&gt;=Assumptions!$D$33,TREND($N$39:$N$40,$J$39:$J$40,X47),0),0),0)</f>
        <v>0</v>
      </c>
      <c r="AH47" s="64">
        <f>IF(X47&gt;=(Assumptions!$D$33),IF(X47&lt;=Assumptions!$D$15,IF(X47&gt;=Assumptions!$D$33,TREND($O$39:$O$40,$J$39:$J$40,X47),0),0),0)</f>
        <v>0</v>
      </c>
      <c r="AI47" s="64">
        <f>IF(X47&gt;=(Assumptions!$D$33),IF(X47&lt;=Assumptions!$D$15,IF(X47&gt;=Assumptions!$D$33,TREND($P$39:$P$40,$J$39:$J$40,X47),0),0),0)</f>
        <v>0</v>
      </c>
      <c r="AJ47" s="74">
        <f t="shared" si="5"/>
        <v>0</v>
      </c>
      <c r="AP47" s="27"/>
    </row>
    <row r="48" spans="1:42" x14ac:dyDescent="0.25">
      <c r="B48" s="702"/>
      <c r="C48" s="702"/>
      <c r="D48" s="702"/>
      <c r="E48" s="702"/>
      <c r="F48" s="702"/>
      <c r="K48" s="1"/>
      <c r="L48" s="1"/>
      <c r="M48" s="1"/>
      <c r="N48" s="1"/>
      <c r="O48" s="1"/>
      <c r="P48" s="1"/>
      <c r="Q48" s="1"/>
      <c r="X48" s="85">
        <v>2054</v>
      </c>
      <c r="Y48" s="66">
        <f>IF(X48&gt;=(Assumptions!$D$33),IF(X48&lt;=Assumptions!$D$15,IF(X48&gt;=Assumptions!$D$33,TREND(L$32:L$33,$J$32:$J$33,$X48),0),0),0)</f>
        <v>0</v>
      </c>
      <c r="Z48" s="64">
        <f>IF(X48&gt;=(Assumptions!$D$33),IF(X48&lt;=Assumptions!$D$15,IF(X48&gt;=Assumptions!$D$33,TREND(M$32:M$33,$J$32:$J$33,$X48),0),0),0)</f>
        <v>0</v>
      </c>
      <c r="AA48" s="64">
        <f>IF(X48&gt;=(Assumptions!$D$33),IF(X48&lt;=Assumptions!$D$15,IF(X48&gt;=Assumptions!$D$33,TREND($N$32:$N$33,$J$32:$J$33,$X48),0),0),0)</f>
        <v>0</v>
      </c>
      <c r="AB48" s="64">
        <f>IF(X48&gt;=(Assumptions!$D$33),IF(X48&lt;=Assumptions!$D$15,IF(X48&gt;=Assumptions!$D$33,TREND($O$32:$O$33,$J$32:$J$33,$X48),0),0),0)</f>
        <v>0</v>
      </c>
      <c r="AC48" s="64">
        <f>IF(X48&gt;=(Assumptions!$D$33),IF(X48&lt;=Assumptions!$D$15,IF(X48&gt;=Assumptions!$D$33,TREND($P$32:$P$33,$J$32:$J$33,X$10),0),0),0)</f>
        <v>0</v>
      </c>
      <c r="AD48" s="74">
        <f t="shared" si="4"/>
        <v>0</v>
      </c>
      <c r="AE48" s="66">
        <f>IF(X48&gt;=(Assumptions!$D$33),IF(X48&lt;=Assumptions!$D$15,IF(X48&gt;=Assumptions!$D$33,TREND($L$39:$L$40,$J$39:$J$40,X48),0),0),0)</f>
        <v>0</v>
      </c>
      <c r="AF48" s="64">
        <f>IF(X48&gt;=(Assumptions!$D$33),IF(X48&lt;=Assumptions!$D$15,IF(X48&gt;=Assumptions!$D$33,TREND($M$39:$M$40,$J$39:$J$40,X48),0),0),0)</f>
        <v>0</v>
      </c>
      <c r="AG48" s="64">
        <f>IF(X48&gt;=(Assumptions!$D$33),IF(X48&lt;=Assumptions!$D$15,IF(X48&gt;=Assumptions!$D$33,TREND($N$39:$N$40,$J$39:$J$40,X48),0),0),0)</f>
        <v>0</v>
      </c>
      <c r="AH48" s="64">
        <f>IF(X48&gt;=(Assumptions!$D$33),IF(X48&lt;=Assumptions!$D$15,IF(X48&gt;=Assumptions!$D$33,TREND($O$39:$O$40,$J$39:$J$40,X48),0),0),0)</f>
        <v>0</v>
      </c>
      <c r="AI48" s="64">
        <f>IF(X48&gt;=(Assumptions!$D$33),IF(X48&lt;=Assumptions!$D$15,IF(X48&gt;=Assumptions!$D$33,TREND($P$39:$P$40,$J$39:$J$40,X48),0),0),0)</f>
        <v>0</v>
      </c>
      <c r="AJ48" s="74">
        <f t="shared" si="5"/>
        <v>0</v>
      </c>
      <c r="AP48" s="27"/>
    </row>
    <row r="49" spans="1:42" x14ac:dyDescent="0.25">
      <c r="B49" s="8"/>
      <c r="C49" s="8"/>
      <c r="D49" s="8"/>
      <c r="E49" s="8"/>
      <c r="F49" s="8"/>
      <c r="K49" s="1"/>
      <c r="L49" s="1"/>
      <c r="M49" s="1"/>
      <c r="N49" s="1"/>
      <c r="O49" s="1"/>
      <c r="P49" s="1"/>
      <c r="Q49" s="1"/>
      <c r="X49" s="85">
        <v>2055</v>
      </c>
      <c r="Y49" s="66">
        <f>IF(X49&gt;=(Assumptions!$D$33),IF(X49&lt;=Assumptions!$D$15,IF(X49&gt;=Assumptions!$D$33,TREND(L$32:L$33,$J$32:$J$33,$X49),0),0),0)</f>
        <v>0</v>
      </c>
      <c r="Z49" s="64">
        <f>IF(X49&gt;=(Assumptions!$D$33),IF(X49&lt;=Assumptions!$D$15,IF(X49&gt;=Assumptions!$D$33,TREND(M$32:M$33,$J$32:$J$33,$X49),0),0),0)</f>
        <v>0</v>
      </c>
      <c r="AA49" s="64">
        <f>IF(X49&gt;=(Assumptions!$D$33),IF(X49&lt;=Assumptions!$D$15,IF(X49&gt;=Assumptions!$D$33,TREND($N$32:$N$33,$J$32:$J$33,$X49),0),0),0)</f>
        <v>0</v>
      </c>
      <c r="AB49" s="64">
        <f>IF(X49&gt;=(Assumptions!$D$33),IF(X49&lt;=Assumptions!$D$15,IF(X49&gt;=Assumptions!$D$33,TREND($O$32:$O$33,$J$32:$J$33,$X49),0),0),0)</f>
        <v>0</v>
      </c>
      <c r="AC49" s="64">
        <f>IF(X49&gt;=(Assumptions!$D$33),IF(X49&lt;=Assumptions!$D$15,IF(X49&gt;=Assumptions!$D$33,TREND($P$32:$P$33,$J$32:$J$33,X$10),0),0),0)</f>
        <v>0</v>
      </c>
      <c r="AD49" s="74">
        <f t="shared" si="4"/>
        <v>0</v>
      </c>
      <c r="AE49" s="66">
        <f>IF(X49&gt;=(Assumptions!$D$33),IF(X49&lt;=Assumptions!$D$15,IF(X49&gt;=Assumptions!$D$33,TREND($L$39:$L$40,$J$39:$J$40,X49),0),0),0)</f>
        <v>0</v>
      </c>
      <c r="AF49" s="64">
        <f>IF(X49&gt;=(Assumptions!$D$33),IF(X49&lt;=Assumptions!$D$15,IF(X49&gt;=Assumptions!$D$33,TREND($M$39:$M$40,$J$39:$J$40,X49),0),0),0)</f>
        <v>0</v>
      </c>
      <c r="AG49" s="64">
        <f>IF(X49&gt;=(Assumptions!$D$33),IF(X49&lt;=Assumptions!$D$15,IF(X49&gt;=Assumptions!$D$33,TREND($N$39:$N$40,$J$39:$J$40,X49),0),0),0)</f>
        <v>0</v>
      </c>
      <c r="AH49" s="64">
        <f>IF(X49&gt;=(Assumptions!$D$33),IF(X49&lt;=Assumptions!$D$15,IF(X49&gt;=Assumptions!$D$33,TREND($O$39:$O$40,$J$39:$J$40,X49),0),0),0)</f>
        <v>0</v>
      </c>
      <c r="AI49" s="64">
        <f>IF(X49&gt;=(Assumptions!$D$33),IF(X49&lt;=Assumptions!$D$15,IF(X49&gt;=Assumptions!$D$33,TREND($P$39:$P$40,$J$39:$J$40,X49),0),0),0)</f>
        <v>0</v>
      </c>
      <c r="AJ49" s="74">
        <f t="shared" si="5"/>
        <v>0</v>
      </c>
      <c r="AP49" s="27"/>
    </row>
    <row r="50" spans="1:42" ht="15" customHeight="1" x14ac:dyDescent="0.25">
      <c r="A50" s="2" t="s">
        <v>23</v>
      </c>
      <c r="B50" s="702" t="s">
        <v>200</v>
      </c>
      <c r="C50" s="702"/>
      <c r="D50" s="702"/>
      <c r="E50" s="702"/>
      <c r="F50" s="702"/>
      <c r="K50" s="1"/>
      <c r="L50" s="1"/>
      <c r="M50" s="1"/>
      <c r="N50" s="1"/>
      <c r="O50" s="1"/>
      <c r="P50" s="1"/>
      <c r="Q50" s="1"/>
      <c r="X50" s="85">
        <v>2056</v>
      </c>
      <c r="Y50" s="66">
        <f>IF(X50&gt;=(Assumptions!$D$33),IF(X50&lt;=Assumptions!$D$15,IF(X50&gt;=Assumptions!$D$33,TREND(L$32:L$33,$J$32:$J$33,$X50),0),0),0)</f>
        <v>0</v>
      </c>
      <c r="Z50" s="64">
        <f>IF(X50&gt;=(Assumptions!$D$33),IF(X50&lt;=Assumptions!$D$15,IF(X50&gt;=Assumptions!$D$33,TREND(M$32:M$33,$J$32:$J$33,$X50),0),0),0)</f>
        <v>0</v>
      </c>
      <c r="AA50" s="64">
        <f>IF(X50&gt;=(Assumptions!$D$33),IF(X50&lt;=Assumptions!$D$15,IF(X50&gt;=Assumptions!$D$33,TREND($N$32:$N$33,$J$32:$J$33,$X50),0),0),0)</f>
        <v>0</v>
      </c>
      <c r="AB50" s="64">
        <f>IF(X50&gt;=(Assumptions!$D$33),IF(X50&lt;=Assumptions!$D$15,IF(X50&gt;=Assumptions!$D$33,TREND($O$32:$O$33,$J$32:$J$33,$X50),0),0),0)</f>
        <v>0</v>
      </c>
      <c r="AC50" s="64">
        <f>IF(X50&gt;=(Assumptions!$D$33),IF(X50&lt;=Assumptions!$D$15,IF(X50&gt;=Assumptions!$D$33,TREND($P$32:$P$33,$J$32:$J$33,X$10),0),0),0)</f>
        <v>0</v>
      </c>
      <c r="AD50" s="74">
        <f t="shared" si="4"/>
        <v>0</v>
      </c>
      <c r="AE50" s="66">
        <f>IF(X50&gt;=(Assumptions!$D$33),IF(X50&lt;=Assumptions!$D$15,IF(X50&gt;=Assumptions!$D$33,TREND($L$39:$L$40,$J$39:$J$40,X50),0),0),0)</f>
        <v>0</v>
      </c>
      <c r="AF50" s="64">
        <f>IF(X50&gt;=(Assumptions!$D$33),IF(X50&lt;=Assumptions!$D$15,IF(X50&gt;=Assumptions!$D$33,TREND($M$39:$M$40,$J$39:$J$40,X50),0),0),0)</f>
        <v>0</v>
      </c>
      <c r="AG50" s="64">
        <f>IF(X50&gt;=(Assumptions!$D$33),IF(X50&lt;=Assumptions!$D$15,IF(X50&gt;=Assumptions!$D$33,TREND($N$39:$N$40,$J$39:$J$40,X50),0),0),0)</f>
        <v>0</v>
      </c>
      <c r="AH50" s="64">
        <f>IF(X50&gt;=(Assumptions!$D$33),IF(X50&lt;=Assumptions!$D$15,IF(X50&gt;=Assumptions!$D$33,TREND($O$39:$O$40,$J$39:$J$40,X50),0),0),0)</f>
        <v>0</v>
      </c>
      <c r="AI50" s="64">
        <f>IF(X50&gt;=(Assumptions!$D$33),IF(X50&lt;=Assumptions!$D$15,IF(X50&gt;=Assumptions!$D$33,TREND($P$39:$P$40,$J$39:$J$40,X50),0),0),0)</f>
        <v>0</v>
      </c>
      <c r="AJ50" s="74">
        <f t="shared" si="5"/>
        <v>0</v>
      </c>
      <c r="AP50" s="27"/>
    </row>
    <row r="51" spans="1:42" ht="15" customHeight="1" x14ac:dyDescent="0.25">
      <c r="B51" s="702"/>
      <c r="C51" s="702"/>
      <c r="D51" s="702"/>
      <c r="E51" s="702"/>
      <c r="F51" s="702"/>
      <c r="K51" s="1"/>
      <c r="L51" s="1"/>
      <c r="M51" s="1"/>
      <c r="N51" s="1"/>
      <c r="O51" s="1"/>
      <c r="P51" s="1"/>
      <c r="Q51" s="1"/>
      <c r="X51" s="85">
        <v>2057</v>
      </c>
      <c r="Y51" s="66">
        <f>IF(X51&gt;=(Assumptions!$D$33),IF(X51&lt;=Assumptions!$D$15,IF(X51&gt;=Assumptions!$D$33,TREND(L$32:L$33,$J$32:$J$33,$X51),0),0),0)</f>
        <v>0</v>
      </c>
      <c r="Z51" s="64">
        <f>IF(X51&gt;=(Assumptions!$D$33),IF(X51&lt;=Assumptions!$D$15,IF(X51&gt;=Assumptions!$D$33,TREND(M$32:M$33,$J$32:$J$33,$X51),0),0),0)</f>
        <v>0</v>
      </c>
      <c r="AA51" s="64">
        <f>IF(X51&gt;=(Assumptions!$D$33),IF(X51&lt;=Assumptions!$D$15,IF(X51&gt;=Assumptions!$D$33,TREND($N$32:$N$33,$J$32:$J$33,$X51),0),0),0)</f>
        <v>0</v>
      </c>
      <c r="AB51" s="64">
        <f>IF(X51&gt;=(Assumptions!$D$33),IF(X51&lt;=Assumptions!$D$15,IF(X51&gt;=Assumptions!$D$33,TREND($O$32:$O$33,$J$32:$J$33,$X51),0),0),0)</f>
        <v>0</v>
      </c>
      <c r="AC51" s="64">
        <f>IF(X51&gt;=(Assumptions!$D$33),IF(X51&lt;=Assumptions!$D$15,IF(X51&gt;=Assumptions!$D$33,TREND($P$32:$P$33,$J$32:$J$33,X$10),0),0),0)</f>
        <v>0</v>
      </c>
      <c r="AD51" s="74">
        <f t="shared" si="4"/>
        <v>0</v>
      </c>
      <c r="AE51" s="66">
        <f>IF(X51&gt;=(Assumptions!$D$33),IF(X51&lt;=Assumptions!$D$15,IF(X51&gt;=Assumptions!$D$33,TREND($L$39:$L$40,$J$39:$J$40,X51),0),0),0)</f>
        <v>0</v>
      </c>
      <c r="AF51" s="64">
        <f>IF(X51&gt;=(Assumptions!$D$33),IF(X51&lt;=Assumptions!$D$15,IF(X51&gt;=Assumptions!$D$33,TREND($M$39:$M$40,$J$39:$J$40,X51),0),0),0)</f>
        <v>0</v>
      </c>
      <c r="AG51" s="64">
        <f>IF(X51&gt;=(Assumptions!$D$33),IF(X51&lt;=Assumptions!$D$15,IF(X51&gt;=Assumptions!$D$33,TREND($N$39:$N$40,$J$39:$J$40,X51),0),0),0)</f>
        <v>0</v>
      </c>
      <c r="AH51" s="64">
        <f>IF(X51&gt;=(Assumptions!$D$33),IF(X51&lt;=Assumptions!$D$15,IF(X51&gt;=Assumptions!$D$33,TREND($O$39:$O$40,$J$39:$J$40,X51),0),0),0)</f>
        <v>0</v>
      </c>
      <c r="AI51" s="64">
        <f>IF(X51&gt;=(Assumptions!$D$33),IF(X51&lt;=Assumptions!$D$15,IF(X51&gt;=Assumptions!$D$33,TREND($P$39:$P$40,$J$39:$J$40,X51),0),0),0)</f>
        <v>0</v>
      </c>
      <c r="AJ51" s="74">
        <f t="shared" si="5"/>
        <v>0</v>
      </c>
      <c r="AP51" s="8"/>
    </row>
    <row r="52" spans="1:42" x14ac:dyDescent="0.25">
      <c r="B52" s="702"/>
      <c r="C52" s="702"/>
      <c r="D52" s="702"/>
      <c r="E52" s="702"/>
      <c r="F52" s="702"/>
      <c r="K52" s="1"/>
      <c r="L52" s="1"/>
      <c r="M52" s="1"/>
      <c r="N52" s="1"/>
      <c r="O52" s="1"/>
      <c r="P52" s="1"/>
      <c r="Q52" s="1"/>
      <c r="X52" s="85">
        <v>2058</v>
      </c>
      <c r="Y52" s="66">
        <f>IF(X52&gt;=(Assumptions!$D$33),IF(X52&lt;=Assumptions!$D$15,IF(X52&gt;=Assumptions!$D$33,TREND(L$32:L$33,$J$32:$J$33,$X52),0),0),0)</f>
        <v>0</v>
      </c>
      <c r="Z52" s="64">
        <f>IF(X52&gt;=(Assumptions!$D$33),IF(X52&lt;=Assumptions!$D$15,IF(X52&gt;=Assumptions!$D$33,TREND(M$32:M$33,$J$32:$J$33,$X52),0),0),0)</f>
        <v>0</v>
      </c>
      <c r="AA52" s="64">
        <f>IF(X52&gt;=(Assumptions!$D$33),IF(X52&lt;=Assumptions!$D$15,IF(X52&gt;=Assumptions!$D$33,TREND($N$32:$N$33,$J$32:$J$33,$X52),0),0),0)</f>
        <v>0</v>
      </c>
      <c r="AB52" s="64">
        <f>IF(X52&gt;=(Assumptions!$D$33),IF(X52&lt;=Assumptions!$D$15,IF(X52&gt;=Assumptions!$D$33,TREND($O$32:$O$33,$J$32:$J$33,$X52),0),0),0)</f>
        <v>0</v>
      </c>
      <c r="AC52" s="64">
        <f>IF(X52&gt;=(Assumptions!$D$33),IF(X52&lt;=Assumptions!$D$15,IF(X52&gt;=Assumptions!$D$33,TREND($P$32:$P$33,$J$32:$J$33,X$10),0),0),0)</f>
        <v>0</v>
      </c>
      <c r="AD52" s="74">
        <f t="shared" si="4"/>
        <v>0</v>
      </c>
      <c r="AE52" s="66">
        <f>IF(X52&gt;=(Assumptions!$D$33),IF(X52&lt;=Assumptions!$D$15,IF(X52&gt;=Assumptions!$D$33,TREND($L$39:$L$40,$J$39:$J$40,X52),0),0),0)</f>
        <v>0</v>
      </c>
      <c r="AF52" s="64">
        <f>IF(X52&gt;=(Assumptions!$D$33),IF(X52&lt;=Assumptions!$D$15,IF(X52&gt;=Assumptions!$D$33,TREND($M$39:$M$40,$J$39:$J$40,X52),0),0),0)</f>
        <v>0</v>
      </c>
      <c r="AG52" s="64">
        <f>IF(X52&gt;=(Assumptions!$D$33),IF(X52&lt;=Assumptions!$D$15,IF(X52&gt;=Assumptions!$D$33,TREND($N$39:$N$40,$J$39:$J$40,X52),0),0),0)</f>
        <v>0</v>
      </c>
      <c r="AH52" s="64">
        <f>IF(X52&gt;=(Assumptions!$D$33),IF(X52&lt;=Assumptions!$D$15,IF(X52&gt;=Assumptions!$D$33,TREND($O$39:$O$40,$J$39:$J$40,X52),0),0),0)</f>
        <v>0</v>
      </c>
      <c r="AI52" s="64">
        <f>IF(X52&gt;=(Assumptions!$D$33),IF(X52&lt;=Assumptions!$D$15,IF(X52&gt;=Assumptions!$D$33,TREND($P$39:$P$40,$J$39:$J$40,X52),0),0),0)</f>
        <v>0</v>
      </c>
      <c r="AJ52" s="74">
        <f t="shared" si="5"/>
        <v>0</v>
      </c>
      <c r="AP52" s="39"/>
    </row>
    <row r="53" spans="1:42" ht="15" customHeight="1" x14ac:dyDescent="0.25">
      <c r="P53" s="1"/>
      <c r="Q53" s="1"/>
      <c r="X53" s="85">
        <v>2059</v>
      </c>
      <c r="Y53" s="66">
        <f>IF(X53&gt;=(Assumptions!$D$33),IF(X53&lt;=Assumptions!$D$15,IF(X53&gt;=Assumptions!$D$33,TREND(L$32:L$33,$J$32:$J$33,$X53),0),0),0)</f>
        <v>0</v>
      </c>
      <c r="Z53" s="64">
        <f>IF(X53&gt;=(Assumptions!$D$33),IF(X53&lt;=Assumptions!$D$15,IF(X53&gt;=Assumptions!$D$33,TREND(M$32:M$33,$J$32:$J$33,$X53),0),0),0)</f>
        <v>0</v>
      </c>
      <c r="AA53" s="64">
        <f>IF(X53&gt;=(Assumptions!$D$33),IF(X53&lt;=Assumptions!$D$15,IF(X53&gt;=Assumptions!$D$33,TREND($N$32:$N$33,$J$32:$J$33,$X53),0),0),0)</f>
        <v>0</v>
      </c>
      <c r="AB53" s="64">
        <f>IF(X53&gt;=(Assumptions!$D$33),IF(X53&lt;=Assumptions!$D$15,IF(X53&gt;=Assumptions!$D$33,TREND($O$32:$O$33,$J$32:$J$33,$X53),0),0),0)</f>
        <v>0</v>
      </c>
      <c r="AC53" s="64">
        <f>IF(X53&gt;=(Assumptions!$D$33),IF(X53&lt;=Assumptions!$D$15,IF(X53&gt;=Assumptions!$D$33,TREND($P$32:$P$33,$J$32:$J$33,X$10),0),0),0)</f>
        <v>0</v>
      </c>
      <c r="AD53" s="74">
        <f t="shared" si="4"/>
        <v>0</v>
      </c>
      <c r="AE53" s="66">
        <f>IF(X53&gt;=(Assumptions!$D$33),IF(X53&lt;=Assumptions!$D$15,IF(X53&gt;=Assumptions!$D$33,TREND($L$39:$L$40,$J$39:$J$40,X53),0),0),0)</f>
        <v>0</v>
      </c>
      <c r="AF53" s="64">
        <f>IF(X53&gt;=(Assumptions!$D$33),IF(X53&lt;=Assumptions!$D$15,IF(X53&gt;=Assumptions!$D$33,TREND($M$39:$M$40,$J$39:$J$40,X53),0),0),0)</f>
        <v>0</v>
      </c>
      <c r="AG53" s="64">
        <f>IF(X53&gt;=(Assumptions!$D$33),IF(X53&lt;=Assumptions!$D$15,IF(X53&gt;=Assumptions!$D$33,TREND($N$39:$N$40,$J$39:$J$40,X53),0),0),0)</f>
        <v>0</v>
      </c>
      <c r="AH53" s="64">
        <f>IF(X53&gt;=(Assumptions!$D$33),IF(X53&lt;=Assumptions!$D$15,IF(X53&gt;=Assumptions!$D$33,TREND($O$39:$O$40,$J$39:$J$40,X53),0),0),0)</f>
        <v>0</v>
      </c>
      <c r="AI53" s="64">
        <f>IF(X53&gt;=(Assumptions!$D$33),IF(X53&lt;=Assumptions!$D$15,IF(X53&gt;=Assumptions!$D$33,TREND($P$39:$P$40,$J$39:$J$40,X53),0),0),0)</f>
        <v>0</v>
      </c>
      <c r="AJ53" s="74">
        <f t="shared" si="5"/>
        <v>0</v>
      </c>
    </row>
    <row r="54" spans="1:42" ht="15" customHeight="1" thickBot="1" x14ac:dyDescent="0.3">
      <c r="P54" s="1"/>
      <c r="Q54" s="1"/>
      <c r="X54" s="86">
        <v>2060</v>
      </c>
      <c r="Y54" s="67">
        <f>IF(X54&gt;=(Assumptions!$D$33),IF(X54&lt;=Assumptions!$D$15,IF(X54&gt;=Assumptions!$D$33,TREND(L$32:L$33,$J$32:$J$33,$X54),0),0),0)</f>
        <v>0</v>
      </c>
      <c r="Z54" s="65">
        <f>IF(X54&gt;=(Assumptions!$D$33),IF(X54&lt;=Assumptions!$D$15,IF(X54&gt;=Assumptions!$D$33,TREND(M$32:M$33,$J$32:$J$33,$X54),0),0),0)</f>
        <v>0</v>
      </c>
      <c r="AA54" s="65">
        <f>IF(X54&gt;=(Assumptions!$D$33),IF(X54&lt;=Assumptions!$D$15,IF(X54&gt;=Assumptions!$D$33,TREND($N$32:$N$33,$J$32:$J$33,$X54),0),0),0)</f>
        <v>0</v>
      </c>
      <c r="AB54" s="65">
        <f>IF(X54&gt;=(Assumptions!$D$33),IF(X54&lt;=Assumptions!$D$15,IF(X54&gt;=Assumptions!$D$33,TREND($O$32:$O$33,$J$32:$J$33,$X54),0),0),0)</f>
        <v>0</v>
      </c>
      <c r="AC54" s="65">
        <f>IF(X54&gt;=(Assumptions!$D$33),IF(X54&lt;=Assumptions!$D$15,IF(X54&gt;=Assumptions!$D$33,TREND($P$32:$P$33,$J$32:$J$33,X$10),0),0),0)</f>
        <v>0</v>
      </c>
      <c r="AD54" s="75">
        <f t="shared" si="4"/>
        <v>0</v>
      </c>
      <c r="AE54" s="67">
        <f>IF(X54&gt;=(Assumptions!$D$33),IF(X54&lt;=Assumptions!$D$15,IF(X54&gt;=Assumptions!$D$33,TREND($L$39:$L$40,$J$39:$J$40,X54),0),0),0)</f>
        <v>0</v>
      </c>
      <c r="AF54" s="65">
        <f>IF(X54&gt;=(Assumptions!$D$33),IF(X54&lt;=Assumptions!$D$15,IF(X54&gt;=Assumptions!$D$33,TREND($M$39:$M$40,$J$39:$J$40,X54),0),0),0)</f>
        <v>0</v>
      </c>
      <c r="AG54" s="65">
        <f>IF(X54&gt;=(Assumptions!$D$33),IF(X54&lt;=Assumptions!$D$15,IF(X54&gt;=Assumptions!$D$33,TREND($N$39:$N$40,$J$39:$J$40,X54),0),0),0)</f>
        <v>0</v>
      </c>
      <c r="AH54" s="65">
        <f>IF(X54&gt;=(Assumptions!$D$33),IF(X54&lt;=Assumptions!$D$15,IF(X54&gt;=Assumptions!$D$33,TREND($O$39:$O$40,$J$39:$J$40,X54),0),0),0)</f>
        <v>0</v>
      </c>
      <c r="AI54" s="65">
        <f>IF(X54&gt;=(Assumptions!$D$33),IF(X54&lt;=Assumptions!$D$15,IF(X54&gt;=Assumptions!$D$33,TREND($P$39:$P$40,$J$39:$J$40,X54),0),0),0)</f>
        <v>0</v>
      </c>
      <c r="AJ54" s="75">
        <f t="shared" si="5"/>
        <v>0</v>
      </c>
    </row>
    <row r="55" spans="1:42" x14ac:dyDescent="0.25">
      <c r="B55" s="8"/>
      <c r="C55" s="8"/>
      <c r="D55" s="8"/>
      <c r="E55" s="8"/>
      <c r="F55" s="8"/>
      <c r="P55" s="1"/>
      <c r="Q55" s="1"/>
    </row>
    <row r="56" spans="1:42" ht="15" customHeight="1" x14ac:dyDescent="0.25">
      <c r="P56" s="1"/>
      <c r="Q56" s="1"/>
    </row>
    <row r="57" spans="1:42" ht="15" customHeight="1" x14ac:dyDescent="0.25">
      <c r="P57" s="1"/>
      <c r="Q57" s="1"/>
    </row>
    <row r="58" spans="1:42" ht="15" customHeight="1" x14ac:dyDescent="0.25">
      <c r="P58" s="1"/>
      <c r="Q58" s="1"/>
      <c r="R58" s="68"/>
    </row>
    <row r="59" spans="1:42" ht="15" customHeight="1" x14ac:dyDescent="0.25">
      <c r="P59" s="1"/>
      <c r="Q59" s="1"/>
    </row>
    <row r="60" spans="1:42" x14ac:dyDescent="0.25">
      <c r="P60" s="1"/>
      <c r="Q60" s="1"/>
    </row>
    <row r="63" spans="1:42" x14ac:dyDescent="0.25">
      <c r="V63" s="8"/>
      <c r="W63" s="8"/>
      <c r="X63" s="8"/>
      <c r="Y63" s="8"/>
      <c r="Z63" s="8"/>
      <c r="AA63" s="8"/>
      <c r="AB63" s="8"/>
      <c r="AC63" s="8"/>
      <c r="AD63" s="8"/>
      <c r="AE63" s="8"/>
      <c r="AF63" s="8"/>
      <c r="AG63" s="8"/>
      <c r="AH63" s="8"/>
      <c r="AI63" s="8"/>
      <c r="AJ63" s="8"/>
      <c r="AK63" s="8"/>
      <c r="AL63" s="8"/>
      <c r="AM63" s="8"/>
      <c r="AN63" s="8"/>
      <c r="AO63" s="8"/>
    </row>
    <row r="64" spans="1:42" x14ac:dyDescent="0.25">
      <c r="V64" s="8"/>
      <c r="W64" s="8"/>
      <c r="X64" s="8"/>
      <c r="Y64" s="8"/>
      <c r="Z64" s="8"/>
      <c r="AA64" s="8"/>
      <c r="AB64" s="8"/>
      <c r="AC64" s="8"/>
      <c r="AD64" s="8"/>
      <c r="AE64" s="8"/>
      <c r="AF64" s="8"/>
      <c r="AG64" s="8"/>
      <c r="AH64" s="8"/>
      <c r="AI64" s="8"/>
      <c r="AJ64" s="8"/>
      <c r="AK64" s="8"/>
      <c r="AL64" s="8"/>
      <c r="AM64" s="8"/>
      <c r="AN64" s="8"/>
      <c r="AO64" s="8"/>
    </row>
    <row r="65" spans="1:21" x14ac:dyDescent="0.25">
      <c r="B65" s="8"/>
      <c r="C65" s="8"/>
      <c r="D65" s="8"/>
      <c r="E65" s="8"/>
      <c r="F65" s="8"/>
    </row>
    <row r="66" spans="1:21" ht="15" customHeight="1" x14ac:dyDescent="0.25">
      <c r="B66" s="8"/>
      <c r="C66" s="8"/>
      <c r="D66" s="8"/>
      <c r="E66" s="8"/>
      <c r="F66" s="8"/>
    </row>
    <row r="67" spans="1:21" x14ac:dyDescent="0.25">
      <c r="B67" s="8"/>
      <c r="C67" s="8"/>
      <c r="D67" s="8"/>
      <c r="E67" s="8"/>
      <c r="F67" s="8"/>
    </row>
    <row r="68" spans="1:21" x14ac:dyDescent="0.25">
      <c r="U68" s="8"/>
    </row>
    <row r="69" spans="1:21" x14ac:dyDescent="0.25">
      <c r="U69" s="8"/>
    </row>
    <row r="71" spans="1:21" x14ac:dyDescent="0.25">
      <c r="A71" s="2"/>
    </row>
    <row r="72" spans="1:21" ht="15" customHeight="1" x14ac:dyDescent="0.25"/>
    <row r="81" spans="7:14" x14ac:dyDescent="0.25">
      <c r="G81" s="8"/>
      <c r="H81" s="8"/>
      <c r="I81" s="8"/>
      <c r="J81" s="8"/>
      <c r="K81" s="8"/>
      <c r="L81" s="8"/>
      <c r="M81" s="8"/>
      <c r="N81" s="8"/>
    </row>
    <row r="82" spans="7:14" x14ac:dyDescent="0.25">
      <c r="G82" s="8"/>
      <c r="H82" s="8"/>
      <c r="I82" s="8"/>
      <c r="J82" s="8"/>
      <c r="K82" s="8"/>
      <c r="L82" s="8"/>
      <c r="M82" s="8"/>
      <c r="N82" s="8"/>
    </row>
  </sheetData>
  <mergeCells count="13">
    <mergeCell ref="AE8:AJ8"/>
    <mergeCell ref="C3:F3"/>
    <mergeCell ref="B4:B5"/>
    <mergeCell ref="C4:C5"/>
    <mergeCell ref="D4:D5"/>
    <mergeCell ref="E4:E5"/>
    <mergeCell ref="F4:F5"/>
    <mergeCell ref="B46:F48"/>
    <mergeCell ref="B41:F44"/>
    <mergeCell ref="H25:O26"/>
    <mergeCell ref="B50:F52"/>
    <mergeCell ref="Y8:AD8"/>
    <mergeCell ref="H18:O19"/>
  </mergeCells>
  <pageMargins left="0.25" right="0.25" top="0.75" bottom="0.75" header="0.3" footer="0.3"/>
  <pageSetup paperSize="3" scale="3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9DFAB-4B9D-400A-BF82-2BB16717E329}">
  <sheetPr codeName="Sheet11">
    <tabColor theme="6" tint="0.79998168889431442"/>
    <pageSetUpPr fitToPage="1"/>
  </sheetPr>
  <dimension ref="A1:AF86"/>
  <sheetViews>
    <sheetView view="pageBreakPreview" zoomScale="55" zoomScaleNormal="40" zoomScaleSheetLayoutView="55" workbookViewId="0">
      <selection activeCell="K30" sqref="K30"/>
    </sheetView>
  </sheetViews>
  <sheetFormatPr defaultRowHeight="15" x14ac:dyDescent="0.25"/>
  <cols>
    <col min="2" max="2" width="15.7109375" customWidth="1"/>
    <col min="3" max="4" width="21.85546875" customWidth="1"/>
    <col min="5" max="5" width="26" customWidth="1"/>
    <col min="6" max="6" width="15.5703125" customWidth="1"/>
    <col min="7" max="7" width="23.28515625" customWidth="1"/>
    <col min="8" max="14" width="35.7109375" customWidth="1"/>
    <col min="15" max="15" width="34" customWidth="1"/>
    <col min="16" max="22" width="35.7109375" customWidth="1"/>
    <col min="23" max="24" width="13.140625" bestFit="1" customWidth="1"/>
    <col min="25" max="25" width="13.7109375" bestFit="1" customWidth="1"/>
    <col min="26" max="27" width="13.85546875" bestFit="1" customWidth="1"/>
    <col min="28" max="28" width="14.42578125" bestFit="1" customWidth="1"/>
    <col min="29" max="29" width="13.85546875" bestFit="1" customWidth="1"/>
    <col min="30" max="30" width="13.7109375" bestFit="1" customWidth="1"/>
    <col min="31" max="31" width="13.85546875" bestFit="1" customWidth="1"/>
    <col min="32" max="33" width="13.42578125" bestFit="1" customWidth="1"/>
    <col min="34" max="34" width="13.85546875" bestFit="1" customWidth="1"/>
    <col min="35" max="35" width="13.7109375" bestFit="1" customWidth="1"/>
    <col min="36" max="37" width="13.85546875" bestFit="1" customWidth="1"/>
    <col min="38" max="38" width="14.140625" bestFit="1" customWidth="1"/>
    <col min="39" max="39" width="13.85546875" bestFit="1" customWidth="1"/>
    <col min="40" max="41" width="13.7109375" bestFit="1" customWidth="1"/>
    <col min="42" max="42" width="14.42578125" bestFit="1" customWidth="1"/>
    <col min="43" max="43" width="13.85546875" bestFit="1" customWidth="1"/>
    <col min="44" max="44" width="14.140625" bestFit="1" customWidth="1"/>
    <col min="45" max="45" width="13.42578125" bestFit="1" customWidth="1"/>
    <col min="46" max="47" width="13.7109375" bestFit="1" customWidth="1"/>
    <col min="48" max="49" width="13.85546875" bestFit="1" customWidth="1"/>
    <col min="50" max="50" width="14.140625" bestFit="1" customWidth="1"/>
    <col min="51" max="51" width="13.7109375" bestFit="1" customWidth="1"/>
    <col min="52" max="52" width="13.85546875" bestFit="1" customWidth="1"/>
    <col min="53" max="53" width="14.42578125" bestFit="1" customWidth="1"/>
    <col min="54" max="54" width="14.140625" bestFit="1" customWidth="1"/>
  </cols>
  <sheetData>
    <row r="1" spans="2:32" x14ac:dyDescent="0.25">
      <c r="B1" s="47"/>
      <c r="C1" s="47"/>
      <c r="D1" s="47"/>
      <c r="E1" s="47"/>
      <c r="F1" s="47"/>
      <c r="G1" s="3"/>
      <c r="N1" s="3"/>
      <c r="O1" s="3"/>
      <c r="V1" s="3"/>
    </row>
    <row r="2" spans="2:32" ht="15.75" thickBot="1" x14ac:dyDescent="0.3">
      <c r="B2" s="1" t="s">
        <v>224</v>
      </c>
    </row>
    <row r="3" spans="2:32" ht="22.5" customHeight="1" x14ac:dyDescent="0.25">
      <c r="B3" s="709" t="s">
        <v>0</v>
      </c>
      <c r="C3" s="749" t="s">
        <v>119</v>
      </c>
      <c r="D3" s="751" t="s">
        <v>120</v>
      </c>
      <c r="E3" s="753" t="s">
        <v>74</v>
      </c>
      <c r="F3" s="751" t="s">
        <v>1</v>
      </c>
      <c r="G3" s="120"/>
    </row>
    <row r="4" spans="2:32" ht="22.5" customHeight="1" thickBot="1" x14ac:dyDescent="0.3">
      <c r="B4" s="710"/>
      <c r="C4" s="750"/>
      <c r="D4" s="752"/>
      <c r="E4" s="754"/>
      <c r="F4" s="752"/>
      <c r="G4" s="120"/>
      <c r="H4" s="654"/>
      <c r="I4" s="654"/>
      <c r="J4" s="654"/>
      <c r="K4" s="656"/>
      <c r="L4" s="654"/>
      <c r="M4" s="654"/>
      <c r="N4" s="654"/>
      <c r="X4" s="654"/>
      <c r="Y4" s="654"/>
      <c r="Z4" s="654"/>
      <c r="AA4" s="654"/>
      <c r="AB4" s="654"/>
      <c r="AC4" s="654"/>
      <c r="AD4" s="654"/>
      <c r="AE4" s="654"/>
      <c r="AF4" s="654"/>
    </row>
    <row r="5" spans="2:32" ht="15.75" customHeight="1" x14ac:dyDescent="0.25">
      <c r="B5" s="114">
        <f>Assumptions!$D$14</f>
        <v>2026</v>
      </c>
      <c r="C5" s="136">
        <f>IFERROR(_xlfn.XLOOKUP(B5,$I$13:$I$66,$N$13:$N$66,0,0,1),0)</f>
        <v>0</v>
      </c>
      <c r="D5" s="137">
        <f>IFERROR(_xlfn.XLOOKUP(B5,$Q$13:$Q$38,$V$13:$V$38,0,0,1),0)</f>
        <v>0</v>
      </c>
      <c r="E5" s="138">
        <f>C5-D5</f>
        <v>0</v>
      </c>
      <c r="F5" s="137">
        <f>E5*(1+0.07)^-($B5-Assumptions!$D$11)</f>
        <v>0</v>
      </c>
      <c r="G5" s="121"/>
      <c r="H5" s="658" t="s">
        <v>925</v>
      </c>
      <c r="I5" s="659"/>
      <c r="J5" s="659"/>
      <c r="K5" s="660"/>
      <c r="L5" s="659"/>
      <c r="M5" s="659"/>
      <c r="N5" s="659"/>
      <c r="X5" s="654"/>
      <c r="Y5" s="654"/>
      <c r="Z5" s="654"/>
      <c r="AA5" s="654"/>
      <c r="AB5" s="654"/>
      <c r="AC5" s="654"/>
      <c r="AD5" s="654"/>
      <c r="AE5" s="654"/>
      <c r="AF5" s="654"/>
    </row>
    <row r="6" spans="2:32" ht="15.75" customHeight="1" x14ac:dyDescent="0.25">
      <c r="B6" s="116">
        <f>B5+1</f>
        <v>2027</v>
      </c>
      <c r="C6" s="123">
        <f t="shared" ref="C6:C40" si="0">IFERROR(_xlfn.XLOOKUP(B6,$I$13:$I$66,$N$13:$N$66,0,0,1),0)</f>
        <v>0</v>
      </c>
      <c r="D6" s="124">
        <f t="shared" ref="D6:D40" si="1">IFERROR(_xlfn.XLOOKUP(B6,$Q$13:$Q$38,$V$13:$V$38,0,0,1),0)</f>
        <v>0</v>
      </c>
      <c r="E6" s="125">
        <f t="shared" ref="E6:E40" si="2">C6-D6</f>
        <v>0</v>
      </c>
      <c r="F6" s="124">
        <f>E6*(1+0.07)^-($B6-Assumptions!$D$11)</f>
        <v>0</v>
      </c>
      <c r="G6" s="118"/>
      <c r="H6" s="661" t="s">
        <v>924</v>
      </c>
      <c r="I6" s="668">
        <f>Assumptions!$D$36</f>
        <v>1.1200000000000001</v>
      </c>
      <c r="J6" s="659"/>
      <c r="K6" s="660"/>
      <c r="L6" s="659"/>
      <c r="M6" s="659"/>
      <c r="N6" s="659"/>
      <c r="X6" s="654"/>
      <c r="Y6" s="654"/>
      <c r="Z6" s="654"/>
      <c r="AA6" s="654"/>
      <c r="AB6" s="654"/>
      <c r="AC6" s="654"/>
      <c r="AD6" s="654"/>
      <c r="AE6" s="654"/>
      <c r="AF6" s="654"/>
    </row>
    <row r="7" spans="2:32" ht="15.75" customHeight="1" x14ac:dyDescent="0.25">
      <c r="B7" s="85">
        <f>+B6+1</f>
        <v>2028</v>
      </c>
      <c r="C7" s="123">
        <f t="shared" si="0"/>
        <v>0</v>
      </c>
      <c r="D7" s="124">
        <f t="shared" si="1"/>
        <v>0</v>
      </c>
      <c r="E7" s="125">
        <f t="shared" si="2"/>
        <v>0</v>
      </c>
      <c r="F7" s="124">
        <f>E7*(1+0.07)^-($B7-Assumptions!$D$11)</f>
        <v>0</v>
      </c>
      <c r="G7" s="258"/>
      <c r="H7" s="659"/>
      <c r="I7" s="659"/>
      <c r="J7" s="659"/>
      <c r="K7" s="660"/>
      <c r="L7" s="659"/>
      <c r="M7" s="659"/>
      <c r="N7" s="659"/>
      <c r="X7" s="654"/>
      <c r="Y7" s="654"/>
      <c r="Z7" s="654"/>
      <c r="AA7" s="654"/>
      <c r="AB7" s="654"/>
      <c r="AC7" s="654"/>
      <c r="AD7" s="654"/>
      <c r="AE7" s="654"/>
      <c r="AF7" s="654"/>
    </row>
    <row r="8" spans="2:32" ht="15.75" customHeight="1" x14ac:dyDescent="0.25">
      <c r="B8" s="85">
        <f t="shared" ref="B8:B40" si="3">+B7+1</f>
        <v>2029</v>
      </c>
      <c r="C8" s="123">
        <f t="shared" si="0"/>
        <v>0</v>
      </c>
      <c r="D8" s="124">
        <f t="shared" si="1"/>
        <v>0</v>
      </c>
      <c r="E8" s="125">
        <f t="shared" si="2"/>
        <v>0</v>
      </c>
      <c r="F8" s="124">
        <f>E8*(1+0.07)^-($B8-Assumptions!$D$11)</f>
        <v>0</v>
      </c>
      <c r="G8" s="258"/>
      <c r="H8" s="658" t="s">
        <v>928</v>
      </c>
      <c r="I8" s="659"/>
      <c r="J8" s="659"/>
      <c r="K8" s="660"/>
      <c r="L8" s="659"/>
      <c r="M8" s="659"/>
      <c r="N8" s="659"/>
      <c r="X8" s="654"/>
      <c r="Y8" s="654"/>
      <c r="Z8" s="654"/>
      <c r="AA8" s="654"/>
      <c r="AB8" s="654"/>
      <c r="AC8" s="654"/>
      <c r="AD8" s="654"/>
      <c r="AE8" s="654"/>
      <c r="AF8" s="654"/>
    </row>
    <row r="9" spans="2:32" ht="15.75" customHeight="1" x14ac:dyDescent="0.25">
      <c r="B9" s="85">
        <f t="shared" si="3"/>
        <v>2030</v>
      </c>
      <c r="C9" s="123">
        <f t="shared" si="0"/>
        <v>0</v>
      </c>
      <c r="D9" s="124">
        <f t="shared" si="1"/>
        <v>0</v>
      </c>
      <c r="E9" s="125">
        <f t="shared" si="2"/>
        <v>0</v>
      </c>
      <c r="F9" s="124">
        <f>E9*(1+0.07)^-($B9-Assumptions!$D$11)</f>
        <v>0</v>
      </c>
      <c r="G9" s="118"/>
      <c r="H9" s="661" t="s">
        <v>927</v>
      </c>
      <c r="I9" s="662">
        <v>1.1499999999999999</v>
      </c>
      <c r="J9" s="659"/>
      <c r="K9" s="660"/>
      <c r="L9" s="659"/>
      <c r="M9" s="659"/>
      <c r="N9" s="659"/>
      <c r="X9" s="654"/>
      <c r="Y9" s="654"/>
      <c r="Z9" s="654"/>
      <c r="AA9" s="654"/>
      <c r="AB9" s="654"/>
      <c r="AC9" s="654"/>
      <c r="AD9" s="654"/>
      <c r="AE9" s="654"/>
      <c r="AF9" s="654"/>
    </row>
    <row r="10" spans="2:32" ht="15.75" customHeight="1" x14ac:dyDescent="0.25">
      <c r="B10" s="85">
        <f t="shared" si="3"/>
        <v>2031</v>
      </c>
      <c r="C10" s="123">
        <f t="shared" si="0"/>
        <v>0</v>
      </c>
      <c r="D10" s="124">
        <f t="shared" si="1"/>
        <v>0</v>
      </c>
      <c r="E10" s="125">
        <f t="shared" si="2"/>
        <v>0</v>
      </c>
      <c r="F10" s="124">
        <f>E10*(1+0.07)^-($B10-Assumptions!$D$11)</f>
        <v>0</v>
      </c>
      <c r="G10" s="164"/>
      <c r="H10" s="659"/>
      <c r="I10" s="663"/>
      <c r="X10" s="654"/>
      <c r="Y10" s="654"/>
      <c r="Z10" s="654"/>
      <c r="AA10" s="654"/>
      <c r="AB10" s="654"/>
      <c r="AC10" s="654"/>
      <c r="AD10" s="654"/>
      <c r="AE10" s="654"/>
      <c r="AF10" s="654"/>
    </row>
    <row r="11" spans="2:32" ht="15.75" customHeight="1" x14ac:dyDescent="0.25">
      <c r="B11" s="85">
        <f t="shared" si="3"/>
        <v>2032</v>
      </c>
      <c r="C11" s="123">
        <f t="shared" si="0"/>
        <v>0</v>
      </c>
      <c r="D11" s="124">
        <f t="shared" si="1"/>
        <v>0</v>
      </c>
      <c r="E11" s="125">
        <f t="shared" si="2"/>
        <v>0</v>
      </c>
      <c r="F11" s="124">
        <f>E11*(1+0.07)^-($B11-Assumptions!$D$11)</f>
        <v>0</v>
      </c>
      <c r="G11" s="164"/>
      <c r="H11" s="658" t="s">
        <v>930</v>
      </c>
      <c r="I11" s="659"/>
      <c r="J11" s="659"/>
      <c r="K11" s="659"/>
      <c r="L11" s="659"/>
      <c r="M11" s="659"/>
      <c r="N11" s="659"/>
      <c r="P11" s="658" t="s">
        <v>931</v>
      </c>
      <c r="Q11" s="659"/>
      <c r="R11" s="659"/>
      <c r="S11" s="659"/>
      <c r="T11" s="659"/>
      <c r="U11" s="659"/>
      <c r="V11" s="659"/>
      <c r="W11" s="654"/>
      <c r="X11" s="654"/>
      <c r="Y11" s="654"/>
      <c r="Z11" s="654"/>
      <c r="AA11" s="654"/>
      <c r="AB11" s="654"/>
      <c r="AC11" s="654"/>
      <c r="AD11" s="654"/>
      <c r="AE11" s="654"/>
      <c r="AF11" s="654"/>
    </row>
    <row r="12" spans="2:32" ht="15.75" customHeight="1" x14ac:dyDescent="0.25">
      <c r="B12" s="85">
        <f t="shared" si="3"/>
        <v>2033</v>
      </c>
      <c r="C12" s="123">
        <f t="shared" si="0"/>
        <v>0</v>
      </c>
      <c r="D12" s="124">
        <f t="shared" si="1"/>
        <v>15456</v>
      </c>
      <c r="E12" s="125">
        <f t="shared" si="2"/>
        <v>-15456</v>
      </c>
      <c r="F12" s="124">
        <f>E12*(1+0.07)^-($B12-Assumptions!$D$11)</f>
        <v>-6862.6488420248043</v>
      </c>
      <c r="G12" s="164"/>
      <c r="H12" s="664" t="s">
        <v>921</v>
      </c>
      <c r="I12" s="664" t="s">
        <v>30</v>
      </c>
      <c r="J12" s="664" t="s">
        <v>920</v>
      </c>
      <c r="K12" s="665" t="s">
        <v>933</v>
      </c>
      <c r="L12" s="665" t="s">
        <v>919</v>
      </c>
      <c r="M12" s="665" t="s">
        <v>918</v>
      </c>
      <c r="N12" s="665" t="s">
        <v>929</v>
      </c>
      <c r="P12" s="664" t="s">
        <v>921</v>
      </c>
      <c r="Q12" s="664" t="s">
        <v>30</v>
      </c>
      <c r="R12" s="664" t="s">
        <v>920</v>
      </c>
      <c r="S12" s="665" t="s">
        <v>933</v>
      </c>
      <c r="T12" s="665" t="s">
        <v>919</v>
      </c>
      <c r="U12" s="665" t="s">
        <v>918</v>
      </c>
      <c r="V12" s="665" t="s">
        <v>929</v>
      </c>
      <c r="W12" s="654"/>
      <c r="X12" s="669" t="s">
        <v>923</v>
      </c>
      <c r="Y12" s="655" t="s">
        <v>922</v>
      </c>
      <c r="Z12" s="654"/>
      <c r="AA12" s="654"/>
      <c r="AB12" s="654"/>
      <c r="AC12" s="654"/>
      <c r="AD12" s="654"/>
      <c r="AE12" s="654"/>
      <c r="AF12" s="654"/>
    </row>
    <row r="13" spans="2:32" ht="15.75" customHeight="1" x14ac:dyDescent="0.25">
      <c r="B13" s="85">
        <f t="shared" si="3"/>
        <v>2034</v>
      </c>
      <c r="C13" s="123">
        <f t="shared" si="0"/>
        <v>0</v>
      </c>
      <c r="D13" s="124">
        <f t="shared" si="1"/>
        <v>0</v>
      </c>
      <c r="E13" s="125">
        <f t="shared" si="2"/>
        <v>0</v>
      </c>
      <c r="F13" s="124">
        <f>E13*(1+0.07)^-($B13-Assumptions!$D$11)</f>
        <v>0</v>
      </c>
      <c r="G13" s="164"/>
      <c r="H13" s="664" t="s">
        <v>917</v>
      </c>
      <c r="I13" s="662">
        <v>2013</v>
      </c>
      <c r="J13" s="664" t="s">
        <v>66</v>
      </c>
      <c r="K13" s="665" t="s">
        <v>66</v>
      </c>
      <c r="L13" s="667">
        <v>0</v>
      </c>
      <c r="M13" s="667">
        <f t="shared" ref="M13:M22" si="4">L13*2</f>
        <v>0</v>
      </c>
      <c r="N13" s="667">
        <f>IF(I13&lt;Assumptions!$D$33,$I$6*M13*$I$9,0)</f>
        <v>0</v>
      </c>
      <c r="P13" s="664" t="s">
        <v>917</v>
      </c>
      <c r="Q13" s="666">
        <f>Assumptions!$D$14</f>
        <v>2026</v>
      </c>
      <c r="R13" s="664" t="s">
        <v>66</v>
      </c>
      <c r="S13" s="665" t="s">
        <v>66</v>
      </c>
      <c r="T13" s="667">
        <v>0</v>
      </c>
      <c r="U13" s="667">
        <f t="shared" ref="U13:U38" si="5">T13*2</f>
        <v>0</v>
      </c>
      <c r="V13" s="657">
        <f>IF(Q13&lt;=Assumptions!$D$15,$I$6*U13*'O&amp;M + Rehab'!$I$9,0)</f>
        <v>0</v>
      </c>
      <c r="W13" s="654"/>
      <c r="X13" s="654"/>
      <c r="Y13" s="654"/>
      <c r="Z13" s="654"/>
      <c r="AA13" s="654"/>
      <c r="AB13" s="654"/>
      <c r="AC13" s="654"/>
      <c r="AD13" s="654"/>
      <c r="AE13" s="654"/>
      <c r="AF13" s="654"/>
    </row>
    <row r="14" spans="2:32" ht="15.75" customHeight="1" x14ac:dyDescent="0.25">
      <c r="B14" s="85">
        <f t="shared" si="3"/>
        <v>2035</v>
      </c>
      <c r="C14" s="123">
        <f t="shared" si="0"/>
        <v>0</v>
      </c>
      <c r="D14" s="124">
        <f t="shared" si="1"/>
        <v>0</v>
      </c>
      <c r="E14" s="125">
        <f t="shared" si="2"/>
        <v>0</v>
      </c>
      <c r="F14" s="124">
        <f>E14*(1+0.07)^-($B14-Assumptions!$D$11)</f>
        <v>0</v>
      </c>
      <c r="G14" s="164"/>
      <c r="H14" s="664" t="s">
        <v>916</v>
      </c>
      <c r="I14" s="666">
        <f t="shared" ref="I14:I38" si="6">I13+1</f>
        <v>2014</v>
      </c>
      <c r="J14" s="664" t="s">
        <v>66</v>
      </c>
      <c r="K14" s="665" t="s">
        <v>66</v>
      </c>
      <c r="L14" s="667">
        <v>0</v>
      </c>
      <c r="M14" s="667">
        <f t="shared" si="4"/>
        <v>0</v>
      </c>
      <c r="N14" s="667">
        <f>IF(I14&lt;Assumptions!$D$33,$I$6*M14*$I$9,0)</f>
        <v>0</v>
      </c>
      <c r="P14" s="664" t="s">
        <v>916</v>
      </c>
      <c r="Q14" s="666">
        <f t="shared" ref="Q14:Q38" si="7">Q13+1</f>
        <v>2027</v>
      </c>
      <c r="R14" s="664" t="s">
        <v>66</v>
      </c>
      <c r="S14" s="665" t="s">
        <v>66</v>
      </c>
      <c r="T14" s="667">
        <v>0</v>
      </c>
      <c r="U14" s="667">
        <f t="shared" si="5"/>
        <v>0</v>
      </c>
      <c r="V14" s="667">
        <f>IF(Q14&lt;=Assumptions!$D$15,$I$6*U14*'O&amp;M + Rehab'!$I$9,0)</f>
        <v>0</v>
      </c>
      <c r="W14" s="654"/>
      <c r="X14" s="654"/>
      <c r="Y14" s="654"/>
      <c r="Z14" s="654"/>
      <c r="AA14" s="654"/>
      <c r="AB14" s="654"/>
      <c r="AC14" s="654"/>
      <c r="AD14" s="654"/>
      <c r="AE14" s="654"/>
      <c r="AF14" s="654"/>
    </row>
    <row r="15" spans="2:32" ht="15.75" customHeight="1" x14ac:dyDescent="0.25">
      <c r="B15" s="85">
        <f t="shared" si="3"/>
        <v>2036</v>
      </c>
      <c r="C15" s="123">
        <f t="shared" si="0"/>
        <v>0</v>
      </c>
      <c r="D15" s="124">
        <f t="shared" si="1"/>
        <v>0</v>
      </c>
      <c r="E15" s="125">
        <f t="shared" si="2"/>
        <v>0</v>
      </c>
      <c r="F15" s="124">
        <f>E15*(1+0.07)^-($B15-Assumptions!$D$11)</f>
        <v>0</v>
      </c>
      <c r="G15" s="70"/>
      <c r="H15" s="664" t="s">
        <v>915</v>
      </c>
      <c r="I15" s="666">
        <f t="shared" si="6"/>
        <v>2015</v>
      </c>
      <c r="J15" s="664" t="s">
        <v>66</v>
      </c>
      <c r="K15" s="665" t="s">
        <v>66</v>
      </c>
      <c r="L15" s="667">
        <v>0</v>
      </c>
      <c r="M15" s="667">
        <f t="shared" si="4"/>
        <v>0</v>
      </c>
      <c r="N15" s="667">
        <f>IF(I15&lt;Assumptions!$D$33,$I$6*M15*$I$9,0)</f>
        <v>0</v>
      </c>
      <c r="P15" s="664" t="s">
        <v>915</v>
      </c>
      <c r="Q15" s="666">
        <f t="shared" si="7"/>
        <v>2028</v>
      </c>
      <c r="R15" s="664" t="s">
        <v>66</v>
      </c>
      <c r="S15" s="665" t="s">
        <v>66</v>
      </c>
      <c r="T15" s="667">
        <v>0</v>
      </c>
      <c r="U15" s="667">
        <f t="shared" si="5"/>
        <v>0</v>
      </c>
      <c r="V15" s="667">
        <f>IF(Q15&lt;=Assumptions!$D$15,$I$6*U15*'O&amp;M + Rehab'!$I$9,0)</f>
        <v>0</v>
      </c>
      <c r="W15" s="654"/>
      <c r="X15" s="654"/>
      <c r="Y15" s="654"/>
      <c r="Z15" s="654"/>
      <c r="AA15" s="654"/>
      <c r="AB15" s="654"/>
      <c r="AC15" s="654"/>
      <c r="AD15" s="654"/>
      <c r="AE15" s="654"/>
      <c r="AF15" s="654"/>
    </row>
    <row r="16" spans="2:32" ht="15.75" customHeight="1" x14ac:dyDescent="0.25">
      <c r="B16" s="85">
        <f t="shared" si="3"/>
        <v>2037</v>
      </c>
      <c r="C16" s="123">
        <f t="shared" si="0"/>
        <v>0</v>
      </c>
      <c r="D16" s="124">
        <f t="shared" si="1"/>
        <v>38640</v>
      </c>
      <c r="E16" s="125">
        <f t="shared" si="2"/>
        <v>-38640</v>
      </c>
      <c r="F16" s="124">
        <f>E16*(1+0.07)^-($B16-Assumptions!$D$11)</f>
        <v>-13088.704858860541</v>
      </c>
      <c r="G16" s="70"/>
      <c r="H16" s="664" t="s">
        <v>914</v>
      </c>
      <c r="I16" s="666">
        <f t="shared" si="6"/>
        <v>2016</v>
      </c>
      <c r="J16" s="664" t="s">
        <v>66</v>
      </c>
      <c r="K16" s="665" t="s">
        <v>66</v>
      </c>
      <c r="L16" s="667">
        <v>0</v>
      </c>
      <c r="M16" s="667">
        <f t="shared" si="4"/>
        <v>0</v>
      </c>
      <c r="N16" s="667">
        <f>IF(I16&lt;Assumptions!$D$33,$I$6*M16*$I$9,0)</f>
        <v>0</v>
      </c>
      <c r="P16" s="664" t="s">
        <v>914</v>
      </c>
      <c r="Q16" s="666">
        <f t="shared" si="7"/>
        <v>2029</v>
      </c>
      <c r="R16" s="664" t="s">
        <v>66</v>
      </c>
      <c r="S16" s="665" t="s">
        <v>66</v>
      </c>
      <c r="T16" s="667">
        <v>0</v>
      </c>
      <c r="U16" s="667">
        <f t="shared" si="5"/>
        <v>0</v>
      </c>
      <c r="V16" s="667">
        <f>IF(Q16&lt;=Assumptions!$D$15,$I$6*U16*'O&amp;M + Rehab'!$I$9,0)</f>
        <v>0</v>
      </c>
      <c r="W16" s="654"/>
      <c r="X16" s="654"/>
      <c r="Y16" s="654"/>
      <c r="Z16" s="654"/>
      <c r="AA16" s="654"/>
      <c r="AB16" s="654"/>
      <c r="AC16" s="654"/>
      <c r="AD16" s="654"/>
      <c r="AE16" s="654"/>
      <c r="AF16" s="654"/>
    </row>
    <row r="17" spans="2:32" ht="15.75" customHeight="1" x14ac:dyDescent="0.25">
      <c r="B17" s="85">
        <f t="shared" si="3"/>
        <v>2038</v>
      </c>
      <c r="C17" s="123">
        <f t="shared" si="0"/>
        <v>0</v>
      </c>
      <c r="D17" s="124">
        <f t="shared" si="1"/>
        <v>0</v>
      </c>
      <c r="E17" s="125">
        <f t="shared" si="2"/>
        <v>0</v>
      </c>
      <c r="F17" s="124">
        <f>E17*(1+0.07)^-($B17-Assumptions!$D$11)</f>
        <v>0</v>
      </c>
      <c r="G17" s="70"/>
      <c r="H17" s="664" t="s">
        <v>913</v>
      </c>
      <c r="I17" s="666">
        <f t="shared" si="6"/>
        <v>2017</v>
      </c>
      <c r="J17" s="664" t="s">
        <v>66</v>
      </c>
      <c r="K17" s="665" t="s">
        <v>66</v>
      </c>
      <c r="L17" s="667">
        <v>0</v>
      </c>
      <c r="M17" s="667">
        <f t="shared" si="4"/>
        <v>0</v>
      </c>
      <c r="N17" s="667">
        <f>IF(I17&lt;Assumptions!$D$33,$I$6*M17*$I$9,0)</f>
        <v>0</v>
      </c>
      <c r="P17" s="664" t="s">
        <v>913</v>
      </c>
      <c r="Q17" s="666">
        <f t="shared" si="7"/>
        <v>2030</v>
      </c>
      <c r="R17" s="664" t="s">
        <v>66</v>
      </c>
      <c r="S17" s="665" t="s">
        <v>66</v>
      </c>
      <c r="T17" s="667">
        <v>0</v>
      </c>
      <c r="U17" s="667">
        <f t="shared" si="5"/>
        <v>0</v>
      </c>
      <c r="V17" s="667">
        <f>IF(Q17&lt;=Assumptions!$D$15,$I$6*U17*'O&amp;M + Rehab'!$I$9,0)</f>
        <v>0</v>
      </c>
      <c r="W17" s="654"/>
      <c r="X17" s="654"/>
      <c r="Y17" s="654"/>
      <c r="Z17" s="654"/>
      <c r="AA17" s="654"/>
      <c r="AB17" s="654"/>
      <c r="AC17" s="654"/>
      <c r="AD17" s="654"/>
      <c r="AE17" s="654"/>
      <c r="AF17" s="654"/>
    </row>
    <row r="18" spans="2:32" ht="15.75" customHeight="1" x14ac:dyDescent="0.25">
      <c r="B18" s="85">
        <f t="shared" si="3"/>
        <v>2039</v>
      </c>
      <c r="C18" s="123">
        <f t="shared" si="0"/>
        <v>0</v>
      </c>
      <c r="D18" s="124">
        <f t="shared" si="1"/>
        <v>0</v>
      </c>
      <c r="E18" s="125">
        <f t="shared" si="2"/>
        <v>0</v>
      </c>
      <c r="F18" s="124">
        <f>E18*(1+0.07)^-($B18-Assumptions!$D$11)</f>
        <v>0</v>
      </c>
      <c r="G18" s="70"/>
      <c r="H18" s="664" t="s">
        <v>912</v>
      </c>
      <c r="I18" s="666">
        <f t="shared" si="6"/>
        <v>2018</v>
      </c>
      <c r="J18" s="664" t="s">
        <v>66</v>
      </c>
      <c r="K18" s="665" t="s">
        <v>66</v>
      </c>
      <c r="L18" s="667">
        <v>0</v>
      </c>
      <c r="M18" s="667">
        <f t="shared" si="4"/>
        <v>0</v>
      </c>
      <c r="N18" s="667">
        <f>IF(I18&lt;Assumptions!$D$33,$I$6*M18*$I$9,0)</f>
        <v>0</v>
      </c>
      <c r="P18" s="664" t="s">
        <v>912</v>
      </c>
      <c r="Q18" s="666">
        <f t="shared" si="7"/>
        <v>2031</v>
      </c>
      <c r="R18" s="664" t="s">
        <v>66</v>
      </c>
      <c r="S18" s="665" t="s">
        <v>66</v>
      </c>
      <c r="T18" s="667">
        <v>0</v>
      </c>
      <c r="U18" s="667">
        <f t="shared" si="5"/>
        <v>0</v>
      </c>
      <c r="V18" s="667">
        <f>IF(Q18&lt;=Assumptions!$D$15,$I$6*U18*'O&amp;M + Rehab'!$I$9,0)</f>
        <v>0</v>
      </c>
      <c r="W18" s="654"/>
      <c r="X18" s="654"/>
      <c r="Y18" s="654"/>
      <c r="Z18" s="654"/>
      <c r="AA18" s="654"/>
      <c r="AB18" s="654"/>
      <c r="AC18" s="654"/>
      <c r="AD18" s="654"/>
      <c r="AE18" s="654"/>
      <c r="AF18" s="654"/>
    </row>
    <row r="19" spans="2:32" ht="15.75" customHeight="1" x14ac:dyDescent="0.25">
      <c r="B19" s="85">
        <f t="shared" si="3"/>
        <v>2040</v>
      </c>
      <c r="C19" s="123">
        <f t="shared" si="0"/>
        <v>0</v>
      </c>
      <c r="D19" s="124">
        <f t="shared" si="1"/>
        <v>0</v>
      </c>
      <c r="E19" s="125">
        <f t="shared" si="2"/>
        <v>0</v>
      </c>
      <c r="F19" s="124">
        <f>E19*(1+0.07)^-($B19-Assumptions!$D$11)</f>
        <v>0</v>
      </c>
      <c r="G19" s="70"/>
      <c r="H19" s="664" t="s">
        <v>911</v>
      </c>
      <c r="I19" s="666">
        <f t="shared" si="6"/>
        <v>2019</v>
      </c>
      <c r="J19" s="664" t="s">
        <v>66</v>
      </c>
      <c r="K19" s="665" t="s">
        <v>66</v>
      </c>
      <c r="L19" s="667">
        <v>0</v>
      </c>
      <c r="M19" s="667">
        <f t="shared" si="4"/>
        <v>0</v>
      </c>
      <c r="N19" s="667">
        <f>IF(I19&lt;Assumptions!$D$33,$I$6*M19*$I$9,0)</f>
        <v>0</v>
      </c>
      <c r="P19" s="664" t="s">
        <v>911</v>
      </c>
      <c r="Q19" s="666">
        <f t="shared" si="7"/>
        <v>2032</v>
      </c>
      <c r="R19" s="664" t="s">
        <v>66</v>
      </c>
      <c r="S19" s="665" t="s">
        <v>66</v>
      </c>
      <c r="T19" s="667">
        <v>0</v>
      </c>
      <c r="U19" s="667">
        <f t="shared" si="5"/>
        <v>0</v>
      </c>
      <c r="V19" s="667">
        <f>IF(Q19&lt;=Assumptions!$D$15,$I$6*U19*'O&amp;M + Rehab'!$I$9,0)</f>
        <v>0</v>
      </c>
      <c r="W19" s="654"/>
      <c r="X19" s="654"/>
      <c r="Y19" s="654"/>
      <c r="Z19" s="654"/>
      <c r="AA19" s="654"/>
      <c r="AB19" s="654"/>
      <c r="AC19" s="654"/>
      <c r="AD19" s="654"/>
      <c r="AE19" s="654"/>
      <c r="AF19" s="654"/>
    </row>
    <row r="20" spans="2:32" ht="15.75" customHeight="1" x14ac:dyDescent="0.25">
      <c r="B20" s="85">
        <f t="shared" si="3"/>
        <v>2041</v>
      </c>
      <c r="C20" s="123">
        <f t="shared" si="0"/>
        <v>0</v>
      </c>
      <c r="D20" s="124">
        <f t="shared" si="1"/>
        <v>0</v>
      </c>
      <c r="E20" s="125">
        <f t="shared" si="2"/>
        <v>0</v>
      </c>
      <c r="F20" s="124">
        <f>E20*(1+0.07)^-($B20-Assumptions!$D$11)</f>
        <v>0</v>
      </c>
      <c r="G20" s="70"/>
      <c r="H20" s="664" t="s">
        <v>910</v>
      </c>
      <c r="I20" s="666">
        <f t="shared" si="6"/>
        <v>2020</v>
      </c>
      <c r="J20" s="664" t="s">
        <v>909</v>
      </c>
      <c r="K20" s="665" t="s">
        <v>859</v>
      </c>
      <c r="L20" s="667">
        <v>6000</v>
      </c>
      <c r="M20" s="667">
        <f t="shared" si="4"/>
        <v>12000</v>
      </c>
      <c r="N20" s="667">
        <f>IF(I20&lt;Assumptions!$D$33,$I$6*M20*$I$9,0)</f>
        <v>15456</v>
      </c>
      <c r="O20" s="70"/>
      <c r="P20" s="664" t="s">
        <v>910</v>
      </c>
      <c r="Q20" s="666">
        <f t="shared" si="7"/>
        <v>2033</v>
      </c>
      <c r="R20" s="664" t="s">
        <v>909</v>
      </c>
      <c r="S20" s="665" t="s">
        <v>859</v>
      </c>
      <c r="T20" s="667">
        <v>6000</v>
      </c>
      <c r="U20" s="667">
        <f t="shared" si="5"/>
        <v>12000</v>
      </c>
      <c r="V20" s="667">
        <f>IF(Q20&lt;=Assumptions!$D$15,$I$6*U20*'O&amp;M + Rehab'!$I$9,0)</f>
        <v>15456</v>
      </c>
      <c r="W20" s="654"/>
      <c r="X20" s="654"/>
      <c r="Y20" s="654"/>
      <c r="Z20" s="654"/>
      <c r="AA20" s="654"/>
      <c r="AB20" s="654"/>
      <c r="AC20" s="654"/>
      <c r="AD20" s="654"/>
      <c r="AE20" s="654"/>
      <c r="AF20" s="654"/>
    </row>
    <row r="21" spans="2:32" ht="15.75" customHeight="1" x14ac:dyDescent="0.25">
      <c r="B21" s="85">
        <f t="shared" si="3"/>
        <v>2042</v>
      </c>
      <c r="C21" s="123">
        <f t="shared" si="0"/>
        <v>0</v>
      </c>
      <c r="D21" s="124">
        <f t="shared" si="1"/>
        <v>0</v>
      </c>
      <c r="E21" s="125">
        <f t="shared" si="2"/>
        <v>0</v>
      </c>
      <c r="F21" s="124">
        <f>E21*(1+0.07)^-($B21-Assumptions!$D$11)</f>
        <v>0</v>
      </c>
      <c r="G21" s="70"/>
      <c r="H21" s="664" t="s">
        <v>908</v>
      </c>
      <c r="I21" s="666">
        <f t="shared" si="6"/>
        <v>2021</v>
      </c>
      <c r="J21" s="664" t="s">
        <v>66</v>
      </c>
      <c r="K21" s="665" t="s">
        <v>66</v>
      </c>
      <c r="L21" s="667">
        <v>0</v>
      </c>
      <c r="M21" s="667">
        <f t="shared" si="4"/>
        <v>0</v>
      </c>
      <c r="N21" s="667">
        <f>IF(I21&lt;Assumptions!$D$33,$I$6*M21*$I$9,0)</f>
        <v>0</v>
      </c>
      <c r="P21" s="664" t="s">
        <v>908</v>
      </c>
      <c r="Q21" s="666">
        <f t="shared" si="7"/>
        <v>2034</v>
      </c>
      <c r="R21" s="664" t="s">
        <v>66</v>
      </c>
      <c r="S21" s="665" t="s">
        <v>66</v>
      </c>
      <c r="T21" s="667">
        <v>0</v>
      </c>
      <c r="U21" s="667">
        <f t="shared" si="5"/>
        <v>0</v>
      </c>
      <c r="V21" s="667">
        <f>IF(Q21&lt;=Assumptions!$D$15,$I$6*U21*'O&amp;M + Rehab'!$I$9,0)</f>
        <v>0</v>
      </c>
      <c r="W21" s="654"/>
      <c r="X21" s="654"/>
      <c r="Y21" s="654"/>
      <c r="Z21" s="654"/>
      <c r="AA21" s="654"/>
      <c r="AB21" s="654"/>
      <c r="AC21" s="654"/>
      <c r="AD21" s="654"/>
      <c r="AE21" s="654"/>
      <c r="AF21" s="654"/>
    </row>
    <row r="22" spans="2:32" ht="15.75" customHeight="1" x14ac:dyDescent="0.25">
      <c r="B22" s="85">
        <f t="shared" si="3"/>
        <v>2043</v>
      </c>
      <c r="C22" s="123">
        <f t="shared" si="0"/>
        <v>0</v>
      </c>
      <c r="D22" s="124">
        <f t="shared" si="1"/>
        <v>0</v>
      </c>
      <c r="E22" s="125">
        <f t="shared" si="2"/>
        <v>0</v>
      </c>
      <c r="F22" s="124">
        <f>E22*(1+0.07)^-($B22-Assumptions!$D$11)</f>
        <v>0</v>
      </c>
      <c r="G22" s="70"/>
      <c r="H22" s="664" t="s">
        <v>907</v>
      </c>
      <c r="I22" s="666">
        <f t="shared" si="6"/>
        <v>2022</v>
      </c>
      <c r="J22" s="664" t="s">
        <v>66</v>
      </c>
      <c r="K22" s="665" t="s">
        <v>66</v>
      </c>
      <c r="L22" s="667">
        <v>0</v>
      </c>
      <c r="M22" s="667">
        <f t="shared" si="4"/>
        <v>0</v>
      </c>
      <c r="N22" s="667">
        <f>IF(I22&lt;Assumptions!$D$33,$I$6*M22*$I$9,0)</f>
        <v>0</v>
      </c>
      <c r="P22" s="664" t="s">
        <v>907</v>
      </c>
      <c r="Q22" s="666">
        <f t="shared" si="7"/>
        <v>2035</v>
      </c>
      <c r="R22" s="664" t="s">
        <v>66</v>
      </c>
      <c r="S22" s="665" t="s">
        <v>66</v>
      </c>
      <c r="T22" s="667">
        <v>0</v>
      </c>
      <c r="U22" s="667">
        <f t="shared" si="5"/>
        <v>0</v>
      </c>
      <c r="V22" s="667">
        <f>IF(Q22&lt;=Assumptions!$D$15,$I$6*U22*'O&amp;M + Rehab'!$I$9,0)</f>
        <v>0</v>
      </c>
      <c r="W22" s="654"/>
      <c r="X22" s="654"/>
      <c r="Y22" s="654"/>
      <c r="Z22" s="654"/>
      <c r="AA22" s="654"/>
      <c r="AB22" s="654"/>
      <c r="AC22" s="654"/>
      <c r="AD22" s="654"/>
      <c r="AE22" s="654"/>
      <c r="AF22" s="654"/>
    </row>
    <row r="23" spans="2:32" ht="15.75" customHeight="1" x14ac:dyDescent="0.25">
      <c r="B23" s="85">
        <f t="shared" si="3"/>
        <v>2044</v>
      </c>
      <c r="C23" s="123">
        <f t="shared" si="0"/>
        <v>0</v>
      </c>
      <c r="D23" s="124">
        <f t="shared" si="1"/>
        <v>0</v>
      </c>
      <c r="E23" s="125">
        <f t="shared" si="2"/>
        <v>0</v>
      </c>
      <c r="F23" s="124">
        <f>E23*(1+0.07)^-($B23-Assumptions!$D$11)</f>
        <v>0</v>
      </c>
      <c r="G23" s="70"/>
      <c r="H23" s="664" t="s">
        <v>906</v>
      </c>
      <c r="I23" s="666">
        <f t="shared" si="6"/>
        <v>2023</v>
      </c>
      <c r="J23" s="664" t="s">
        <v>66</v>
      </c>
      <c r="K23" s="665" t="s">
        <v>66</v>
      </c>
      <c r="L23" s="667">
        <v>0</v>
      </c>
      <c r="M23" s="667">
        <f t="shared" ref="M23:M66" si="8">L23*2</f>
        <v>0</v>
      </c>
      <c r="N23" s="667">
        <f>IF(I23&lt;Assumptions!$D$33,$I$6*M23*$I$9,0)</f>
        <v>0</v>
      </c>
      <c r="P23" s="664" t="s">
        <v>906</v>
      </c>
      <c r="Q23" s="666">
        <f t="shared" si="7"/>
        <v>2036</v>
      </c>
      <c r="R23" s="664" t="s">
        <v>66</v>
      </c>
      <c r="S23" s="665" t="s">
        <v>66</v>
      </c>
      <c r="T23" s="667">
        <v>0</v>
      </c>
      <c r="U23" s="667">
        <f t="shared" si="5"/>
        <v>0</v>
      </c>
      <c r="V23" s="667">
        <f>IF(Q23&lt;=Assumptions!$D$15,$I$6*U23*'O&amp;M + Rehab'!$I$9,0)</f>
        <v>0</v>
      </c>
      <c r="W23" s="654"/>
      <c r="X23" s="654"/>
      <c r="Y23" s="654"/>
      <c r="Z23" s="654"/>
      <c r="AA23" s="654"/>
      <c r="AB23" s="654"/>
      <c r="AC23" s="654"/>
      <c r="AD23" s="654"/>
      <c r="AE23" s="654"/>
      <c r="AF23" s="654"/>
    </row>
    <row r="24" spans="2:32" ht="15.75" customHeight="1" x14ac:dyDescent="0.25">
      <c r="B24" s="85">
        <f t="shared" si="3"/>
        <v>2045</v>
      </c>
      <c r="C24" s="123">
        <f t="shared" si="0"/>
        <v>0</v>
      </c>
      <c r="D24" s="124">
        <f t="shared" si="1"/>
        <v>399280.00000000006</v>
      </c>
      <c r="E24" s="125">
        <f t="shared" si="2"/>
        <v>-399280.00000000006</v>
      </c>
      <c r="F24" s="124">
        <f>E24*(1+0.07)^-($B24-Assumptions!$D$11)</f>
        <v>-78716.702413155421</v>
      </c>
      <c r="G24" s="70"/>
      <c r="H24" s="664" t="s">
        <v>905</v>
      </c>
      <c r="I24" s="666">
        <f t="shared" si="6"/>
        <v>2024</v>
      </c>
      <c r="J24" s="664" t="s">
        <v>856</v>
      </c>
      <c r="K24" s="665" t="s">
        <v>859</v>
      </c>
      <c r="L24" s="667">
        <v>15000</v>
      </c>
      <c r="M24" s="667">
        <f t="shared" si="8"/>
        <v>30000</v>
      </c>
      <c r="N24" s="667">
        <f>IF(I24&lt;Assumptions!$D$33,$I$6*M24*$I$9,0)</f>
        <v>38640</v>
      </c>
      <c r="P24" s="664" t="s">
        <v>905</v>
      </c>
      <c r="Q24" s="666">
        <f t="shared" si="7"/>
        <v>2037</v>
      </c>
      <c r="R24" s="664" t="s">
        <v>856</v>
      </c>
      <c r="S24" s="665" t="s">
        <v>859</v>
      </c>
      <c r="T24" s="667">
        <v>15000</v>
      </c>
      <c r="U24" s="667">
        <f t="shared" si="5"/>
        <v>30000</v>
      </c>
      <c r="V24" s="667">
        <f>IF(Q24&lt;=Assumptions!$D$15,$I$6*U24*'O&amp;M + Rehab'!$I$9,0)</f>
        <v>38640</v>
      </c>
      <c r="W24" s="654"/>
      <c r="X24" s="654"/>
      <c r="Y24" s="654"/>
      <c r="Z24" s="654"/>
      <c r="AA24" s="654"/>
      <c r="AB24" s="654"/>
      <c r="AC24" s="654"/>
      <c r="AD24" s="654"/>
      <c r="AE24" s="654"/>
      <c r="AF24" s="654"/>
    </row>
    <row r="25" spans="2:32" ht="15.75" customHeight="1" x14ac:dyDescent="0.25">
      <c r="B25" s="85">
        <f t="shared" si="3"/>
        <v>2046</v>
      </c>
      <c r="C25" s="123">
        <f t="shared" si="0"/>
        <v>0</v>
      </c>
      <c r="D25" s="124">
        <f t="shared" si="1"/>
        <v>0</v>
      </c>
      <c r="E25" s="125">
        <f t="shared" si="2"/>
        <v>0</v>
      </c>
      <c r="F25" s="124">
        <f>E25*(1+0.07)^-($B25-Assumptions!$D$11)</f>
        <v>0</v>
      </c>
      <c r="G25" s="70"/>
      <c r="H25" s="664" t="s">
        <v>904</v>
      </c>
      <c r="I25" s="666">
        <f t="shared" si="6"/>
        <v>2025</v>
      </c>
      <c r="J25" s="664" t="s">
        <v>66</v>
      </c>
      <c r="K25" s="665" t="s">
        <v>66</v>
      </c>
      <c r="L25" s="667">
        <v>0</v>
      </c>
      <c r="M25" s="667">
        <f t="shared" si="8"/>
        <v>0</v>
      </c>
      <c r="N25" s="667">
        <f>IF(I25&lt;Assumptions!$D$33,$I$6*M25*$I$9,0)</f>
        <v>0</v>
      </c>
      <c r="P25" s="664" t="s">
        <v>904</v>
      </c>
      <c r="Q25" s="666">
        <f t="shared" si="7"/>
        <v>2038</v>
      </c>
      <c r="R25" s="664" t="s">
        <v>66</v>
      </c>
      <c r="S25" s="665" t="s">
        <v>66</v>
      </c>
      <c r="T25" s="667">
        <v>0</v>
      </c>
      <c r="U25" s="667">
        <f t="shared" si="5"/>
        <v>0</v>
      </c>
      <c r="V25" s="667">
        <f>IF(Q25&lt;=Assumptions!$D$15,$I$6*U25*'O&amp;M + Rehab'!$I$9,0)</f>
        <v>0</v>
      </c>
      <c r="W25" s="654"/>
      <c r="X25" s="654"/>
      <c r="Y25" s="654"/>
      <c r="Z25" s="654"/>
      <c r="AA25" s="654"/>
      <c r="AB25" s="654"/>
      <c r="AC25" s="654"/>
      <c r="AD25" s="654"/>
      <c r="AE25" s="654"/>
      <c r="AF25" s="654"/>
    </row>
    <row r="26" spans="2:32" ht="15.75" customHeight="1" x14ac:dyDescent="0.25">
      <c r="B26" s="85">
        <f t="shared" si="3"/>
        <v>2047</v>
      </c>
      <c r="C26" s="123">
        <f t="shared" si="0"/>
        <v>0</v>
      </c>
      <c r="D26" s="124">
        <f t="shared" si="1"/>
        <v>0</v>
      </c>
      <c r="E26" s="125">
        <f t="shared" si="2"/>
        <v>0</v>
      </c>
      <c r="F26" s="124">
        <f>E26*(1+0.07)^-($B26-Assumptions!$D$11)</f>
        <v>0</v>
      </c>
      <c r="G26" s="70"/>
      <c r="H26" s="664" t="s">
        <v>903</v>
      </c>
      <c r="I26" s="666">
        <f t="shared" si="6"/>
        <v>2026</v>
      </c>
      <c r="J26" s="664" t="s">
        <v>66</v>
      </c>
      <c r="K26" s="665" t="s">
        <v>66</v>
      </c>
      <c r="L26" s="667">
        <v>0</v>
      </c>
      <c r="M26" s="667">
        <f t="shared" si="8"/>
        <v>0</v>
      </c>
      <c r="N26" s="667">
        <f>IF(I26&lt;Assumptions!$D$33,$I$6*M26*$I$9,0)</f>
        <v>0</v>
      </c>
      <c r="P26" s="664" t="s">
        <v>903</v>
      </c>
      <c r="Q26" s="666">
        <f t="shared" si="7"/>
        <v>2039</v>
      </c>
      <c r="R26" s="664" t="s">
        <v>66</v>
      </c>
      <c r="S26" s="665" t="s">
        <v>66</v>
      </c>
      <c r="T26" s="667">
        <v>0</v>
      </c>
      <c r="U26" s="667">
        <f t="shared" si="5"/>
        <v>0</v>
      </c>
      <c r="V26" s="667">
        <f>IF(Q26&lt;=Assumptions!$D$15,$I$6*U26*'O&amp;M + Rehab'!$I$9,0)</f>
        <v>0</v>
      </c>
      <c r="W26" s="654"/>
      <c r="X26" s="654"/>
      <c r="Y26" s="654"/>
      <c r="Z26" s="654"/>
      <c r="AA26" s="654"/>
      <c r="AB26" s="654"/>
      <c r="AC26" s="654"/>
      <c r="AD26" s="654"/>
      <c r="AE26" s="654"/>
      <c r="AF26" s="654"/>
    </row>
    <row r="27" spans="2:32" ht="15.75" customHeight="1" x14ac:dyDescent="0.25">
      <c r="B27" s="85">
        <f t="shared" si="3"/>
        <v>2048</v>
      </c>
      <c r="C27" s="123">
        <f t="shared" si="0"/>
        <v>0</v>
      </c>
      <c r="D27" s="124">
        <f t="shared" si="1"/>
        <v>0</v>
      </c>
      <c r="E27" s="125">
        <f t="shared" si="2"/>
        <v>0</v>
      </c>
      <c r="F27" s="124">
        <f>E27*(1+0.07)^-($B27-Assumptions!$D$11)</f>
        <v>0</v>
      </c>
      <c r="G27" s="70"/>
      <c r="H27" s="664" t="s">
        <v>902</v>
      </c>
      <c r="I27" s="666">
        <f t="shared" si="6"/>
        <v>2027</v>
      </c>
      <c r="J27" s="664" t="s">
        <v>66</v>
      </c>
      <c r="K27" s="665" t="s">
        <v>66</v>
      </c>
      <c r="L27" s="667">
        <v>0</v>
      </c>
      <c r="M27" s="667">
        <f t="shared" si="8"/>
        <v>0</v>
      </c>
      <c r="N27" s="667">
        <f>IF(I27&lt;Assumptions!$D$33,$I$6*M27*$I$9,0)</f>
        <v>0</v>
      </c>
      <c r="P27" s="664" t="s">
        <v>902</v>
      </c>
      <c r="Q27" s="666">
        <f t="shared" si="7"/>
        <v>2040</v>
      </c>
      <c r="R27" s="664" t="s">
        <v>66</v>
      </c>
      <c r="S27" s="665" t="s">
        <v>66</v>
      </c>
      <c r="T27" s="667">
        <v>0</v>
      </c>
      <c r="U27" s="667">
        <f t="shared" si="5"/>
        <v>0</v>
      </c>
      <c r="V27" s="667">
        <f>IF(Q27&lt;=Assumptions!$D$15,$I$6*U27*'O&amp;M + Rehab'!$I$9,0)</f>
        <v>0</v>
      </c>
      <c r="W27" s="654"/>
      <c r="X27" s="654"/>
      <c r="Y27" s="654"/>
      <c r="Z27" s="654"/>
      <c r="AA27" s="654"/>
      <c r="AB27" s="654"/>
      <c r="AC27" s="654"/>
      <c r="AD27" s="654"/>
      <c r="AE27" s="654"/>
      <c r="AF27" s="654"/>
    </row>
    <row r="28" spans="2:32" ht="15.75" customHeight="1" x14ac:dyDescent="0.25">
      <c r="B28" s="85">
        <f t="shared" si="3"/>
        <v>2049</v>
      </c>
      <c r="C28" s="123">
        <f t="shared" si="0"/>
        <v>0</v>
      </c>
      <c r="D28" s="124">
        <f t="shared" si="1"/>
        <v>0</v>
      </c>
      <c r="E28" s="125">
        <f t="shared" si="2"/>
        <v>0</v>
      </c>
      <c r="F28" s="124">
        <f>E28*(1+0.07)^-($B28-Assumptions!$D$11)</f>
        <v>0</v>
      </c>
      <c r="G28" s="70"/>
      <c r="H28" s="664" t="s">
        <v>901</v>
      </c>
      <c r="I28" s="666">
        <f t="shared" si="6"/>
        <v>2028</v>
      </c>
      <c r="J28" s="664" t="s">
        <v>66</v>
      </c>
      <c r="K28" s="665" t="s">
        <v>66</v>
      </c>
      <c r="L28" s="667">
        <v>0</v>
      </c>
      <c r="M28" s="667">
        <f t="shared" si="8"/>
        <v>0</v>
      </c>
      <c r="N28" s="667">
        <f>IF(I28&lt;Assumptions!$D$33,$I$6*M28*$I$9,0)</f>
        <v>0</v>
      </c>
      <c r="P28" s="664" t="s">
        <v>901</v>
      </c>
      <c r="Q28" s="666">
        <f t="shared" si="7"/>
        <v>2041</v>
      </c>
      <c r="R28" s="664" t="s">
        <v>66</v>
      </c>
      <c r="S28" s="665" t="s">
        <v>66</v>
      </c>
      <c r="T28" s="667">
        <v>0</v>
      </c>
      <c r="U28" s="667">
        <f t="shared" si="5"/>
        <v>0</v>
      </c>
      <c r="V28" s="667">
        <f>IF(Q28&lt;=Assumptions!$D$15,$I$6*U28*'O&amp;M + Rehab'!$I$9,0)</f>
        <v>0</v>
      </c>
      <c r="W28" s="654"/>
      <c r="X28" s="654"/>
      <c r="Y28" s="654"/>
      <c r="Z28" s="654"/>
      <c r="AA28" s="654"/>
      <c r="AB28" s="654"/>
      <c r="AC28" s="654"/>
      <c r="AD28" s="654"/>
      <c r="AE28" s="654"/>
      <c r="AF28" s="654"/>
    </row>
    <row r="29" spans="2:32" ht="15.75" customHeight="1" x14ac:dyDescent="0.25">
      <c r="B29" s="85">
        <f t="shared" si="3"/>
        <v>2050</v>
      </c>
      <c r="C29" s="123">
        <f t="shared" si="0"/>
        <v>0</v>
      </c>
      <c r="D29" s="124">
        <f t="shared" si="1"/>
        <v>0</v>
      </c>
      <c r="E29" s="125">
        <f t="shared" si="2"/>
        <v>0</v>
      </c>
      <c r="F29" s="124">
        <f>E29*(1+0.07)^-($B29-Assumptions!$D$11)</f>
        <v>0</v>
      </c>
      <c r="G29" s="70"/>
      <c r="H29" s="664" t="s">
        <v>900</v>
      </c>
      <c r="I29" s="666">
        <f t="shared" si="6"/>
        <v>2029</v>
      </c>
      <c r="J29" s="664" t="s">
        <v>66</v>
      </c>
      <c r="K29" s="665" t="s">
        <v>66</v>
      </c>
      <c r="L29" s="667">
        <v>0</v>
      </c>
      <c r="M29" s="667">
        <f t="shared" si="8"/>
        <v>0</v>
      </c>
      <c r="N29" s="667">
        <f>IF(I29&lt;Assumptions!$D$33,$I$6*M29*$I$9,0)</f>
        <v>0</v>
      </c>
      <c r="P29" s="664" t="s">
        <v>900</v>
      </c>
      <c r="Q29" s="666">
        <f t="shared" si="7"/>
        <v>2042</v>
      </c>
      <c r="R29" s="664" t="s">
        <v>66</v>
      </c>
      <c r="S29" s="665" t="s">
        <v>66</v>
      </c>
      <c r="T29" s="667">
        <v>0</v>
      </c>
      <c r="U29" s="667">
        <f t="shared" si="5"/>
        <v>0</v>
      </c>
      <c r="V29" s="667">
        <f>IF(Q29&lt;=Assumptions!$D$15,$I$6*U29*'O&amp;M + Rehab'!$I$9,0)</f>
        <v>0</v>
      </c>
      <c r="W29" s="654"/>
      <c r="X29" s="654"/>
      <c r="Y29" s="654"/>
      <c r="Z29" s="654"/>
      <c r="AA29" s="654"/>
      <c r="AB29" s="654"/>
      <c r="AC29" s="654"/>
      <c r="AD29" s="654"/>
      <c r="AE29" s="654"/>
      <c r="AF29" s="654"/>
    </row>
    <row r="30" spans="2:32" ht="15.75" customHeight="1" x14ac:dyDescent="0.25">
      <c r="B30" s="85">
        <f t="shared" si="3"/>
        <v>2051</v>
      </c>
      <c r="C30" s="123">
        <f t="shared" si="0"/>
        <v>0</v>
      </c>
      <c r="D30" s="124">
        <f t="shared" si="1"/>
        <v>0</v>
      </c>
      <c r="E30" s="125">
        <f t="shared" si="2"/>
        <v>0</v>
      </c>
      <c r="F30" s="124">
        <f>E30*(1+0.07)^-($B30-Assumptions!$D$11)</f>
        <v>0</v>
      </c>
      <c r="G30" s="70"/>
      <c r="H30" s="664" t="s">
        <v>899</v>
      </c>
      <c r="I30" s="666">
        <f t="shared" si="6"/>
        <v>2030</v>
      </c>
      <c r="J30" s="664" t="s">
        <v>66</v>
      </c>
      <c r="K30" s="665" t="s">
        <v>66</v>
      </c>
      <c r="L30" s="667">
        <v>0</v>
      </c>
      <c r="M30" s="667">
        <f t="shared" si="8"/>
        <v>0</v>
      </c>
      <c r="N30" s="667">
        <f>IF(I30&lt;Assumptions!$D$33,$I$6*M30*$I$9,0)</f>
        <v>0</v>
      </c>
      <c r="P30" s="664" t="s">
        <v>899</v>
      </c>
      <c r="Q30" s="666">
        <f t="shared" si="7"/>
        <v>2043</v>
      </c>
      <c r="R30" s="664" t="s">
        <v>66</v>
      </c>
      <c r="S30" s="665" t="s">
        <v>66</v>
      </c>
      <c r="T30" s="667">
        <v>0</v>
      </c>
      <c r="U30" s="667">
        <f t="shared" si="5"/>
        <v>0</v>
      </c>
      <c r="V30" s="667">
        <f>IF(Q30&lt;=Assumptions!$D$15,$I$6*U30*'O&amp;M + Rehab'!$I$9,0)</f>
        <v>0</v>
      </c>
      <c r="W30" s="654"/>
      <c r="X30" s="654"/>
      <c r="Y30" s="654"/>
      <c r="Z30" s="654"/>
      <c r="AA30" s="654"/>
      <c r="AB30" s="654"/>
      <c r="AC30" s="654"/>
      <c r="AD30" s="654"/>
      <c r="AE30" s="654"/>
      <c r="AF30" s="654"/>
    </row>
    <row r="31" spans="2:32" ht="15.75" customHeight="1" x14ac:dyDescent="0.25">
      <c r="B31" s="85">
        <f t="shared" si="3"/>
        <v>2052</v>
      </c>
      <c r="C31" s="123">
        <f t="shared" si="0"/>
        <v>0</v>
      </c>
      <c r="D31" s="124">
        <f t="shared" si="1"/>
        <v>0</v>
      </c>
      <c r="E31" s="125">
        <f t="shared" si="2"/>
        <v>0</v>
      </c>
      <c r="F31" s="124">
        <f>E31*(1+0.07)^-($B31-Assumptions!$D$11)</f>
        <v>0</v>
      </c>
      <c r="G31" s="70"/>
      <c r="H31" s="664" t="s">
        <v>898</v>
      </c>
      <c r="I31" s="666">
        <f t="shared" si="6"/>
        <v>2031</v>
      </c>
      <c r="J31" s="664" t="s">
        <v>66</v>
      </c>
      <c r="K31" s="665" t="s">
        <v>66</v>
      </c>
      <c r="L31" s="667">
        <v>0</v>
      </c>
      <c r="M31" s="667">
        <f t="shared" si="8"/>
        <v>0</v>
      </c>
      <c r="N31" s="667">
        <f>IF(I31&lt;Assumptions!$D$33,$I$6*M31*$I$9,0)</f>
        <v>0</v>
      </c>
      <c r="P31" s="664" t="s">
        <v>898</v>
      </c>
      <c r="Q31" s="666">
        <f t="shared" si="7"/>
        <v>2044</v>
      </c>
      <c r="R31" s="664" t="s">
        <v>66</v>
      </c>
      <c r="S31" s="665" t="s">
        <v>66</v>
      </c>
      <c r="T31" s="667">
        <v>0</v>
      </c>
      <c r="U31" s="667">
        <f t="shared" si="5"/>
        <v>0</v>
      </c>
      <c r="V31" s="667">
        <f>IF(Q31&lt;=Assumptions!$D$15,$I$6*U31*'O&amp;M + Rehab'!$I$9,0)</f>
        <v>0</v>
      </c>
      <c r="W31" s="654"/>
      <c r="X31" s="654"/>
      <c r="Y31" s="654"/>
      <c r="Z31" s="654"/>
      <c r="AA31" s="654"/>
      <c r="AB31" s="654"/>
      <c r="AC31" s="654"/>
      <c r="AD31" s="654"/>
      <c r="AE31" s="654"/>
      <c r="AF31" s="654"/>
    </row>
    <row r="32" spans="2:32" ht="15.75" customHeight="1" x14ac:dyDescent="0.25">
      <c r="B32" s="85">
        <f t="shared" si="3"/>
        <v>2053</v>
      </c>
      <c r="C32" s="123">
        <f t="shared" si="0"/>
        <v>0</v>
      </c>
      <c r="D32" s="124">
        <f t="shared" si="1"/>
        <v>0</v>
      </c>
      <c r="E32" s="125">
        <f t="shared" si="2"/>
        <v>0</v>
      </c>
      <c r="F32" s="124">
        <f>E32*(1+0.07)^-($B32-Assumptions!$D$11)</f>
        <v>0</v>
      </c>
      <c r="G32" s="70"/>
      <c r="H32" s="664" t="s">
        <v>897</v>
      </c>
      <c r="I32" s="666">
        <f t="shared" si="6"/>
        <v>2032</v>
      </c>
      <c r="J32" s="664" t="s">
        <v>896</v>
      </c>
      <c r="K32" s="665" t="s">
        <v>855</v>
      </c>
      <c r="L32" s="667">
        <v>155000</v>
      </c>
      <c r="M32" s="667">
        <f t="shared" si="8"/>
        <v>310000</v>
      </c>
      <c r="N32" s="667">
        <f>IF(I32&lt;Assumptions!$D$33,$I$6*M32*$I$9,0)</f>
        <v>0</v>
      </c>
      <c r="P32" s="664" t="s">
        <v>897</v>
      </c>
      <c r="Q32" s="666">
        <f t="shared" si="7"/>
        <v>2045</v>
      </c>
      <c r="R32" s="664" t="s">
        <v>896</v>
      </c>
      <c r="S32" s="665" t="s">
        <v>855</v>
      </c>
      <c r="T32" s="667">
        <v>155000</v>
      </c>
      <c r="U32" s="667">
        <f t="shared" si="5"/>
        <v>310000</v>
      </c>
      <c r="V32" s="667">
        <f>IF(Q32&lt;=Assumptions!$D$15,$I$6*U32*'O&amp;M + Rehab'!$I$9,0)</f>
        <v>399280.00000000006</v>
      </c>
      <c r="W32" s="654"/>
      <c r="X32" s="654"/>
      <c r="Y32" s="654"/>
      <c r="Z32" s="654"/>
      <c r="AA32" s="654"/>
      <c r="AB32" s="654"/>
      <c r="AC32" s="654"/>
      <c r="AD32" s="654"/>
      <c r="AE32" s="654"/>
      <c r="AF32" s="654"/>
    </row>
    <row r="33" spans="1:32" ht="15.75" customHeight="1" x14ac:dyDescent="0.25">
      <c r="B33" s="85">
        <f t="shared" si="3"/>
        <v>2054</v>
      </c>
      <c r="C33" s="123">
        <f t="shared" si="0"/>
        <v>0</v>
      </c>
      <c r="D33" s="124">
        <f t="shared" si="1"/>
        <v>0</v>
      </c>
      <c r="E33" s="125">
        <f t="shared" si="2"/>
        <v>0</v>
      </c>
      <c r="F33" s="124">
        <f>E33*(1+0.07)^-($B33-Assumptions!$D$11)</f>
        <v>0</v>
      </c>
      <c r="G33" s="70"/>
      <c r="H33" s="664" t="s">
        <v>895</v>
      </c>
      <c r="I33" s="666">
        <f t="shared" si="6"/>
        <v>2033</v>
      </c>
      <c r="J33" s="664" t="s">
        <v>66</v>
      </c>
      <c r="K33" s="665" t="s">
        <v>66</v>
      </c>
      <c r="L33" s="667">
        <v>0</v>
      </c>
      <c r="M33" s="667">
        <f t="shared" si="8"/>
        <v>0</v>
      </c>
      <c r="N33" s="667">
        <f>IF(I33&lt;Assumptions!$D$33,$I$6*M33*$I$9,0)</f>
        <v>0</v>
      </c>
      <c r="P33" s="664" t="s">
        <v>895</v>
      </c>
      <c r="Q33" s="666">
        <f t="shared" si="7"/>
        <v>2046</v>
      </c>
      <c r="R33" s="664" t="s">
        <v>66</v>
      </c>
      <c r="S33" s="665" t="s">
        <v>66</v>
      </c>
      <c r="T33" s="667">
        <v>0</v>
      </c>
      <c r="U33" s="667">
        <f t="shared" si="5"/>
        <v>0</v>
      </c>
      <c r="V33" s="667">
        <f>IF(Q33&lt;=Assumptions!$D$15,$I$6*U33*'O&amp;M + Rehab'!$I$9,0)</f>
        <v>0</v>
      </c>
      <c r="W33" s="654"/>
      <c r="X33" s="654"/>
      <c r="Y33" s="654"/>
      <c r="Z33" s="654"/>
      <c r="AA33" s="654"/>
      <c r="AB33" s="654"/>
      <c r="AC33" s="654"/>
      <c r="AD33" s="654"/>
      <c r="AE33" s="654"/>
      <c r="AF33" s="654"/>
    </row>
    <row r="34" spans="1:32" ht="15.75" customHeight="1" x14ac:dyDescent="0.25">
      <c r="B34" s="85">
        <f t="shared" si="3"/>
        <v>2055</v>
      </c>
      <c r="C34" s="123">
        <f t="shared" si="0"/>
        <v>0</v>
      </c>
      <c r="D34" s="124">
        <f t="shared" si="1"/>
        <v>0</v>
      </c>
      <c r="E34" s="125">
        <f t="shared" si="2"/>
        <v>0</v>
      </c>
      <c r="F34" s="124">
        <f>E34*(1+0.07)^-($B34-Assumptions!$D$11)</f>
        <v>0</v>
      </c>
      <c r="G34" s="70"/>
      <c r="H34" s="664" t="s">
        <v>894</v>
      </c>
      <c r="I34" s="666">
        <f t="shared" si="6"/>
        <v>2034</v>
      </c>
      <c r="J34" s="664" t="s">
        <v>66</v>
      </c>
      <c r="K34" s="665" t="s">
        <v>66</v>
      </c>
      <c r="L34" s="667">
        <v>0</v>
      </c>
      <c r="M34" s="667">
        <f t="shared" si="8"/>
        <v>0</v>
      </c>
      <c r="N34" s="667">
        <f>IF(I34&lt;Assumptions!$D$33,$I$6*M34*$I$9,0)</f>
        <v>0</v>
      </c>
      <c r="P34" s="664" t="s">
        <v>894</v>
      </c>
      <c r="Q34" s="666">
        <f t="shared" si="7"/>
        <v>2047</v>
      </c>
      <c r="R34" s="664" t="s">
        <v>66</v>
      </c>
      <c r="S34" s="665" t="s">
        <v>66</v>
      </c>
      <c r="T34" s="667">
        <v>0</v>
      </c>
      <c r="U34" s="667">
        <f t="shared" si="5"/>
        <v>0</v>
      </c>
      <c r="V34" s="667">
        <f>IF(Q34&lt;=Assumptions!$D$15,$I$6*U34*'O&amp;M + Rehab'!$I$9,0)</f>
        <v>0</v>
      </c>
      <c r="W34" s="654"/>
      <c r="X34" s="654"/>
      <c r="Y34" s="654"/>
      <c r="Z34" s="654"/>
      <c r="AA34" s="654"/>
      <c r="AB34" s="654"/>
      <c r="AC34" s="654"/>
      <c r="AD34" s="654"/>
      <c r="AE34" s="654"/>
      <c r="AF34" s="654"/>
    </row>
    <row r="35" spans="1:32" ht="15.75" customHeight="1" x14ac:dyDescent="0.25">
      <c r="B35" s="85">
        <f t="shared" si="3"/>
        <v>2056</v>
      </c>
      <c r="C35" s="123">
        <f t="shared" si="0"/>
        <v>0</v>
      </c>
      <c r="D35" s="124">
        <f t="shared" si="1"/>
        <v>0</v>
      </c>
      <c r="E35" s="125">
        <f t="shared" si="2"/>
        <v>0</v>
      </c>
      <c r="F35" s="124">
        <f>E35*(1+0.07)^-($B35-Assumptions!$D$11)</f>
        <v>0</v>
      </c>
      <c r="G35" s="70"/>
      <c r="H35" s="664" t="s">
        <v>893</v>
      </c>
      <c r="I35" s="666">
        <f t="shared" si="6"/>
        <v>2035</v>
      </c>
      <c r="J35" s="664" t="s">
        <v>66</v>
      </c>
      <c r="K35" s="665" t="s">
        <v>66</v>
      </c>
      <c r="L35" s="667">
        <v>0</v>
      </c>
      <c r="M35" s="667">
        <f t="shared" si="8"/>
        <v>0</v>
      </c>
      <c r="N35" s="667">
        <f>IF(I35&lt;Assumptions!$D$33,$I$6*M35*$I$9,0)</f>
        <v>0</v>
      </c>
      <c r="P35" s="664" t="s">
        <v>893</v>
      </c>
      <c r="Q35" s="666">
        <f t="shared" si="7"/>
        <v>2048</v>
      </c>
      <c r="R35" s="664" t="s">
        <v>66</v>
      </c>
      <c r="S35" s="665" t="s">
        <v>66</v>
      </c>
      <c r="T35" s="667">
        <v>0</v>
      </c>
      <c r="U35" s="667">
        <f t="shared" si="5"/>
        <v>0</v>
      </c>
      <c r="V35" s="667">
        <f>IF(Q35&lt;=Assumptions!$D$15,$I$6*U35*'O&amp;M + Rehab'!$I$9,0)</f>
        <v>0</v>
      </c>
      <c r="W35" s="654"/>
      <c r="X35" s="654"/>
      <c r="Y35" s="654"/>
      <c r="Z35" s="654"/>
      <c r="AA35" s="654"/>
      <c r="AB35" s="654"/>
      <c r="AC35" s="654"/>
      <c r="AD35" s="654"/>
      <c r="AE35" s="654"/>
      <c r="AF35" s="654"/>
    </row>
    <row r="36" spans="1:32" ht="15.75" customHeight="1" x14ac:dyDescent="0.25">
      <c r="B36" s="85">
        <f t="shared" si="3"/>
        <v>2057</v>
      </c>
      <c r="C36" s="123">
        <f t="shared" si="0"/>
        <v>0</v>
      </c>
      <c r="D36" s="124">
        <f t="shared" si="1"/>
        <v>0</v>
      </c>
      <c r="E36" s="125">
        <f t="shared" si="2"/>
        <v>0</v>
      </c>
      <c r="F36" s="124">
        <f>E36*(1+0.07)^-($B36-Assumptions!$D$11)</f>
        <v>0</v>
      </c>
      <c r="G36" s="70"/>
      <c r="H36" s="664" t="s">
        <v>892</v>
      </c>
      <c r="I36" s="666">
        <f t="shared" si="6"/>
        <v>2036</v>
      </c>
      <c r="J36" s="664" t="s">
        <v>909</v>
      </c>
      <c r="K36" s="665" t="s">
        <v>859</v>
      </c>
      <c r="L36" s="667">
        <v>6000</v>
      </c>
      <c r="M36" s="667">
        <f t="shared" si="8"/>
        <v>12000</v>
      </c>
      <c r="N36" s="667">
        <f>IF(I36&lt;Assumptions!$D$33,$I$6*M36*$I$9,0)</f>
        <v>0</v>
      </c>
      <c r="P36" s="664" t="s">
        <v>892</v>
      </c>
      <c r="Q36" s="666">
        <f t="shared" si="7"/>
        <v>2049</v>
      </c>
      <c r="R36" s="664" t="s">
        <v>891</v>
      </c>
      <c r="S36" s="665" t="s">
        <v>859</v>
      </c>
      <c r="T36" s="667">
        <v>6000</v>
      </c>
      <c r="U36" s="667">
        <f t="shared" si="5"/>
        <v>12000</v>
      </c>
      <c r="V36" s="667">
        <f>IF(Q36&lt;=Assumptions!$D$15,$I$6*U36*'O&amp;M + Rehab'!$I$9,0)</f>
        <v>0</v>
      </c>
      <c r="W36" s="654"/>
      <c r="X36" s="654"/>
      <c r="Y36" s="654"/>
      <c r="Z36" s="654"/>
      <c r="AA36" s="654"/>
      <c r="AB36" s="654"/>
      <c r="AC36" s="654"/>
      <c r="AD36" s="654"/>
      <c r="AE36" s="654"/>
      <c r="AF36" s="654"/>
    </row>
    <row r="37" spans="1:32" ht="15.75" customHeight="1" x14ac:dyDescent="0.25">
      <c r="B37" s="85">
        <f t="shared" si="3"/>
        <v>2058</v>
      </c>
      <c r="C37" s="123">
        <f t="shared" si="0"/>
        <v>0</v>
      </c>
      <c r="D37" s="124">
        <f t="shared" si="1"/>
        <v>0</v>
      </c>
      <c r="E37" s="125">
        <f t="shared" si="2"/>
        <v>0</v>
      </c>
      <c r="F37" s="124">
        <f>E37*(1+0.07)^-($B37-Assumptions!$D$11)</f>
        <v>0</v>
      </c>
      <c r="G37" s="70"/>
      <c r="H37" s="664" t="s">
        <v>890</v>
      </c>
      <c r="I37" s="666">
        <f t="shared" si="6"/>
        <v>2037</v>
      </c>
      <c r="J37" s="664" t="s">
        <v>66</v>
      </c>
      <c r="K37" s="665" t="s">
        <v>66</v>
      </c>
      <c r="L37" s="667">
        <v>0</v>
      </c>
      <c r="M37" s="667">
        <f t="shared" si="8"/>
        <v>0</v>
      </c>
      <c r="N37" s="667">
        <f>IF(I37&lt;Assumptions!$D$33,$I$6*M37*$I$9,0)</f>
        <v>0</v>
      </c>
      <c r="P37" s="664" t="s">
        <v>890</v>
      </c>
      <c r="Q37" s="666">
        <f t="shared" si="7"/>
        <v>2050</v>
      </c>
      <c r="R37" s="664" t="s">
        <v>66</v>
      </c>
      <c r="S37" s="665" t="s">
        <v>66</v>
      </c>
      <c r="T37" s="667">
        <v>0</v>
      </c>
      <c r="U37" s="667">
        <f t="shared" si="5"/>
        <v>0</v>
      </c>
      <c r="V37" s="667">
        <f>IF(Q37&lt;=Assumptions!$D$15,$I$6*U37*'O&amp;M + Rehab'!$I$9,0)</f>
        <v>0</v>
      </c>
      <c r="W37" s="654"/>
      <c r="X37" s="654"/>
      <c r="Y37" s="654"/>
      <c r="Z37" s="654"/>
      <c r="AA37" s="654"/>
      <c r="AB37" s="654"/>
      <c r="AC37" s="654"/>
      <c r="AD37" s="654"/>
      <c r="AE37" s="654"/>
      <c r="AF37" s="654"/>
    </row>
    <row r="38" spans="1:32" ht="15.75" customHeight="1" x14ac:dyDescent="0.25">
      <c r="A38" s="2"/>
      <c r="B38" s="85">
        <f t="shared" si="3"/>
        <v>2059</v>
      </c>
      <c r="C38" s="123">
        <f t="shared" si="0"/>
        <v>0</v>
      </c>
      <c r="D38" s="124">
        <f t="shared" si="1"/>
        <v>0</v>
      </c>
      <c r="E38" s="125">
        <f t="shared" si="2"/>
        <v>0</v>
      </c>
      <c r="F38" s="124">
        <f>E38*(1+0.07)^-($B38-Assumptions!$D$11)</f>
        <v>0</v>
      </c>
      <c r="G38" s="70"/>
      <c r="H38" s="664" t="s">
        <v>889</v>
      </c>
      <c r="I38" s="666">
        <f t="shared" si="6"/>
        <v>2038</v>
      </c>
      <c r="J38" s="664" t="s">
        <v>856</v>
      </c>
      <c r="K38" s="665" t="s">
        <v>855</v>
      </c>
      <c r="L38" s="667">
        <v>15000</v>
      </c>
      <c r="M38" s="667">
        <f t="shared" si="8"/>
        <v>30000</v>
      </c>
      <c r="N38" s="667">
        <f>IF(I38&lt;Assumptions!$D$33,$I$6*M38*$I$9,0)</f>
        <v>0</v>
      </c>
      <c r="O38" s="659"/>
      <c r="P38" s="664" t="s">
        <v>889</v>
      </c>
      <c r="Q38" s="666">
        <f t="shared" si="7"/>
        <v>2051</v>
      </c>
      <c r="R38" s="664" t="s">
        <v>856</v>
      </c>
      <c r="S38" s="665" t="s">
        <v>855</v>
      </c>
      <c r="T38" s="667">
        <v>15000</v>
      </c>
      <c r="U38" s="667">
        <f t="shared" si="5"/>
        <v>30000</v>
      </c>
      <c r="V38" s="667">
        <f>IF(Q38&lt;=Assumptions!$D$15,$I$6*U38*'O&amp;M + Rehab'!$I$9,0)</f>
        <v>0</v>
      </c>
      <c r="W38" s="654"/>
      <c r="X38" s="654"/>
      <c r="Y38" s="654"/>
      <c r="Z38" s="654"/>
      <c r="AA38" s="654"/>
      <c r="AB38" s="654"/>
      <c r="AC38" s="654"/>
      <c r="AD38" s="654"/>
      <c r="AE38" s="654"/>
      <c r="AF38" s="654"/>
    </row>
    <row r="39" spans="1:32" ht="15.75" customHeight="1" x14ac:dyDescent="0.25">
      <c r="B39" s="85">
        <f t="shared" si="3"/>
        <v>2060</v>
      </c>
      <c r="C39" s="123">
        <f t="shared" si="0"/>
        <v>0</v>
      </c>
      <c r="D39" s="124">
        <f t="shared" si="1"/>
        <v>0</v>
      </c>
      <c r="E39" s="125">
        <f t="shared" si="2"/>
        <v>0</v>
      </c>
      <c r="F39" s="124">
        <f>E39*(1+0.07)^-($B39-Assumptions!$D$11)</f>
        <v>0</v>
      </c>
      <c r="G39" s="70"/>
      <c r="H39" s="664" t="s">
        <v>888</v>
      </c>
      <c r="I39" s="666">
        <f t="shared" ref="I39:I66" si="9">I38+1</f>
        <v>2039</v>
      </c>
      <c r="J39" s="664" t="s">
        <v>66</v>
      </c>
      <c r="K39" s="665" t="s">
        <v>66</v>
      </c>
      <c r="L39" s="667">
        <v>0</v>
      </c>
      <c r="M39" s="667">
        <f t="shared" si="8"/>
        <v>0</v>
      </c>
      <c r="N39" s="667">
        <f>IF(I39&lt;Assumptions!$D$33,$I$6*M39*$I$9,0)</f>
        <v>0</v>
      </c>
      <c r="O39" s="70"/>
      <c r="P39" s="669" t="s">
        <v>923</v>
      </c>
      <c r="Q39" s="655" t="s">
        <v>922</v>
      </c>
      <c r="W39" s="654"/>
      <c r="X39" s="654"/>
      <c r="Y39" s="654"/>
      <c r="Z39" s="654"/>
      <c r="AA39" s="654"/>
      <c r="AB39" s="654"/>
      <c r="AC39" s="654"/>
      <c r="AD39" s="654"/>
      <c r="AE39" s="654"/>
      <c r="AF39" s="654"/>
    </row>
    <row r="40" spans="1:32" ht="15.75" customHeight="1" thickBot="1" x14ac:dyDescent="0.3">
      <c r="B40" s="86">
        <f t="shared" si="3"/>
        <v>2061</v>
      </c>
      <c r="C40" s="126">
        <f t="shared" si="0"/>
        <v>0</v>
      </c>
      <c r="D40" s="127">
        <f t="shared" si="1"/>
        <v>0</v>
      </c>
      <c r="E40" s="128">
        <f t="shared" si="2"/>
        <v>0</v>
      </c>
      <c r="F40" s="127">
        <f>E40*(1+0.07)^-($B40-Assumptions!$D$11)</f>
        <v>0</v>
      </c>
      <c r="G40" s="70"/>
      <c r="H40" s="664" t="s">
        <v>887</v>
      </c>
      <c r="I40" s="666">
        <f t="shared" si="9"/>
        <v>2040</v>
      </c>
      <c r="J40" s="664" t="s">
        <v>66</v>
      </c>
      <c r="K40" s="665" t="s">
        <v>66</v>
      </c>
      <c r="L40" s="667">
        <v>0</v>
      </c>
      <c r="M40" s="667">
        <f t="shared" si="8"/>
        <v>0</v>
      </c>
      <c r="N40" s="667">
        <f>IF(I40&lt;Assumptions!$D$33,$I$6*M40*$I$9,0)</f>
        <v>0</v>
      </c>
      <c r="O40" s="70"/>
      <c r="W40" s="654"/>
      <c r="X40" s="654"/>
      <c r="Y40" s="654"/>
      <c r="Z40" s="654"/>
      <c r="AA40" s="654"/>
      <c r="AB40" s="654"/>
      <c r="AC40" s="654"/>
      <c r="AD40" s="654"/>
      <c r="AE40" s="654"/>
      <c r="AF40" s="654"/>
    </row>
    <row r="41" spans="1:32" ht="15.75" customHeight="1" x14ac:dyDescent="0.25">
      <c r="E41" s="95" t="s">
        <v>2</v>
      </c>
      <c r="F41" s="129">
        <f>SUM(F5:F40)</f>
        <v>-98668.056114040766</v>
      </c>
      <c r="G41" s="70"/>
      <c r="H41" s="664" t="s">
        <v>886</v>
      </c>
      <c r="I41" s="666">
        <f t="shared" si="9"/>
        <v>2041</v>
      </c>
      <c r="J41" s="664" t="s">
        <v>66</v>
      </c>
      <c r="K41" s="665" t="s">
        <v>66</v>
      </c>
      <c r="L41" s="667">
        <v>0</v>
      </c>
      <c r="M41" s="667">
        <f t="shared" si="8"/>
        <v>0</v>
      </c>
      <c r="N41" s="667">
        <f>IF(I41&lt;Assumptions!$D$33,$I$6*M41*$I$9,0)</f>
        <v>0</v>
      </c>
      <c r="O41" s="70"/>
      <c r="W41" s="654"/>
      <c r="X41" s="654"/>
      <c r="Y41" s="654"/>
      <c r="Z41" s="654"/>
      <c r="AA41" s="654"/>
      <c r="AB41" s="654"/>
      <c r="AC41" s="654"/>
      <c r="AD41" s="654"/>
      <c r="AE41" s="654"/>
      <c r="AF41" s="654"/>
    </row>
    <row r="42" spans="1:32" ht="15.75" customHeight="1" x14ac:dyDescent="0.25">
      <c r="B42" s="44"/>
      <c r="C42" s="119"/>
      <c r="D42" s="119"/>
      <c r="E42" s="119"/>
      <c r="F42" s="119"/>
      <c r="G42" s="122"/>
      <c r="H42" s="664" t="s">
        <v>885</v>
      </c>
      <c r="I42" s="666">
        <f t="shared" si="9"/>
        <v>2042</v>
      </c>
      <c r="J42" s="664" t="s">
        <v>66</v>
      </c>
      <c r="K42" s="665" t="s">
        <v>66</v>
      </c>
      <c r="L42" s="667">
        <v>0</v>
      </c>
      <c r="M42" s="667">
        <f t="shared" si="8"/>
        <v>0</v>
      </c>
      <c r="N42" s="667">
        <f>IF(I42&lt;Assumptions!$D$33,$I$6*M42*$I$9,0)</f>
        <v>0</v>
      </c>
      <c r="O42" s="654"/>
      <c r="W42" s="654"/>
      <c r="X42" s="654"/>
      <c r="Y42" s="654"/>
      <c r="Z42" s="654"/>
      <c r="AA42" s="654"/>
      <c r="AB42" s="654"/>
      <c r="AC42" s="654"/>
      <c r="AD42" s="654"/>
      <c r="AE42" s="654"/>
      <c r="AF42" s="654"/>
    </row>
    <row r="43" spans="1:32" ht="15.75" customHeight="1" x14ac:dyDescent="0.25">
      <c r="B43" s="8"/>
      <c r="C43" s="8"/>
      <c r="D43" s="8"/>
      <c r="E43" s="8"/>
      <c r="H43" s="664" t="s">
        <v>884</v>
      </c>
      <c r="I43" s="666">
        <f t="shared" si="9"/>
        <v>2043</v>
      </c>
      <c r="J43" s="664" t="s">
        <v>66</v>
      </c>
      <c r="K43" s="665" t="s">
        <v>66</v>
      </c>
      <c r="L43" s="667">
        <v>0</v>
      </c>
      <c r="M43" s="667">
        <f t="shared" si="8"/>
        <v>0</v>
      </c>
      <c r="N43" s="667">
        <f>IF(I43&lt;Assumptions!$D$33,$I$6*M43*$I$9,0)</f>
        <v>0</v>
      </c>
      <c r="O43" s="654"/>
      <c r="W43" s="654"/>
      <c r="X43" s="654"/>
      <c r="Y43" s="654"/>
      <c r="Z43" s="654"/>
      <c r="AA43" s="654"/>
      <c r="AB43" s="654"/>
      <c r="AC43" s="654"/>
      <c r="AD43" s="654"/>
      <c r="AE43" s="654"/>
      <c r="AF43" s="654"/>
    </row>
    <row r="44" spans="1:32" ht="15.75" customHeight="1" x14ac:dyDescent="0.25">
      <c r="B44" s="1" t="s">
        <v>3</v>
      </c>
      <c r="H44" s="664" t="s">
        <v>883</v>
      </c>
      <c r="I44" s="666">
        <f t="shared" si="9"/>
        <v>2044</v>
      </c>
      <c r="J44" s="664" t="s">
        <v>66</v>
      </c>
      <c r="K44" s="665" t="s">
        <v>66</v>
      </c>
      <c r="L44" s="667">
        <v>0</v>
      </c>
      <c r="M44" s="667">
        <f t="shared" si="8"/>
        <v>0</v>
      </c>
      <c r="N44" s="667">
        <f>IF(I44&lt;Assumptions!$D$33,$I$6*M44*$I$9,0)</f>
        <v>0</v>
      </c>
      <c r="O44" s="654"/>
      <c r="W44" s="654"/>
      <c r="X44" s="654"/>
      <c r="Y44" s="654"/>
      <c r="Z44" s="654"/>
      <c r="AA44" s="654"/>
      <c r="AB44" s="654"/>
      <c r="AC44" s="654"/>
      <c r="AD44" s="654"/>
      <c r="AE44" s="654"/>
      <c r="AF44" s="654"/>
    </row>
    <row r="45" spans="1:32" ht="15.75" customHeight="1" x14ac:dyDescent="0.25">
      <c r="A45" s="2" t="s">
        <v>16</v>
      </c>
      <c r="B45" s="672" t="s">
        <v>934</v>
      </c>
      <c r="C45" s="672"/>
      <c r="D45" s="672"/>
      <c r="E45" s="672"/>
      <c r="F45" s="672"/>
      <c r="G45" s="37"/>
      <c r="H45" s="664" t="s">
        <v>882</v>
      </c>
      <c r="I45" s="666">
        <f t="shared" si="9"/>
        <v>2045</v>
      </c>
      <c r="J45" s="664" t="s">
        <v>66</v>
      </c>
      <c r="K45" s="665" t="s">
        <v>66</v>
      </c>
      <c r="L45" s="667">
        <v>0</v>
      </c>
      <c r="M45" s="667">
        <f t="shared" si="8"/>
        <v>0</v>
      </c>
      <c r="N45" s="667">
        <f>IF(I45&lt;Assumptions!$D$33,$I$6*M45*$I$9,0)</f>
        <v>0</v>
      </c>
      <c r="O45" s="654"/>
      <c r="W45" s="654"/>
      <c r="X45" s="654"/>
      <c r="Y45" s="654"/>
      <c r="Z45" s="654"/>
      <c r="AA45" s="654"/>
      <c r="AB45" s="654"/>
      <c r="AC45" s="654"/>
      <c r="AD45" s="654"/>
      <c r="AE45" s="654"/>
      <c r="AF45" s="654"/>
    </row>
    <row r="46" spans="1:32" x14ac:dyDescent="0.25">
      <c r="B46" s="672"/>
      <c r="C46" s="672"/>
      <c r="D46" s="672"/>
      <c r="E46" s="672"/>
      <c r="F46" s="672"/>
      <c r="G46" s="37"/>
      <c r="H46" s="664" t="s">
        <v>881</v>
      </c>
      <c r="I46" s="666">
        <f t="shared" si="9"/>
        <v>2046</v>
      </c>
      <c r="J46" s="664" t="s">
        <v>66</v>
      </c>
      <c r="K46" s="665" t="s">
        <v>66</v>
      </c>
      <c r="L46" s="667">
        <v>0</v>
      </c>
      <c r="M46" s="667">
        <f t="shared" si="8"/>
        <v>0</v>
      </c>
      <c r="N46" s="667">
        <f>IF(I46&lt;Assumptions!$D$33,$I$6*M46*$I$9,0)</f>
        <v>0</v>
      </c>
      <c r="O46" s="654"/>
      <c r="W46" s="654"/>
      <c r="X46" s="654"/>
      <c r="Y46" s="654"/>
      <c r="Z46" s="654"/>
      <c r="AA46" s="654"/>
      <c r="AB46" s="654"/>
      <c r="AC46" s="654"/>
      <c r="AD46" s="654"/>
      <c r="AE46" s="654"/>
      <c r="AF46" s="654"/>
    </row>
    <row r="47" spans="1:32" x14ac:dyDescent="0.25">
      <c r="B47" s="672"/>
      <c r="C47" s="672"/>
      <c r="D47" s="672"/>
      <c r="E47" s="672"/>
      <c r="F47" s="672"/>
      <c r="G47" s="37"/>
      <c r="H47" s="664" t="s">
        <v>880</v>
      </c>
      <c r="I47" s="666">
        <f t="shared" si="9"/>
        <v>2047</v>
      </c>
      <c r="J47" s="664" t="s">
        <v>879</v>
      </c>
      <c r="K47" s="665" t="s">
        <v>855</v>
      </c>
      <c r="L47" s="667">
        <v>155000</v>
      </c>
      <c r="M47" s="667">
        <f t="shared" si="8"/>
        <v>310000</v>
      </c>
      <c r="N47" s="667">
        <f>IF(I47&lt;Assumptions!$D$33,$I$6*M47*$I$9,0)</f>
        <v>0</v>
      </c>
      <c r="O47" s="654"/>
      <c r="W47" s="654"/>
      <c r="X47" s="654"/>
      <c r="Y47" s="654"/>
      <c r="Z47" s="654"/>
      <c r="AA47" s="654"/>
      <c r="AB47" s="654"/>
      <c r="AC47" s="654"/>
      <c r="AD47" s="654"/>
      <c r="AE47" s="654"/>
      <c r="AF47" s="654"/>
    </row>
    <row r="48" spans="1:32" x14ac:dyDescent="0.25">
      <c r="B48" s="672"/>
      <c r="C48" s="672"/>
      <c r="D48" s="672"/>
      <c r="E48" s="672"/>
      <c r="F48" s="672"/>
      <c r="H48" s="664" t="s">
        <v>878</v>
      </c>
      <c r="I48" s="666">
        <f t="shared" si="9"/>
        <v>2048</v>
      </c>
      <c r="J48" s="664" t="s">
        <v>66</v>
      </c>
      <c r="K48" s="665" t="s">
        <v>66</v>
      </c>
      <c r="L48" s="667">
        <v>0</v>
      </c>
      <c r="M48" s="667">
        <f t="shared" si="8"/>
        <v>0</v>
      </c>
      <c r="N48" s="667">
        <f>IF(I48&lt;Assumptions!$D$33,$I$6*M48*$I$9,0)</f>
        <v>0</v>
      </c>
      <c r="O48" s="654"/>
      <c r="W48" s="654"/>
      <c r="X48" s="654"/>
      <c r="Y48" s="654"/>
      <c r="Z48" s="654"/>
      <c r="AA48" s="654"/>
      <c r="AB48" s="654"/>
      <c r="AC48" s="654"/>
      <c r="AD48" s="654"/>
      <c r="AE48" s="654"/>
      <c r="AF48" s="654"/>
    </row>
    <row r="49" spans="1:32" x14ac:dyDescent="0.25">
      <c r="B49" s="672"/>
      <c r="C49" s="672"/>
      <c r="D49" s="672"/>
      <c r="E49" s="672"/>
      <c r="F49" s="672"/>
      <c r="H49" s="664" t="s">
        <v>877</v>
      </c>
      <c r="I49" s="666">
        <f t="shared" si="9"/>
        <v>2049</v>
      </c>
      <c r="J49" s="664" t="s">
        <v>66</v>
      </c>
      <c r="K49" s="665" t="s">
        <v>66</v>
      </c>
      <c r="L49" s="667">
        <v>0</v>
      </c>
      <c r="M49" s="667">
        <f t="shared" si="8"/>
        <v>0</v>
      </c>
      <c r="N49" s="667">
        <f>IF(I49&lt;Assumptions!$D$33,$I$6*M49*$I$9,0)</f>
        <v>0</v>
      </c>
      <c r="O49" s="654"/>
      <c r="W49" s="654"/>
      <c r="X49" s="654"/>
      <c r="Y49" s="654"/>
      <c r="Z49" s="654"/>
      <c r="AA49" s="654"/>
      <c r="AB49" s="654"/>
      <c r="AC49" s="654"/>
      <c r="AD49" s="654"/>
      <c r="AE49" s="654"/>
      <c r="AF49" s="654"/>
    </row>
    <row r="50" spans="1:32" x14ac:dyDescent="0.25">
      <c r="B50" s="672"/>
      <c r="C50" s="672"/>
      <c r="D50" s="672"/>
      <c r="E50" s="672"/>
      <c r="F50" s="672"/>
      <c r="H50" s="664" t="s">
        <v>876</v>
      </c>
      <c r="I50" s="666">
        <f t="shared" si="9"/>
        <v>2050</v>
      </c>
      <c r="J50" s="664" t="s">
        <v>66</v>
      </c>
      <c r="K50" s="665" t="s">
        <v>66</v>
      </c>
      <c r="L50" s="667">
        <v>0</v>
      </c>
      <c r="M50" s="667">
        <f t="shared" si="8"/>
        <v>0</v>
      </c>
      <c r="N50" s="667">
        <f>IF(I50&lt;Assumptions!$D$33,$I$6*M50*$I$9,0)</f>
        <v>0</v>
      </c>
      <c r="O50" s="654"/>
      <c r="W50" s="654"/>
      <c r="X50" s="654"/>
      <c r="Y50" s="654"/>
      <c r="Z50" s="654"/>
      <c r="AA50" s="654"/>
      <c r="AB50" s="654"/>
      <c r="AC50" s="654"/>
      <c r="AD50" s="654"/>
      <c r="AE50" s="654"/>
      <c r="AF50" s="654"/>
    </row>
    <row r="51" spans="1:32" x14ac:dyDescent="0.25">
      <c r="H51" s="664" t="s">
        <v>875</v>
      </c>
      <c r="I51" s="666">
        <f t="shared" si="9"/>
        <v>2051</v>
      </c>
      <c r="J51" s="664" t="s">
        <v>909</v>
      </c>
      <c r="K51" s="665" t="s">
        <v>859</v>
      </c>
      <c r="L51" s="667">
        <v>6000</v>
      </c>
      <c r="M51" s="667">
        <f t="shared" si="8"/>
        <v>12000</v>
      </c>
      <c r="N51" s="667">
        <f>IF(I51&lt;Assumptions!$D$33,$I$6*M51*$I$9,0)</f>
        <v>0</v>
      </c>
      <c r="O51" s="654"/>
      <c r="W51" s="654"/>
      <c r="X51" s="654"/>
      <c r="Y51" s="654"/>
      <c r="Z51" s="654"/>
      <c r="AA51" s="654"/>
      <c r="AB51" s="654"/>
      <c r="AC51" s="654"/>
      <c r="AD51" s="654"/>
      <c r="AE51" s="654"/>
      <c r="AF51" s="654"/>
    </row>
    <row r="52" spans="1:32" x14ac:dyDescent="0.25">
      <c r="A52" s="2" t="s">
        <v>22</v>
      </c>
      <c r="B52" s="672" t="s">
        <v>932</v>
      </c>
      <c r="C52" s="672"/>
      <c r="D52" s="672"/>
      <c r="E52" s="672"/>
      <c r="F52" s="672"/>
      <c r="H52" s="664" t="s">
        <v>874</v>
      </c>
      <c r="I52" s="666">
        <f t="shared" si="9"/>
        <v>2052</v>
      </c>
      <c r="J52" s="664" t="s">
        <v>66</v>
      </c>
      <c r="K52" s="665" t="s">
        <v>66</v>
      </c>
      <c r="L52" s="667">
        <v>0</v>
      </c>
      <c r="M52" s="667">
        <f t="shared" si="8"/>
        <v>0</v>
      </c>
      <c r="N52" s="667">
        <f>IF(I52&lt;Assumptions!$D$33,$I$6*M52*$I$9,0)</f>
        <v>0</v>
      </c>
      <c r="O52" s="654"/>
      <c r="W52" s="654"/>
      <c r="X52" s="654"/>
      <c r="Y52" s="654"/>
      <c r="Z52" s="654"/>
      <c r="AA52" s="654"/>
      <c r="AB52" s="654"/>
      <c r="AC52" s="654"/>
      <c r="AD52" s="654"/>
      <c r="AE52" s="654"/>
      <c r="AF52" s="654"/>
    </row>
    <row r="53" spans="1:32" ht="15" customHeight="1" x14ac:dyDescent="0.25">
      <c r="B53" s="672"/>
      <c r="C53" s="672"/>
      <c r="D53" s="672"/>
      <c r="E53" s="672"/>
      <c r="F53" s="672"/>
      <c r="H53" s="664" t="s">
        <v>873</v>
      </c>
      <c r="I53" s="666">
        <f t="shared" si="9"/>
        <v>2053</v>
      </c>
      <c r="J53" s="664" t="s">
        <v>856</v>
      </c>
      <c r="K53" s="665" t="s">
        <v>855</v>
      </c>
      <c r="L53" s="667">
        <v>15000</v>
      </c>
      <c r="M53" s="667">
        <f t="shared" si="8"/>
        <v>30000</v>
      </c>
      <c r="N53" s="667">
        <f>IF(I53&lt;Assumptions!$D$33,$I$6*M53*$I$9,0)</f>
        <v>0</v>
      </c>
      <c r="O53" s="654"/>
      <c r="W53" s="654"/>
      <c r="X53" s="654"/>
      <c r="Y53" s="654"/>
      <c r="Z53" s="654"/>
      <c r="AA53" s="654"/>
      <c r="AB53" s="654"/>
      <c r="AC53" s="654"/>
      <c r="AD53" s="654"/>
      <c r="AE53" s="654"/>
      <c r="AF53" s="654"/>
    </row>
    <row r="54" spans="1:32" x14ac:dyDescent="0.25">
      <c r="B54" s="672"/>
      <c r="C54" s="672"/>
      <c r="D54" s="672"/>
      <c r="E54" s="672"/>
      <c r="F54" s="672"/>
      <c r="H54" s="664" t="s">
        <v>872</v>
      </c>
      <c r="I54" s="666">
        <f t="shared" si="9"/>
        <v>2054</v>
      </c>
      <c r="J54" s="664" t="s">
        <v>66</v>
      </c>
      <c r="K54" s="665" t="s">
        <v>66</v>
      </c>
      <c r="L54" s="667">
        <v>0</v>
      </c>
      <c r="M54" s="667">
        <f t="shared" si="8"/>
        <v>0</v>
      </c>
      <c r="N54" s="667">
        <f>IF(I54&lt;Assumptions!$D$33,$I$6*M54*$I$9,0)</f>
        <v>0</v>
      </c>
      <c r="O54" s="654"/>
      <c r="W54" s="654"/>
      <c r="X54" s="654"/>
      <c r="Y54" s="654"/>
      <c r="Z54" s="654"/>
      <c r="AA54" s="654"/>
      <c r="AB54" s="654"/>
      <c r="AC54" s="654"/>
      <c r="AD54" s="654"/>
      <c r="AE54" s="654"/>
      <c r="AF54" s="654"/>
    </row>
    <row r="55" spans="1:32" ht="15" customHeight="1" x14ac:dyDescent="0.25">
      <c r="B55" s="672"/>
      <c r="C55" s="672"/>
      <c r="D55" s="672"/>
      <c r="E55" s="672"/>
      <c r="F55" s="672"/>
      <c r="H55" s="664" t="s">
        <v>871</v>
      </c>
      <c r="I55" s="666">
        <f t="shared" si="9"/>
        <v>2055</v>
      </c>
      <c r="J55" s="664" t="s">
        <v>66</v>
      </c>
      <c r="K55" s="665" t="s">
        <v>66</v>
      </c>
      <c r="L55" s="667">
        <v>0</v>
      </c>
      <c r="M55" s="667">
        <f t="shared" si="8"/>
        <v>0</v>
      </c>
      <c r="N55" s="667">
        <f>IF(I55&lt;Assumptions!$D$33,$I$6*M55*$I$9,0)</f>
        <v>0</v>
      </c>
      <c r="O55" s="654"/>
      <c r="W55" s="654"/>
      <c r="X55" s="654"/>
      <c r="Y55" s="654"/>
      <c r="Z55" s="654"/>
      <c r="AA55" s="654"/>
      <c r="AB55" s="654"/>
      <c r="AC55" s="654"/>
      <c r="AD55" s="654"/>
      <c r="AE55" s="654"/>
      <c r="AF55" s="654"/>
    </row>
    <row r="56" spans="1:32" x14ac:dyDescent="0.25">
      <c r="H56" s="664" t="s">
        <v>870</v>
      </c>
      <c r="I56" s="666">
        <f t="shared" si="9"/>
        <v>2056</v>
      </c>
      <c r="J56" s="664" t="s">
        <v>66</v>
      </c>
      <c r="K56" s="665" t="s">
        <v>66</v>
      </c>
      <c r="L56" s="667">
        <v>0</v>
      </c>
      <c r="M56" s="667">
        <f t="shared" si="8"/>
        <v>0</v>
      </c>
      <c r="N56" s="667">
        <f>IF(I56&lt;Assumptions!$D$33,$I$6*M56*$I$9,0)</f>
        <v>0</v>
      </c>
      <c r="O56" s="654"/>
      <c r="W56" s="654"/>
      <c r="X56" s="654"/>
      <c r="Y56" s="654"/>
      <c r="Z56" s="654"/>
      <c r="AA56" s="654"/>
      <c r="AB56" s="654"/>
      <c r="AC56" s="654"/>
      <c r="AD56" s="654"/>
      <c r="AE56" s="654"/>
      <c r="AF56" s="654"/>
    </row>
    <row r="57" spans="1:32" x14ac:dyDescent="0.25">
      <c r="A57" s="2"/>
      <c r="B57" s="40"/>
      <c r="C57" s="40"/>
      <c r="D57" s="40"/>
      <c r="E57" s="40"/>
      <c r="F57" s="40"/>
      <c r="H57" s="664" t="s">
        <v>869</v>
      </c>
      <c r="I57" s="666">
        <f t="shared" si="9"/>
        <v>2057</v>
      </c>
      <c r="J57" s="664" t="s">
        <v>66</v>
      </c>
      <c r="K57" s="665" t="s">
        <v>66</v>
      </c>
      <c r="L57" s="667">
        <v>0</v>
      </c>
      <c r="M57" s="667">
        <f t="shared" si="8"/>
        <v>0</v>
      </c>
      <c r="N57" s="667">
        <f>IF(I57&lt;Assumptions!$D$33,$I$6*M57*$I$9,0)</f>
        <v>0</v>
      </c>
      <c r="O57" s="654"/>
      <c r="W57" s="654"/>
      <c r="X57" s="654"/>
      <c r="Y57" s="654"/>
      <c r="Z57" s="654"/>
      <c r="AA57" s="654"/>
      <c r="AB57" s="654"/>
      <c r="AC57" s="654"/>
      <c r="AD57" s="654"/>
      <c r="AE57" s="654"/>
      <c r="AF57" s="654"/>
    </row>
    <row r="58" spans="1:32" x14ac:dyDescent="0.25">
      <c r="B58" s="40"/>
      <c r="C58" s="40"/>
      <c r="D58" s="40"/>
      <c r="E58" s="40"/>
      <c r="F58" s="40"/>
      <c r="H58" s="664" t="s">
        <v>868</v>
      </c>
      <c r="I58" s="666">
        <f t="shared" si="9"/>
        <v>2058</v>
      </c>
      <c r="J58" s="664" t="s">
        <v>66</v>
      </c>
      <c r="K58" s="665" t="s">
        <v>66</v>
      </c>
      <c r="L58" s="667">
        <v>0</v>
      </c>
      <c r="M58" s="667">
        <f t="shared" si="8"/>
        <v>0</v>
      </c>
      <c r="N58" s="667">
        <f>IF(I58&lt;Assumptions!$D$33,$I$6*M58*$I$9,0)</f>
        <v>0</v>
      </c>
      <c r="O58" s="654"/>
      <c r="W58" s="654"/>
      <c r="X58" s="654"/>
      <c r="Y58" s="654"/>
      <c r="Z58" s="654"/>
      <c r="AA58" s="654"/>
      <c r="AB58" s="654"/>
      <c r="AC58" s="654"/>
      <c r="AD58" s="654"/>
      <c r="AE58" s="654"/>
      <c r="AF58" s="654"/>
    </row>
    <row r="59" spans="1:32" x14ac:dyDescent="0.25">
      <c r="H59" s="664" t="s">
        <v>867</v>
      </c>
      <c r="I59" s="666">
        <f t="shared" si="9"/>
        <v>2059</v>
      </c>
      <c r="J59" s="664" t="s">
        <v>866</v>
      </c>
      <c r="K59" s="665" t="s">
        <v>865</v>
      </c>
      <c r="L59" s="667">
        <v>155000</v>
      </c>
      <c r="M59" s="667">
        <f t="shared" si="8"/>
        <v>310000</v>
      </c>
      <c r="N59" s="667">
        <f>IF(I59&lt;Assumptions!$D$33,$I$6*M59*$I$9,0)</f>
        <v>0</v>
      </c>
      <c r="O59" s="654"/>
      <c r="W59" s="654"/>
      <c r="X59" s="654"/>
      <c r="Y59" s="654"/>
      <c r="Z59" s="654"/>
      <c r="AA59" s="654"/>
      <c r="AB59" s="654"/>
      <c r="AC59" s="654"/>
      <c r="AD59" s="654"/>
      <c r="AE59" s="654"/>
      <c r="AF59" s="654"/>
    </row>
    <row r="60" spans="1:32" x14ac:dyDescent="0.25">
      <c r="H60" s="664" t="s">
        <v>864</v>
      </c>
      <c r="I60" s="666">
        <f t="shared" si="9"/>
        <v>2060</v>
      </c>
      <c r="J60" s="664" t="s">
        <v>66</v>
      </c>
      <c r="K60" s="665" t="s">
        <v>66</v>
      </c>
      <c r="L60" s="667">
        <v>0</v>
      </c>
      <c r="M60" s="667">
        <f t="shared" si="8"/>
        <v>0</v>
      </c>
      <c r="N60" s="667">
        <f>IF(I60&lt;Assumptions!$D$33,$I$6*M60*$I$9,0)</f>
        <v>0</v>
      </c>
      <c r="O60" s="654"/>
      <c r="W60" s="654"/>
      <c r="X60" s="654"/>
      <c r="Y60" s="654"/>
      <c r="Z60" s="654"/>
      <c r="AA60" s="654"/>
      <c r="AB60" s="654"/>
      <c r="AC60" s="654"/>
      <c r="AD60" s="654"/>
      <c r="AE60" s="654"/>
      <c r="AF60" s="654"/>
    </row>
    <row r="61" spans="1:32" x14ac:dyDescent="0.25">
      <c r="H61" s="664" t="s">
        <v>863</v>
      </c>
      <c r="I61" s="666">
        <f t="shared" si="9"/>
        <v>2061</v>
      </c>
      <c r="J61" s="664" t="s">
        <v>66</v>
      </c>
      <c r="K61" s="665" t="s">
        <v>66</v>
      </c>
      <c r="L61" s="667">
        <v>0</v>
      </c>
      <c r="M61" s="667">
        <f t="shared" si="8"/>
        <v>0</v>
      </c>
      <c r="N61" s="667">
        <f>IF(I61&lt;Assumptions!$D$33,$I$6*M61*$I$9,0)</f>
        <v>0</v>
      </c>
      <c r="W61" s="654"/>
      <c r="X61" s="654"/>
      <c r="Y61" s="654"/>
      <c r="Z61" s="654"/>
      <c r="AA61" s="654"/>
      <c r="AB61" s="654"/>
      <c r="AC61" s="654"/>
      <c r="AD61" s="654"/>
      <c r="AE61" s="654"/>
      <c r="AF61" s="654"/>
    </row>
    <row r="62" spans="1:32" x14ac:dyDescent="0.25">
      <c r="H62" s="664" t="s">
        <v>862</v>
      </c>
      <c r="I62" s="666">
        <f t="shared" si="9"/>
        <v>2062</v>
      </c>
      <c r="J62" s="664" t="s">
        <v>66</v>
      </c>
      <c r="K62" s="665" t="s">
        <v>66</v>
      </c>
      <c r="L62" s="667">
        <v>0</v>
      </c>
      <c r="M62" s="667">
        <f t="shared" si="8"/>
        <v>0</v>
      </c>
      <c r="N62" s="667">
        <f>IF(I62&lt;Assumptions!$D$33,$I$6*M62*$I$9,0)</f>
        <v>0</v>
      </c>
      <c r="W62" s="654"/>
      <c r="X62" s="654"/>
      <c r="Y62" s="654"/>
      <c r="Z62" s="654"/>
      <c r="AA62" s="654"/>
      <c r="AB62" s="654"/>
      <c r="AC62" s="654"/>
      <c r="AD62" s="654"/>
      <c r="AE62" s="654"/>
      <c r="AF62" s="654"/>
    </row>
    <row r="63" spans="1:32" x14ac:dyDescent="0.25">
      <c r="H63" s="664" t="s">
        <v>861</v>
      </c>
      <c r="I63" s="666">
        <f t="shared" si="9"/>
        <v>2063</v>
      </c>
      <c r="J63" s="664" t="s">
        <v>860</v>
      </c>
      <c r="K63" s="665" t="s">
        <v>859</v>
      </c>
      <c r="L63" s="667">
        <v>6000</v>
      </c>
      <c r="M63" s="667">
        <f t="shared" si="8"/>
        <v>12000</v>
      </c>
      <c r="N63" s="667">
        <f>IF(I63&lt;Assumptions!$D$33,$I$6*M63*$I$9,0)</f>
        <v>0</v>
      </c>
      <c r="W63" s="654"/>
      <c r="X63" s="654"/>
      <c r="Y63" s="654"/>
      <c r="Z63" s="654"/>
      <c r="AA63" s="654"/>
      <c r="AB63" s="654"/>
      <c r="AC63" s="654"/>
      <c r="AD63" s="654"/>
      <c r="AE63" s="654"/>
      <c r="AF63" s="654"/>
    </row>
    <row r="64" spans="1:32" x14ac:dyDescent="0.25">
      <c r="H64" s="664" t="s">
        <v>858</v>
      </c>
      <c r="I64" s="666">
        <f t="shared" si="9"/>
        <v>2064</v>
      </c>
      <c r="J64" s="664" t="s">
        <v>66</v>
      </c>
      <c r="K64" s="665" t="s">
        <v>66</v>
      </c>
      <c r="L64" s="667">
        <v>0</v>
      </c>
      <c r="M64" s="667">
        <f t="shared" si="8"/>
        <v>0</v>
      </c>
      <c r="N64" s="667">
        <f>IF(I64&lt;Assumptions!$D$33,$I$6*M64*$I$9,0)</f>
        <v>0</v>
      </c>
      <c r="W64" s="654"/>
      <c r="X64" s="654"/>
      <c r="Y64" s="654"/>
      <c r="Z64" s="654"/>
      <c r="AA64" s="654"/>
      <c r="AB64" s="654"/>
      <c r="AC64" s="654"/>
      <c r="AD64" s="654"/>
      <c r="AE64" s="654"/>
      <c r="AF64" s="654"/>
    </row>
    <row r="65" spans="8:32" x14ac:dyDescent="0.25">
      <c r="H65" s="664" t="s">
        <v>857</v>
      </c>
      <c r="I65" s="666">
        <f t="shared" si="9"/>
        <v>2065</v>
      </c>
      <c r="J65" s="664" t="s">
        <v>856</v>
      </c>
      <c r="K65" s="665" t="s">
        <v>855</v>
      </c>
      <c r="L65" s="667">
        <v>15000</v>
      </c>
      <c r="M65" s="667">
        <f t="shared" si="8"/>
        <v>30000</v>
      </c>
      <c r="N65" s="667">
        <f>IF(I65&lt;Assumptions!$D$33,$I$6*M65*$I$9,0)</f>
        <v>0</v>
      </c>
      <c r="W65" s="654"/>
      <c r="X65" s="654"/>
      <c r="Y65" s="654"/>
      <c r="Z65" s="654"/>
      <c r="AA65" s="654"/>
      <c r="AB65" s="654"/>
      <c r="AC65" s="654"/>
      <c r="AD65" s="654"/>
      <c r="AE65" s="654"/>
      <c r="AF65" s="654"/>
    </row>
    <row r="66" spans="8:32" x14ac:dyDescent="0.25">
      <c r="H66" s="664" t="s">
        <v>854</v>
      </c>
      <c r="I66" s="666">
        <f t="shared" si="9"/>
        <v>2066</v>
      </c>
      <c r="J66" s="664" t="s">
        <v>66</v>
      </c>
      <c r="K66" s="665" t="s">
        <v>66</v>
      </c>
      <c r="L66" s="667">
        <v>0</v>
      </c>
      <c r="M66" s="667">
        <f t="shared" si="8"/>
        <v>0</v>
      </c>
      <c r="N66" s="667">
        <f>IF(I66&lt;Assumptions!$D$33,$I$6*M66*$I$9,0)</f>
        <v>0</v>
      </c>
      <c r="W66" s="654"/>
      <c r="X66" s="654"/>
      <c r="Y66" s="654"/>
      <c r="Z66" s="654"/>
      <c r="AA66" s="654"/>
      <c r="AB66" s="654"/>
      <c r="AC66" s="654"/>
      <c r="AD66" s="654"/>
      <c r="AE66" s="654"/>
      <c r="AF66" s="654"/>
    </row>
    <row r="67" spans="8:32" x14ac:dyDescent="0.25">
      <c r="H67" s="669" t="s">
        <v>923</v>
      </c>
      <c r="I67" s="655" t="s">
        <v>922</v>
      </c>
      <c r="Y67" s="654"/>
      <c r="Z67" s="654"/>
      <c r="AA67" s="654"/>
      <c r="AB67" s="654"/>
      <c r="AC67" s="654"/>
      <c r="AD67" s="654"/>
      <c r="AE67" s="654"/>
      <c r="AF67" s="654"/>
    </row>
    <row r="68" spans="8:32" x14ac:dyDescent="0.25">
      <c r="Y68" s="654"/>
      <c r="Z68" s="654"/>
      <c r="AA68" s="654"/>
      <c r="AB68" s="654"/>
      <c r="AC68" s="654"/>
      <c r="AD68" s="654"/>
      <c r="AE68" s="654"/>
      <c r="AF68" s="654"/>
    </row>
    <row r="69" spans="8:32" x14ac:dyDescent="0.25">
      <c r="Y69" s="654"/>
      <c r="Z69" s="654"/>
      <c r="AA69" s="654"/>
      <c r="AB69" s="654"/>
      <c r="AC69" s="654"/>
      <c r="AD69" s="654"/>
      <c r="AE69" s="654"/>
      <c r="AF69" s="654"/>
    </row>
    <row r="70" spans="8:32" x14ac:dyDescent="0.25">
      <c r="Y70" s="654"/>
      <c r="Z70" s="654"/>
      <c r="AA70" s="654"/>
      <c r="AB70" s="654"/>
      <c r="AC70" s="654"/>
      <c r="AD70" s="654"/>
      <c r="AE70" s="654"/>
      <c r="AF70" s="654"/>
    </row>
    <row r="71" spans="8:32" x14ac:dyDescent="0.25">
      <c r="Y71" s="654"/>
      <c r="Z71" s="654"/>
      <c r="AA71" s="654"/>
      <c r="AB71" s="654"/>
      <c r="AC71" s="654"/>
      <c r="AD71" s="654"/>
      <c r="AE71" s="654"/>
      <c r="AF71" s="654"/>
    </row>
    <row r="72" spans="8:32" x14ac:dyDescent="0.25">
      <c r="W72" s="654"/>
      <c r="X72" s="654"/>
      <c r="Y72" s="654"/>
      <c r="Z72" s="654"/>
      <c r="AA72" s="654"/>
      <c r="AB72" s="654"/>
      <c r="AC72" s="654"/>
      <c r="AD72" s="654"/>
      <c r="AE72" s="654"/>
      <c r="AF72" s="654"/>
    </row>
    <row r="73" spans="8:32" x14ac:dyDescent="0.25">
      <c r="W73" s="654"/>
      <c r="X73" s="654"/>
      <c r="Y73" s="654"/>
      <c r="Z73" s="654"/>
      <c r="AA73" s="654"/>
      <c r="AB73" s="654"/>
      <c r="AC73" s="654"/>
      <c r="AD73" s="654"/>
      <c r="AE73" s="654"/>
      <c r="AF73" s="654"/>
    </row>
    <row r="74" spans="8:32" x14ac:dyDescent="0.25">
      <c r="W74" s="654"/>
      <c r="X74" s="654"/>
      <c r="Y74" s="654"/>
      <c r="Z74" s="654"/>
      <c r="AA74" s="654"/>
      <c r="AB74" s="654"/>
      <c r="AC74" s="654"/>
      <c r="AD74" s="654"/>
      <c r="AE74" s="654"/>
      <c r="AF74" s="654"/>
    </row>
    <row r="75" spans="8:32" x14ac:dyDescent="0.25">
      <c r="W75" s="654"/>
      <c r="X75" s="654"/>
      <c r="Y75" s="654"/>
      <c r="Z75" s="654"/>
      <c r="AA75" s="654"/>
      <c r="AB75" s="654"/>
      <c r="AC75" s="654"/>
      <c r="AD75" s="654"/>
      <c r="AE75" s="654"/>
      <c r="AF75" s="654"/>
    </row>
    <row r="76" spans="8:32" x14ac:dyDescent="0.25">
      <c r="W76" s="654"/>
      <c r="X76" s="654"/>
      <c r="Y76" s="654"/>
      <c r="Z76" s="654"/>
      <c r="AA76" s="654"/>
      <c r="AB76" s="654"/>
      <c r="AC76" s="654"/>
      <c r="AD76" s="654"/>
      <c r="AE76" s="654"/>
      <c r="AF76" s="654"/>
    </row>
    <row r="77" spans="8:32" x14ac:dyDescent="0.25">
      <c r="W77" s="654"/>
      <c r="X77" s="654"/>
      <c r="Y77" s="654"/>
      <c r="Z77" s="654"/>
      <c r="AA77" s="654"/>
      <c r="AB77" s="654"/>
      <c r="AC77" s="654"/>
      <c r="AD77" s="654"/>
      <c r="AE77" s="654"/>
      <c r="AF77" s="654"/>
    </row>
    <row r="78" spans="8:32" x14ac:dyDescent="0.25">
      <c r="W78" s="654"/>
      <c r="X78" s="654"/>
      <c r="Y78" s="654"/>
      <c r="Z78" s="654"/>
      <c r="AA78" s="654"/>
      <c r="AB78" s="654"/>
      <c r="AC78" s="654"/>
      <c r="AD78" s="654"/>
      <c r="AE78" s="654"/>
      <c r="AF78" s="654"/>
    </row>
    <row r="79" spans="8:32" x14ac:dyDescent="0.25">
      <c r="W79" s="654"/>
      <c r="X79" s="654"/>
      <c r="Y79" s="654"/>
      <c r="Z79" s="654"/>
      <c r="AA79" s="654"/>
      <c r="AB79" s="654"/>
      <c r="AC79" s="654"/>
      <c r="AD79" s="654"/>
      <c r="AE79" s="654"/>
      <c r="AF79" s="654"/>
    </row>
    <row r="80" spans="8:32" x14ac:dyDescent="0.25">
      <c r="W80" s="654"/>
      <c r="X80" s="654"/>
      <c r="Y80" s="654"/>
      <c r="Z80" s="654"/>
      <c r="AA80" s="654"/>
      <c r="AB80" s="654"/>
      <c r="AC80" s="654"/>
      <c r="AD80" s="654"/>
      <c r="AE80" s="654"/>
      <c r="AF80" s="654"/>
    </row>
    <row r="81" spans="8:32" x14ac:dyDescent="0.25">
      <c r="W81" s="654"/>
      <c r="X81" s="654"/>
      <c r="Y81" s="654"/>
      <c r="Z81" s="654"/>
      <c r="AA81" s="654"/>
      <c r="AB81" s="654"/>
      <c r="AC81" s="654"/>
      <c r="AD81" s="654"/>
      <c r="AE81" s="654"/>
      <c r="AF81" s="654"/>
    </row>
    <row r="82" spans="8:32" x14ac:dyDescent="0.25">
      <c r="W82" s="654"/>
      <c r="X82" s="654"/>
      <c r="Y82" s="654"/>
      <c r="Z82" s="654"/>
      <c r="AA82" s="654"/>
      <c r="AB82" s="654"/>
      <c r="AC82" s="654"/>
      <c r="AD82" s="654"/>
      <c r="AE82" s="654"/>
      <c r="AF82" s="654"/>
    </row>
    <row r="83" spans="8:32" x14ac:dyDescent="0.25">
      <c r="W83" s="654"/>
      <c r="X83" s="654"/>
      <c r="Y83" s="654"/>
      <c r="Z83" s="654"/>
      <c r="AA83" s="654"/>
      <c r="AB83" s="654"/>
      <c r="AC83" s="654"/>
      <c r="AD83" s="654"/>
      <c r="AE83" s="654"/>
      <c r="AF83" s="654"/>
    </row>
    <row r="84" spans="8:32" x14ac:dyDescent="0.25">
      <c r="W84" s="654"/>
      <c r="X84" s="654"/>
      <c r="Y84" s="654"/>
      <c r="Z84" s="654"/>
      <c r="AA84" s="654"/>
      <c r="AB84" s="654"/>
      <c r="AC84" s="654"/>
      <c r="AD84" s="654"/>
      <c r="AE84" s="654"/>
      <c r="AF84" s="654"/>
    </row>
    <row r="85" spans="8:32" x14ac:dyDescent="0.25">
      <c r="W85" s="654"/>
      <c r="X85" s="654"/>
      <c r="Y85" s="654"/>
      <c r="Z85" s="654"/>
      <c r="AA85" s="654"/>
      <c r="AB85" s="654"/>
      <c r="AC85" s="654"/>
      <c r="AD85" s="654"/>
      <c r="AE85" s="654"/>
      <c r="AF85" s="654"/>
    </row>
    <row r="86" spans="8:32" x14ac:dyDescent="0.25">
      <c r="H86" s="654"/>
      <c r="I86" s="654"/>
      <c r="J86" s="654"/>
      <c r="K86" s="654"/>
      <c r="L86" s="654"/>
      <c r="M86" s="654"/>
      <c r="N86" s="654"/>
      <c r="O86" s="654"/>
      <c r="W86" s="654"/>
      <c r="X86" s="654"/>
      <c r="Y86" s="654"/>
      <c r="Z86" s="654"/>
      <c r="AA86" s="654"/>
      <c r="AB86" s="654"/>
      <c r="AC86" s="654"/>
      <c r="AD86" s="654"/>
      <c r="AE86" s="654"/>
      <c r="AF86" s="654"/>
    </row>
  </sheetData>
  <mergeCells count="7">
    <mergeCell ref="B45:F50"/>
    <mergeCell ref="B52:F55"/>
    <mergeCell ref="B3:B4"/>
    <mergeCell ref="C3:C4"/>
    <mergeCell ref="D3:D4"/>
    <mergeCell ref="E3:E4"/>
    <mergeCell ref="F3:F4"/>
  </mergeCells>
  <hyperlinks>
    <hyperlink ref="I67" r:id="rId1" xr:uid="{B3109C4C-36A3-4CDF-8FF0-66AFCF599A17}"/>
    <hyperlink ref="Q39" r:id="rId2" xr:uid="{CCF5A7FB-2DB8-4A21-BC50-EAD4F01470DB}"/>
    <hyperlink ref="Y12" r:id="rId3" xr:uid="{8DBFBC20-984E-4A5C-A391-EBDCF2791F64}"/>
  </hyperlinks>
  <pageMargins left="0.25" right="0.25" top="0.75" bottom="0.75" header="0.3" footer="0.3"/>
  <pageSetup paperSize="3" scale="25"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47E-4568-464D-AE1B-323783893167}">
  <sheetPr codeName="Sheet10">
    <tabColor theme="5" tint="0.59999389629810485"/>
    <pageSetUpPr fitToPage="1"/>
  </sheetPr>
  <dimension ref="A1:AK72"/>
  <sheetViews>
    <sheetView view="pageBreakPreview" topLeftCell="H1" zoomScale="70" zoomScaleNormal="55" zoomScaleSheetLayoutView="70" workbookViewId="0">
      <selection activeCell="L8" sqref="L8:L11"/>
    </sheetView>
  </sheetViews>
  <sheetFormatPr defaultRowHeight="15" x14ac:dyDescent="0.25"/>
  <cols>
    <col min="2" max="7" width="15.7109375" customWidth="1"/>
    <col min="8" max="8" width="15.5703125" customWidth="1"/>
    <col min="9" max="9" width="56.28515625" bestFit="1" customWidth="1"/>
    <col min="10" max="10" width="29" bestFit="1" customWidth="1"/>
    <col min="11" max="11" width="29.28515625" customWidth="1"/>
    <col min="12" max="12" width="28" customWidth="1"/>
    <col min="13" max="14" width="26" customWidth="1"/>
    <col min="15" max="15" width="8.140625" bestFit="1" customWidth="1"/>
    <col min="16" max="16" width="35.85546875" bestFit="1" customWidth="1"/>
    <col min="17" max="17" width="51.5703125" bestFit="1" customWidth="1"/>
  </cols>
  <sheetData>
    <row r="1" spans="2:37" x14ac:dyDescent="0.25">
      <c r="B1" s="47"/>
      <c r="C1" s="47"/>
      <c r="D1" s="47"/>
      <c r="E1" s="47"/>
      <c r="F1" s="47"/>
    </row>
    <row r="2" spans="2:37" x14ac:dyDescent="0.25">
      <c r="B2" s="1" t="s">
        <v>223</v>
      </c>
    </row>
    <row r="3" spans="2:37" ht="15.75" thickBot="1" x14ac:dyDescent="0.3">
      <c r="B3" s="1"/>
    </row>
    <row r="4" spans="2:37" ht="22.5" customHeight="1" x14ac:dyDescent="0.25">
      <c r="B4" s="709" t="s">
        <v>0</v>
      </c>
      <c r="C4" s="723" t="s">
        <v>163</v>
      </c>
      <c r="D4" s="755" t="s">
        <v>1</v>
      </c>
      <c r="E4" s="749" t="s">
        <v>5</v>
      </c>
      <c r="F4" s="755" t="s">
        <v>1</v>
      </c>
    </row>
    <row r="5" spans="2:37" ht="22.5" customHeight="1" thickBot="1" x14ac:dyDescent="0.3">
      <c r="B5" s="730"/>
      <c r="C5" s="724"/>
      <c r="D5" s="756"/>
      <c r="E5" s="750"/>
      <c r="F5" s="756"/>
    </row>
    <row r="6" spans="2:37" ht="15.75" customHeight="1" x14ac:dyDescent="0.25">
      <c r="B6" s="208">
        <f>Assumptions!$D$12</f>
        <v>2022</v>
      </c>
      <c r="C6" s="642">
        <f t="shared" ref="C6:C41" si="0">IFERROR(_xlfn.XLOOKUP($B6,$J$8:$J$11,$L$8:$L$11),0)</f>
        <v>168381.37103612523</v>
      </c>
      <c r="D6" s="130">
        <f>C6*(1+0.07)^-($B6-Assumptions!$D$11)</f>
        <v>157365.76732348153</v>
      </c>
      <c r="E6" s="131">
        <f t="shared" ref="E6:E41" si="1">IF(B6=$L$20,$N$20,0)</f>
        <v>0</v>
      </c>
      <c r="F6" s="132">
        <f>E6*(1+0.07)^-($B6-Assumptions!$D$11)</f>
        <v>0</v>
      </c>
      <c r="I6" s="1" t="s">
        <v>131</v>
      </c>
      <c r="R6" s="16"/>
      <c r="S6" s="16"/>
      <c r="T6" s="16"/>
      <c r="U6" s="16"/>
      <c r="V6" s="16"/>
      <c r="W6" s="16"/>
      <c r="X6" s="16"/>
      <c r="Y6" s="16"/>
      <c r="Z6" s="16"/>
      <c r="AA6" s="16"/>
      <c r="AB6" s="16"/>
      <c r="AC6" s="16"/>
      <c r="AD6" s="16"/>
      <c r="AE6" s="16"/>
      <c r="AF6" s="16"/>
      <c r="AG6" s="16"/>
      <c r="AH6" s="16"/>
      <c r="AI6" s="16"/>
      <c r="AJ6" s="16"/>
      <c r="AK6" s="16"/>
    </row>
    <row r="7" spans="2:37" ht="15.75" customHeight="1" x14ac:dyDescent="0.25">
      <c r="B7" s="85">
        <f>B6+1</f>
        <v>2023</v>
      </c>
      <c r="C7" s="642">
        <f t="shared" si="0"/>
        <v>168381.37103612523</v>
      </c>
      <c r="D7" s="130">
        <f>C7*(1+0.07)^-($B7-Assumptions!$D$11)</f>
        <v>147070.810582693</v>
      </c>
      <c r="E7" s="131">
        <f t="shared" si="1"/>
        <v>0</v>
      </c>
      <c r="F7" s="132">
        <f>E7*(1+0.07)^-($B7-Assumptions!$D$11)</f>
        <v>0</v>
      </c>
      <c r="I7" s="23" t="s">
        <v>823</v>
      </c>
      <c r="J7" s="24" t="s">
        <v>822</v>
      </c>
      <c r="K7" s="112" t="s">
        <v>793</v>
      </c>
      <c r="L7" s="112" t="s">
        <v>824</v>
      </c>
    </row>
    <row r="8" spans="2:37" ht="15.75" customHeight="1" x14ac:dyDescent="0.25">
      <c r="B8" s="85">
        <f t="shared" ref="B8:B41" si="2">B7+1</f>
        <v>2024</v>
      </c>
      <c r="C8" s="642">
        <f t="shared" si="0"/>
        <v>635978.70406605664</v>
      </c>
      <c r="D8" s="130">
        <f>C8*(1+0.07)^-($B8-Assumptions!$D$11)</f>
        <v>519148.06587691739</v>
      </c>
      <c r="E8" s="131">
        <f t="shared" si="1"/>
        <v>0</v>
      </c>
      <c r="F8" s="132">
        <f>E8*(1+0.07)^-($B8-Assumptions!$D$11)</f>
        <v>0</v>
      </c>
      <c r="I8" s="23" t="s">
        <v>826</v>
      </c>
      <c r="J8" s="43">
        <v>2022</v>
      </c>
      <c r="K8" s="640">
        <f>'Project Cost Estimate'!$F$89/2</f>
        <v>180177.06</v>
      </c>
      <c r="L8" s="640">
        <f>$K$8*$J$16</f>
        <v>168381.37103612523</v>
      </c>
    </row>
    <row r="9" spans="2:37" ht="15.75" customHeight="1" x14ac:dyDescent="0.25">
      <c r="B9" s="85">
        <f t="shared" si="2"/>
        <v>2025</v>
      </c>
      <c r="C9" s="642">
        <f t="shared" si="0"/>
        <v>2960705.7740518688</v>
      </c>
      <c r="D9" s="130">
        <f>C9*(1+0.07)^-($B9-Assumptions!$D$11)</f>
        <v>2258708.2593056327</v>
      </c>
      <c r="E9" s="131">
        <f t="shared" si="1"/>
        <v>0</v>
      </c>
      <c r="F9" s="132">
        <f>E9*(1+0.07)^-($B9-Assumptions!$D$11)</f>
        <v>0</v>
      </c>
      <c r="I9" s="23" t="s">
        <v>826</v>
      </c>
      <c r="J9" s="43">
        <v>2023</v>
      </c>
      <c r="K9" s="640">
        <f>'Project Cost Estimate'!$F$89/2</f>
        <v>180177.06</v>
      </c>
      <c r="L9" s="640">
        <f>$K$8*$J$16</f>
        <v>168381.37103612523</v>
      </c>
    </row>
    <row r="10" spans="2:37" ht="15.75" customHeight="1" x14ac:dyDescent="0.25">
      <c r="B10" s="85">
        <f t="shared" si="2"/>
        <v>2026</v>
      </c>
      <c r="C10" s="642">
        <f t="shared" si="0"/>
        <v>0</v>
      </c>
      <c r="D10" s="130">
        <f>C10*(1+0.07)^-($B10-Assumptions!$D$11)</f>
        <v>0</v>
      </c>
      <c r="E10" s="131">
        <f t="shared" si="1"/>
        <v>0</v>
      </c>
      <c r="F10" s="132">
        <f>E10*(1+0.07)^-($B10-Assumptions!$D$11)</f>
        <v>0</v>
      </c>
      <c r="I10" s="23" t="s">
        <v>833</v>
      </c>
      <c r="J10" s="43">
        <v>2024</v>
      </c>
      <c r="K10" s="640">
        <f>'Project Cost Estimate'!$F$96+'Project Cost Estimate'!$F$110</f>
        <v>680531.17999999993</v>
      </c>
      <c r="L10" s="640">
        <f>$K$10*$J$16</f>
        <v>635978.70406605664</v>
      </c>
    </row>
    <row r="11" spans="2:37" ht="15.75" customHeight="1" x14ac:dyDescent="0.25">
      <c r="B11" s="85">
        <f t="shared" si="2"/>
        <v>2027</v>
      </c>
      <c r="C11" s="642">
        <f t="shared" si="0"/>
        <v>0</v>
      </c>
      <c r="D11" s="130">
        <f>C11*(1+0.07)^-($B11-Assumptions!$D$11)</f>
        <v>0</v>
      </c>
      <c r="E11" s="131">
        <f t="shared" si="1"/>
        <v>0</v>
      </c>
      <c r="F11" s="132">
        <f>E11*(1+0.07)^-($B11-Assumptions!$D$11)</f>
        <v>0</v>
      </c>
      <c r="I11" s="23" t="s">
        <v>821</v>
      </c>
      <c r="J11" s="43">
        <v>2025</v>
      </c>
      <c r="K11" s="640">
        <f>'Project Cost Estimate'!$G$33</f>
        <v>3168113.3050000002</v>
      </c>
      <c r="L11" s="640">
        <f>$K$11*$J$16</f>
        <v>2960705.7740518688</v>
      </c>
    </row>
    <row r="12" spans="2:37" ht="15.75" customHeight="1" x14ac:dyDescent="0.25">
      <c r="B12" s="85">
        <f t="shared" si="2"/>
        <v>2028</v>
      </c>
      <c r="C12" s="642">
        <f t="shared" si="0"/>
        <v>0</v>
      </c>
      <c r="D12" s="130">
        <f>C12*(1+0.07)^-($B12-Assumptions!$D$11)</f>
        <v>0</v>
      </c>
      <c r="E12" s="131">
        <f t="shared" si="1"/>
        <v>0</v>
      </c>
      <c r="F12" s="132">
        <f>E12*(1+0.07)^-($B12-Assumptions!$D$11)</f>
        <v>0</v>
      </c>
      <c r="I12" s="23" t="s">
        <v>827</v>
      </c>
      <c r="J12" s="24" t="s">
        <v>66</v>
      </c>
      <c r="K12" s="640">
        <f>SUM(K8:K11)</f>
        <v>4208998.6050000004</v>
      </c>
      <c r="L12" s="640">
        <f>SUM(L8:L11)</f>
        <v>3933447.2201901758</v>
      </c>
    </row>
    <row r="13" spans="2:37" ht="15.75" customHeight="1" x14ac:dyDescent="0.25">
      <c r="B13" s="85">
        <f t="shared" si="2"/>
        <v>2029</v>
      </c>
      <c r="C13" s="642">
        <f t="shared" si="0"/>
        <v>0</v>
      </c>
      <c r="D13" s="130">
        <f>C13*(1+0.07)^-($B13-Assumptions!$D$11)</f>
        <v>0</v>
      </c>
      <c r="E13" s="131">
        <f t="shared" si="1"/>
        <v>0</v>
      </c>
      <c r="F13" s="132">
        <f>E13*(1+0.07)^-($B13-Assumptions!$D$11)</f>
        <v>0</v>
      </c>
    </row>
    <row r="14" spans="2:37" ht="15.75" customHeight="1" x14ac:dyDescent="0.25">
      <c r="B14" s="85">
        <f t="shared" si="2"/>
        <v>2030</v>
      </c>
      <c r="C14" s="642">
        <f t="shared" si="0"/>
        <v>0</v>
      </c>
      <c r="D14" s="130">
        <f>C14*(1+0.07)^-($B14-Assumptions!$D$11)</f>
        <v>0</v>
      </c>
      <c r="E14" s="131">
        <f t="shared" si="1"/>
        <v>0</v>
      </c>
      <c r="F14" s="132">
        <f>E14*(1+0.07)^-($B14-Assumptions!$D$11)</f>
        <v>0</v>
      </c>
      <c r="I14" s="1" t="s">
        <v>204</v>
      </c>
    </row>
    <row r="15" spans="2:37" ht="15.75" customHeight="1" x14ac:dyDescent="0.25">
      <c r="B15" s="85">
        <f t="shared" si="2"/>
        <v>2031</v>
      </c>
      <c r="C15" s="642">
        <f t="shared" si="0"/>
        <v>0</v>
      </c>
      <c r="D15" s="130">
        <f>C15*(1+0.07)^-($B15-Assumptions!$D$11)</f>
        <v>0</v>
      </c>
      <c r="E15" s="131">
        <f t="shared" si="1"/>
        <v>0</v>
      </c>
      <c r="F15" s="132">
        <f>E15*(1+0.07)^-($B15-Assumptions!$D$11)</f>
        <v>0</v>
      </c>
      <c r="I15" s="24" t="s">
        <v>203</v>
      </c>
      <c r="J15" s="112" t="s">
        <v>208</v>
      </c>
    </row>
    <row r="16" spans="2:37" ht="15.75" customHeight="1" x14ac:dyDescent="0.25">
      <c r="B16" s="85">
        <f t="shared" si="2"/>
        <v>2032</v>
      </c>
      <c r="C16" s="642">
        <f t="shared" si="0"/>
        <v>0</v>
      </c>
      <c r="D16" s="130">
        <f>C16*(1+0.07)^-($B16-Assumptions!$D$11)</f>
        <v>0</v>
      </c>
      <c r="E16" s="131">
        <f t="shared" si="1"/>
        <v>0</v>
      </c>
      <c r="F16" s="132">
        <f>E16*(1+0.07)^-($B16-Assumptions!$D$11)</f>
        <v>0</v>
      </c>
      <c r="I16" s="117" t="s">
        <v>926</v>
      </c>
      <c r="J16" s="111">
        <f>118.895/127.224</f>
        <v>0.93453279255486377</v>
      </c>
    </row>
    <row r="17" spans="2:37" ht="15.75" customHeight="1" x14ac:dyDescent="0.25">
      <c r="B17" s="85">
        <f t="shared" si="2"/>
        <v>2033</v>
      </c>
      <c r="C17" s="642">
        <f t="shared" si="0"/>
        <v>0</v>
      </c>
      <c r="D17" s="130">
        <f>C17*(1+0.07)^-($B17-Assumptions!$D$11)</f>
        <v>0</v>
      </c>
      <c r="E17" s="131">
        <f t="shared" si="1"/>
        <v>0</v>
      </c>
      <c r="F17" s="132">
        <f>E17*(1+0.07)^-($B17-Assumptions!$D$11)</f>
        <v>0</v>
      </c>
    </row>
    <row r="18" spans="2:37" ht="15.75" customHeight="1" x14ac:dyDescent="0.25">
      <c r="B18" s="85">
        <f t="shared" si="2"/>
        <v>2034</v>
      </c>
      <c r="C18" s="642">
        <f t="shared" si="0"/>
        <v>0</v>
      </c>
      <c r="D18" s="130">
        <f>C18*(1+0.07)^-($B18-Assumptions!$D$11)</f>
        <v>0</v>
      </c>
      <c r="E18" s="131">
        <f t="shared" si="1"/>
        <v>0</v>
      </c>
      <c r="F18" s="132">
        <f>E18*(1+0.07)^-($B18-Assumptions!$D$11)</f>
        <v>0</v>
      </c>
      <c r="I18" s="1" t="s">
        <v>852</v>
      </c>
      <c r="R18" s="16"/>
      <c r="S18" s="16"/>
      <c r="T18" s="16"/>
      <c r="U18" s="16"/>
      <c r="V18" s="16"/>
      <c r="W18" s="16"/>
      <c r="X18" s="16"/>
      <c r="Y18" s="16"/>
      <c r="Z18" s="16"/>
      <c r="AA18" s="16"/>
      <c r="AB18" s="16"/>
      <c r="AC18" s="16"/>
      <c r="AD18" s="16"/>
      <c r="AE18" s="16"/>
      <c r="AF18" s="16"/>
      <c r="AG18" s="16"/>
      <c r="AH18" s="16"/>
      <c r="AI18" s="16"/>
      <c r="AJ18" s="16"/>
      <c r="AK18" s="16"/>
    </row>
    <row r="19" spans="2:37" ht="15.75" customHeight="1" x14ac:dyDescent="0.25">
      <c r="B19" s="85">
        <f t="shared" si="2"/>
        <v>2035</v>
      </c>
      <c r="C19" s="642">
        <f t="shared" si="0"/>
        <v>0</v>
      </c>
      <c r="D19" s="130">
        <f>C19*(1+0.07)^-($B19-Assumptions!$D$11)</f>
        <v>0</v>
      </c>
      <c r="E19" s="131">
        <f t="shared" si="1"/>
        <v>0</v>
      </c>
      <c r="F19" s="132">
        <f>E19*(1+0.07)^-($B19-Assumptions!$D$11)</f>
        <v>0</v>
      </c>
      <c r="I19" s="112" t="s">
        <v>72</v>
      </c>
      <c r="J19" s="24" t="s">
        <v>39</v>
      </c>
      <c r="K19" s="112" t="s">
        <v>15</v>
      </c>
      <c r="L19" s="112" t="s">
        <v>41</v>
      </c>
      <c r="M19" s="641" t="s">
        <v>40</v>
      </c>
      <c r="N19" s="112" t="s">
        <v>5</v>
      </c>
    </row>
    <row r="20" spans="2:37" ht="15.75" customHeight="1" x14ac:dyDescent="0.25">
      <c r="B20" s="85">
        <f t="shared" si="2"/>
        <v>2036</v>
      </c>
      <c r="C20" s="642">
        <f t="shared" si="0"/>
        <v>0</v>
      </c>
      <c r="D20" s="130">
        <f>C20*(1+0.07)^-($B20-Assumptions!$D$11)</f>
        <v>0</v>
      </c>
      <c r="E20" s="131">
        <f t="shared" si="1"/>
        <v>0</v>
      </c>
      <c r="F20" s="132">
        <f>E20*(1+0.07)^-($B20-Assumptions!$D$11)</f>
        <v>0</v>
      </c>
      <c r="I20" s="163" t="s">
        <v>132</v>
      </c>
      <c r="J20" s="594">
        <f>$K$11</f>
        <v>3168113.3050000002</v>
      </c>
      <c r="K20" s="28">
        <v>20</v>
      </c>
      <c r="L20" s="243">
        <f>Assumptions!$D$15</f>
        <v>2045</v>
      </c>
      <c r="M20" s="113">
        <f>IF(((J11+1)+K20-L20-1)/K20&lt;=0,0,(J9+K20-L20-1)/K20)</f>
        <v>0</v>
      </c>
      <c r="N20" s="595">
        <f>J20*M20</f>
        <v>0</v>
      </c>
    </row>
    <row r="21" spans="2:37" ht="15.75" customHeight="1" x14ac:dyDescent="0.25">
      <c r="B21" s="85">
        <f t="shared" si="2"/>
        <v>2037</v>
      </c>
      <c r="C21" s="642">
        <f t="shared" si="0"/>
        <v>0</v>
      </c>
      <c r="D21" s="130">
        <f>C21*(1+0.07)^-($B21-Assumptions!$D$11)</f>
        <v>0</v>
      </c>
      <c r="E21" s="131">
        <f t="shared" si="1"/>
        <v>0</v>
      </c>
      <c r="F21" s="132">
        <f>E21*(1+0.07)^-($B21-Assumptions!$D$11)</f>
        <v>0</v>
      </c>
    </row>
    <row r="22" spans="2:37" ht="15.75" customHeight="1" x14ac:dyDescent="0.25">
      <c r="B22" s="85">
        <f t="shared" si="2"/>
        <v>2038</v>
      </c>
      <c r="C22" s="642">
        <f t="shared" si="0"/>
        <v>0</v>
      </c>
      <c r="D22" s="130">
        <f>C22*(1+0.07)^-($B22-Assumptions!$D$11)</f>
        <v>0</v>
      </c>
      <c r="E22" s="131">
        <f t="shared" si="1"/>
        <v>0</v>
      </c>
      <c r="F22" s="132">
        <f>E22*(1+0.07)^-($B22-Assumptions!$D$11)</f>
        <v>0</v>
      </c>
    </row>
    <row r="23" spans="2:37" ht="15.75" customHeight="1" x14ac:dyDescent="0.25">
      <c r="B23" s="85">
        <f t="shared" si="2"/>
        <v>2039</v>
      </c>
      <c r="C23" s="642">
        <f t="shared" si="0"/>
        <v>0</v>
      </c>
      <c r="D23" s="130">
        <f>C23*(1+0.07)^-($B23-Assumptions!$D$11)</f>
        <v>0</v>
      </c>
      <c r="E23" s="131">
        <f t="shared" si="1"/>
        <v>0</v>
      </c>
      <c r="F23" s="132">
        <f>E23*(1+0.07)^-($B23-Assumptions!$D$11)</f>
        <v>0</v>
      </c>
    </row>
    <row r="24" spans="2:37" ht="15.75" customHeight="1" x14ac:dyDescent="0.25">
      <c r="B24" s="85">
        <f t="shared" si="2"/>
        <v>2040</v>
      </c>
      <c r="C24" s="642">
        <f t="shared" si="0"/>
        <v>0</v>
      </c>
      <c r="D24" s="130">
        <f>C24*(1+0.07)^-($B24-Assumptions!$D$11)</f>
        <v>0</v>
      </c>
      <c r="E24" s="131">
        <f t="shared" si="1"/>
        <v>0</v>
      </c>
      <c r="F24" s="132">
        <f>E24*(1+0.07)^-($B24-Assumptions!$D$11)</f>
        <v>0</v>
      </c>
    </row>
    <row r="25" spans="2:37" ht="15.75" customHeight="1" x14ac:dyDescent="0.25">
      <c r="B25" s="85">
        <f t="shared" si="2"/>
        <v>2041</v>
      </c>
      <c r="C25" s="642">
        <f t="shared" si="0"/>
        <v>0</v>
      </c>
      <c r="D25" s="130">
        <f>C25*(1+0.07)^-($B25-Assumptions!$D$11)</f>
        <v>0</v>
      </c>
      <c r="E25" s="131">
        <f t="shared" si="1"/>
        <v>0</v>
      </c>
      <c r="F25" s="132">
        <f>E25*(1+0.07)^-($B25-Assumptions!$D$11)</f>
        <v>0</v>
      </c>
      <c r="Q25" s="16"/>
    </row>
    <row r="26" spans="2:37" ht="15.75" customHeight="1" x14ac:dyDescent="0.25">
      <c r="B26" s="85">
        <f t="shared" si="2"/>
        <v>2042</v>
      </c>
      <c r="C26" s="642">
        <f t="shared" si="0"/>
        <v>0</v>
      </c>
      <c r="D26" s="130">
        <f>C26*(1+0.07)^-($B26-Assumptions!$D$11)</f>
        <v>0</v>
      </c>
      <c r="E26" s="131">
        <f t="shared" si="1"/>
        <v>0</v>
      </c>
      <c r="F26" s="132">
        <f>E26*(1+0.07)^-($B26-Assumptions!$D$11)</f>
        <v>0</v>
      </c>
      <c r="Q26" s="16"/>
    </row>
    <row r="27" spans="2:37" ht="15.75" customHeight="1" x14ac:dyDescent="0.25">
      <c r="B27" s="85">
        <f t="shared" si="2"/>
        <v>2043</v>
      </c>
      <c r="C27" s="642">
        <f t="shared" si="0"/>
        <v>0</v>
      </c>
      <c r="D27" s="130">
        <f>C27*(1+0.07)^-($B27-Assumptions!$D$11)</f>
        <v>0</v>
      </c>
      <c r="E27" s="131">
        <f t="shared" si="1"/>
        <v>0</v>
      </c>
      <c r="F27" s="132">
        <f>E27*(1+0.07)^-($B27-Assumptions!$D$11)</f>
        <v>0</v>
      </c>
      <c r="Q27" s="16"/>
    </row>
    <row r="28" spans="2:37" ht="15.75" customHeight="1" x14ac:dyDescent="0.25">
      <c r="B28" s="85">
        <f t="shared" si="2"/>
        <v>2044</v>
      </c>
      <c r="C28" s="642">
        <f t="shared" si="0"/>
        <v>0</v>
      </c>
      <c r="D28" s="130">
        <f>C28*(1+0.07)^-($B28-Assumptions!$D$11)</f>
        <v>0</v>
      </c>
      <c r="E28" s="131">
        <f t="shared" si="1"/>
        <v>0</v>
      </c>
      <c r="F28" s="132">
        <f>E28*(1+0.07)^-($B28-Assumptions!$D$11)</f>
        <v>0</v>
      </c>
      <c r="Q28" s="16"/>
    </row>
    <row r="29" spans="2:37" ht="15.75" customHeight="1" x14ac:dyDescent="0.25">
      <c r="B29" s="85">
        <f t="shared" si="2"/>
        <v>2045</v>
      </c>
      <c r="C29" s="642">
        <f t="shared" si="0"/>
        <v>0</v>
      </c>
      <c r="D29" s="130">
        <f>C29*(1+0.07)^-($B29-Assumptions!$D$11)</f>
        <v>0</v>
      </c>
      <c r="E29" s="131">
        <f t="shared" si="1"/>
        <v>0</v>
      </c>
      <c r="F29" s="132">
        <f>E29*(1+0.07)^-($B29-Assumptions!$D$11)</f>
        <v>0</v>
      </c>
      <c r="Q29" s="16"/>
    </row>
    <row r="30" spans="2:37" ht="15.75" customHeight="1" x14ac:dyDescent="0.25">
      <c r="B30" s="85">
        <f t="shared" si="2"/>
        <v>2046</v>
      </c>
      <c r="C30" s="642">
        <f t="shared" si="0"/>
        <v>0</v>
      </c>
      <c r="D30" s="130">
        <f>C30*(1+0.07)^-($B30-Assumptions!$D$11)</f>
        <v>0</v>
      </c>
      <c r="E30" s="131">
        <f t="shared" si="1"/>
        <v>0</v>
      </c>
      <c r="F30" s="132">
        <f>E30*(1+0.07)^-($B30-Assumptions!$D$11)</f>
        <v>0</v>
      </c>
      <c r="Q30" s="16"/>
    </row>
    <row r="31" spans="2:37" ht="15.75" customHeight="1" x14ac:dyDescent="0.25">
      <c r="B31" s="85">
        <f t="shared" si="2"/>
        <v>2047</v>
      </c>
      <c r="C31" s="642">
        <f t="shared" si="0"/>
        <v>0</v>
      </c>
      <c r="D31" s="130">
        <f>C31*(1+0.07)^-($B31-Assumptions!$D$11)</f>
        <v>0</v>
      </c>
      <c r="E31" s="131">
        <f t="shared" si="1"/>
        <v>0</v>
      </c>
      <c r="F31" s="132">
        <f>E31*(1+0.07)^-($B31-Assumptions!$D$11)</f>
        <v>0</v>
      </c>
      <c r="Q31" s="16"/>
    </row>
    <row r="32" spans="2:37" ht="15.75" customHeight="1" x14ac:dyDescent="0.25">
      <c r="B32" s="85">
        <f t="shared" si="2"/>
        <v>2048</v>
      </c>
      <c r="C32" s="642">
        <f t="shared" si="0"/>
        <v>0</v>
      </c>
      <c r="D32" s="130">
        <f>C32*(1+0.07)^-($B32-Assumptions!$D$11)</f>
        <v>0</v>
      </c>
      <c r="E32" s="131">
        <f t="shared" si="1"/>
        <v>0</v>
      </c>
      <c r="F32" s="132">
        <f>E32*(1+0.07)^-($B32-Assumptions!$D$11)</f>
        <v>0</v>
      </c>
      <c r="Q32" s="16"/>
    </row>
    <row r="33" spans="1:17" ht="15.75" customHeight="1" x14ac:dyDescent="0.25">
      <c r="B33" s="85">
        <f t="shared" si="2"/>
        <v>2049</v>
      </c>
      <c r="C33" s="642">
        <f t="shared" si="0"/>
        <v>0</v>
      </c>
      <c r="D33" s="130">
        <f>C33*(1+0.07)^-($B33-Assumptions!$D$11)</f>
        <v>0</v>
      </c>
      <c r="E33" s="131">
        <f t="shared" si="1"/>
        <v>0</v>
      </c>
      <c r="F33" s="132">
        <f>E33*(1+0.07)^-($B33-Assumptions!$D$11)</f>
        <v>0</v>
      </c>
      <c r="Q33" s="16"/>
    </row>
    <row r="34" spans="1:17" ht="15.75" customHeight="1" x14ac:dyDescent="0.25">
      <c r="B34" s="85">
        <f t="shared" si="2"/>
        <v>2050</v>
      </c>
      <c r="C34" s="642">
        <f t="shared" si="0"/>
        <v>0</v>
      </c>
      <c r="D34" s="130">
        <f>C34*(1+0.07)^-($B34-Assumptions!$D$11)</f>
        <v>0</v>
      </c>
      <c r="E34" s="131">
        <f t="shared" si="1"/>
        <v>0</v>
      </c>
      <c r="F34" s="132">
        <f>E34*(1+0.07)^-($B34-Assumptions!$D$11)</f>
        <v>0</v>
      </c>
      <c r="Q34" s="16"/>
    </row>
    <row r="35" spans="1:17" ht="15.75" customHeight="1" x14ac:dyDescent="0.25">
      <c r="B35" s="85">
        <f t="shared" si="2"/>
        <v>2051</v>
      </c>
      <c r="C35" s="642">
        <f t="shared" si="0"/>
        <v>0</v>
      </c>
      <c r="D35" s="130">
        <f>C35*(1+0.07)^-($B35-Assumptions!$D$11)</f>
        <v>0</v>
      </c>
      <c r="E35" s="131">
        <f t="shared" si="1"/>
        <v>0</v>
      </c>
      <c r="F35" s="132">
        <f>E35*(1+0.07)^-($B35-Assumptions!$D$11)</f>
        <v>0</v>
      </c>
      <c r="Q35" s="16"/>
    </row>
    <row r="36" spans="1:17" ht="15.75" customHeight="1" x14ac:dyDescent="0.25">
      <c r="B36" s="85">
        <f t="shared" si="2"/>
        <v>2052</v>
      </c>
      <c r="C36" s="642">
        <f t="shared" si="0"/>
        <v>0</v>
      </c>
      <c r="D36" s="130">
        <f>C36*(1+0.07)^-($B36-Assumptions!$D$11)</f>
        <v>0</v>
      </c>
      <c r="E36" s="131">
        <f t="shared" si="1"/>
        <v>0</v>
      </c>
      <c r="F36" s="132">
        <f>E36*(1+0.07)^-($B36-Assumptions!$D$11)</f>
        <v>0</v>
      </c>
      <c r="Q36" s="16"/>
    </row>
    <row r="37" spans="1:17" ht="15.75" customHeight="1" x14ac:dyDescent="0.25">
      <c r="B37" s="85">
        <f t="shared" si="2"/>
        <v>2053</v>
      </c>
      <c r="C37" s="642">
        <f t="shared" si="0"/>
        <v>0</v>
      </c>
      <c r="D37" s="130">
        <f>C37*(1+0.07)^-($B37-Assumptions!$D$11)</f>
        <v>0</v>
      </c>
      <c r="E37" s="131">
        <f t="shared" si="1"/>
        <v>0</v>
      </c>
      <c r="F37" s="132">
        <f>E37*(1+0.07)^-($B37-Assumptions!$D$11)</f>
        <v>0</v>
      </c>
      <c r="Q37" s="16"/>
    </row>
    <row r="38" spans="1:17" ht="15.75" customHeight="1" x14ac:dyDescent="0.25">
      <c r="B38" s="85">
        <f t="shared" si="2"/>
        <v>2054</v>
      </c>
      <c r="C38" s="642">
        <f t="shared" si="0"/>
        <v>0</v>
      </c>
      <c r="D38" s="130">
        <f>C38*(1+0.07)^-($B38-Assumptions!$D$11)</f>
        <v>0</v>
      </c>
      <c r="E38" s="131">
        <f t="shared" si="1"/>
        <v>0</v>
      </c>
      <c r="F38" s="132">
        <f>E38*(1+0.07)^-($B38-Assumptions!$D$11)</f>
        <v>0</v>
      </c>
      <c r="Q38" s="16"/>
    </row>
    <row r="39" spans="1:17" ht="15.75" customHeight="1" x14ac:dyDescent="0.25">
      <c r="B39" s="85">
        <f t="shared" si="2"/>
        <v>2055</v>
      </c>
      <c r="C39" s="642">
        <f t="shared" si="0"/>
        <v>0</v>
      </c>
      <c r="D39" s="130">
        <f>C39*(1+0.07)^-($B39-Assumptions!$D$11)</f>
        <v>0</v>
      </c>
      <c r="E39" s="131">
        <f t="shared" si="1"/>
        <v>0</v>
      </c>
      <c r="F39" s="132">
        <f>E39*(1+0.07)^-($B39-Assumptions!$D$11)</f>
        <v>0</v>
      </c>
      <c r="Q39" s="16"/>
    </row>
    <row r="40" spans="1:17" ht="15.75" customHeight="1" x14ac:dyDescent="0.25">
      <c r="B40" s="85">
        <f t="shared" si="2"/>
        <v>2056</v>
      </c>
      <c r="C40" s="642">
        <f t="shared" si="0"/>
        <v>0</v>
      </c>
      <c r="D40" s="130">
        <f>C40*(1+0.07)^-($B40-Assumptions!$D$11)</f>
        <v>0</v>
      </c>
      <c r="E40" s="131">
        <f t="shared" si="1"/>
        <v>0</v>
      </c>
      <c r="F40" s="132">
        <f>E40*(1+0.07)^-($B40-Assumptions!$D$11)</f>
        <v>0</v>
      </c>
      <c r="Q40" s="16"/>
    </row>
    <row r="41" spans="1:17" ht="15.75" customHeight="1" thickBot="1" x14ac:dyDescent="0.3">
      <c r="B41" s="86">
        <f t="shared" si="2"/>
        <v>2057</v>
      </c>
      <c r="C41" s="643">
        <f t="shared" si="0"/>
        <v>0</v>
      </c>
      <c r="D41" s="133">
        <f>C41*(1+0.07)^-($B41-Assumptions!$D$11)</f>
        <v>0</v>
      </c>
      <c r="E41" s="134">
        <f t="shared" si="1"/>
        <v>0</v>
      </c>
      <c r="F41" s="135">
        <f>E41*(1+0.07)^-($B41-Assumptions!$D$11)</f>
        <v>0</v>
      </c>
      <c r="Q41" s="16"/>
    </row>
    <row r="42" spans="1:17" ht="15.75" customHeight="1" x14ac:dyDescent="0.25">
      <c r="B42" s="95"/>
      <c r="C42" s="652" t="s">
        <v>45</v>
      </c>
      <c r="D42" s="118">
        <f>SUM(D6:D41)</f>
        <v>3082292.9030887247</v>
      </c>
      <c r="E42" s="652" t="s">
        <v>832</v>
      </c>
      <c r="F42" s="118">
        <f>SUM(F6:F41)</f>
        <v>0</v>
      </c>
    </row>
    <row r="43" spans="1:17" ht="15.75" customHeight="1" x14ac:dyDescent="0.25">
      <c r="B43" s="44"/>
      <c r="C43" s="119"/>
      <c r="D43" s="119"/>
      <c r="E43" s="119"/>
      <c r="F43" s="119"/>
    </row>
    <row r="44" spans="1:17" ht="15.75" customHeight="1" x14ac:dyDescent="0.25">
      <c r="B44" s="1" t="s">
        <v>3</v>
      </c>
    </row>
    <row r="45" spans="1:17" ht="15.75" customHeight="1" x14ac:dyDescent="0.25">
      <c r="A45" s="2" t="s">
        <v>16</v>
      </c>
      <c r="B45" s="672" t="s">
        <v>936</v>
      </c>
      <c r="C45" s="672"/>
      <c r="D45" s="672"/>
      <c r="E45" s="672"/>
      <c r="F45" s="672"/>
    </row>
    <row r="46" spans="1:17" ht="15.75" customHeight="1" x14ac:dyDescent="0.25">
      <c r="B46" s="672"/>
      <c r="C46" s="672"/>
      <c r="D46" s="672"/>
      <c r="E46" s="672"/>
      <c r="F46" s="672"/>
    </row>
    <row r="47" spans="1:17" ht="15.75" customHeight="1" x14ac:dyDescent="0.25">
      <c r="B47" s="672"/>
      <c r="C47" s="672"/>
      <c r="D47" s="672"/>
      <c r="E47" s="672"/>
      <c r="F47" s="672"/>
    </row>
    <row r="48" spans="1:17" x14ac:dyDescent="0.25">
      <c r="B48" s="672"/>
      <c r="C48" s="672"/>
      <c r="D48" s="672"/>
      <c r="E48" s="672"/>
      <c r="F48" s="672"/>
    </row>
    <row r="49" spans="1:6" ht="15" customHeight="1" x14ac:dyDescent="0.25">
      <c r="B49" s="40"/>
      <c r="C49" s="40"/>
      <c r="D49" s="40"/>
      <c r="E49" s="40"/>
      <c r="F49" s="40"/>
    </row>
    <row r="50" spans="1:6" ht="15" customHeight="1" x14ac:dyDescent="0.25">
      <c r="A50" s="2" t="s">
        <v>22</v>
      </c>
      <c r="B50" s="672" t="s">
        <v>814</v>
      </c>
      <c r="C50" s="672"/>
      <c r="D50" s="672"/>
      <c r="E50" s="672"/>
      <c r="F50" s="672"/>
    </row>
    <row r="51" spans="1:6" x14ac:dyDescent="0.25">
      <c r="B51" s="672"/>
      <c r="C51" s="672"/>
      <c r="D51" s="672"/>
      <c r="E51" s="672"/>
      <c r="F51" s="672"/>
    </row>
    <row r="52" spans="1:6" x14ac:dyDescent="0.25">
      <c r="B52" s="40"/>
      <c r="C52" s="40"/>
      <c r="D52" s="40"/>
      <c r="E52" s="40"/>
      <c r="F52" s="40"/>
    </row>
    <row r="53" spans="1:6" ht="15" customHeight="1" x14ac:dyDescent="0.25">
      <c r="B53" s="40"/>
      <c r="C53" s="40"/>
      <c r="D53" s="40"/>
      <c r="E53" s="40"/>
      <c r="F53" s="40"/>
    </row>
    <row r="54" spans="1:6" x14ac:dyDescent="0.25">
      <c r="B54" s="40"/>
      <c r="C54" s="40"/>
      <c r="D54" s="40"/>
      <c r="E54" s="40"/>
      <c r="F54" s="40"/>
    </row>
    <row r="57" spans="1:6" ht="15" customHeight="1" x14ac:dyDescent="0.25"/>
    <row r="58" spans="1:6" x14ac:dyDescent="0.25">
      <c r="B58" s="8"/>
      <c r="C58" s="8"/>
      <c r="D58" s="8"/>
      <c r="E58" s="8"/>
      <c r="F58" s="8"/>
    </row>
    <row r="59" spans="1:6" x14ac:dyDescent="0.25">
      <c r="B59" s="8"/>
      <c r="C59" s="8"/>
      <c r="D59" s="8"/>
      <c r="E59" s="8"/>
      <c r="F59" s="8"/>
    </row>
    <row r="60" spans="1:6" x14ac:dyDescent="0.25">
      <c r="B60" s="8"/>
      <c r="C60" s="8"/>
      <c r="D60" s="8"/>
      <c r="E60" s="8"/>
      <c r="F60" s="8"/>
    </row>
    <row r="61" spans="1:6" x14ac:dyDescent="0.25">
      <c r="B61" s="8"/>
      <c r="C61" s="8"/>
      <c r="D61" s="8"/>
      <c r="E61" s="8"/>
      <c r="F61" s="8"/>
    </row>
    <row r="62" spans="1:6" x14ac:dyDescent="0.25">
      <c r="B62" s="8"/>
      <c r="C62" s="8"/>
      <c r="D62" s="8"/>
      <c r="E62" s="8"/>
      <c r="F62" s="8"/>
    </row>
    <row r="63" spans="1:6" ht="15" customHeight="1" x14ac:dyDescent="0.25"/>
    <row r="66" spans="1:1" x14ac:dyDescent="0.25">
      <c r="A66" s="2"/>
    </row>
    <row r="72" spans="1:1" x14ac:dyDescent="0.25">
      <c r="A72" s="2"/>
    </row>
  </sheetData>
  <mergeCells count="7">
    <mergeCell ref="B50:F51"/>
    <mergeCell ref="B4:B5"/>
    <mergeCell ref="C4:C5"/>
    <mergeCell ref="D4:D5"/>
    <mergeCell ref="F4:F5"/>
    <mergeCell ref="E4:E5"/>
    <mergeCell ref="B45:F48"/>
  </mergeCells>
  <pageMargins left="0.25" right="0.25" top="0.75" bottom="0.75" header="0.3" footer="0.3"/>
  <pageSetup paperSize="3" scale="6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26</vt:i4>
      </vt:variant>
    </vt:vector>
  </HeadingPairs>
  <TitlesOfParts>
    <vt:vector size="46" baseType="lpstr">
      <vt:lpstr>Assumptions</vt:lpstr>
      <vt:lpstr>BCA Summary </vt:lpstr>
      <vt:lpstr>Travel Time Savings</vt:lpstr>
      <vt:lpstr>VOC Savings</vt:lpstr>
      <vt:lpstr>Safety Improvements</vt:lpstr>
      <vt:lpstr>Air Quality</vt:lpstr>
      <vt:lpstr>Network Crash Savings</vt:lpstr>
      <vt:lpstr>O&amp;M + Rehab</vt:lpstr>
      <vt:lpstr>Capital Cost + RCV</vt:lpstr>
      <vt:lpstr>Construction Travel Time Impact</vt:lpstr>
      <vt:lpstr>TH 11 - Year of Closure</vt:lpstr>
      <vt:lpstr>Project Cost Estimate</vt:lpstr>
      <vt:lpstr>VMT Calcs</vt:lpstr>
      <vt:lpstr>Traffic Volume Data</vt:lpstr>
      <vt:lpstr>Traffic Forecast Data</vt:lpstr>
      <vt:lpstr>Crash Data - Project Segment</vt:lpstr>
      <vt:lpstr>Crash Data - Build Cars</vt:lpstr>
      <vt:lpstr>Crash Data - No Build Cars</vt:lpstr>
      <vt:lpstr>Crash Data - Build Trucks</vt:lpstr>
      <vt:lpstr>Crash Data - No Build Trucks</vt:lpstr>
      <vt:lpstr>CompositeCost</vt:lpstr>
      <vt:lpstr>EndYear</vt:lpstr>
      <vt:lpstr>PeakLngthE</vt:lpstr>
      <vt:lpstr>PercentAutoW</vt:lpstr>
      <vt:lpstr>PercentAutoWO</vt:lpstr>
      <vt:lpstr>PercentTrucksW</vt:lpstr>
      <vt:lpstr>PercentTrucksWO</vt:lpstr>
      <vt:lpstr>PercTruckW</vt:lpstr>
      <vt:lpstr>PerTruckE</vt:lpstr>
      <vt:lpstr>PerTruckN</vt:lpstr>
      <vt:lpstr>'Air Quality'!Print_Area</vt:lpstr>
      <vt:lpstr>Assumptions!Print_Area</vt:lpstr>
      <vt:lpstr>'BCA Summary '!Print_Area</vt:lpstr>
      <vt:lpstr>'Capital Cost + RCV'!Print_Area</vt:lpstr>
      <vt:lpstr>'Construction Travel Time Impact'!Print_Area</vt:lpstr>
      <vt:lpstr>'Network Crash Savings'!Print_Area</vt:lpstr>
      <vt:lpstr>'O&amp;M + Rehab'!Print_Area</vt:lpstr>
      <vt:lpstr>'Safety Improvements'!Print_Area</vt:lpstr>
      <vt:lpstr>'TH 11 - Year of Closure'!Print_Area</vt:lpstr>
      <vt:lpstr>'Traffic Forecast Data'!Print_Area</vt:lpstr>
      <vt:lpstr>'Traffic Volume Data'!Print_Area</vt:lpstr>
      <vt:lpstr>'Travel Time Savings'!Print_Area</vt:lpstr>
      <vt:lpstr>'VOC Savings'!Print_Area</vt:lpstr>
      <vt:lpstr>ProjLoc</vt:lpstr>
      <vt:lpstr>Projlocation</vt:lpstr>
      <vt:lpstr>TruckSpeed</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Gina Blazanin</cp:lastModifiedBy>
  <cp:lastPrinted>2023-08-07T17:26:41Z</cp:lastPrinted>
  <dcterms:created xsi:type="dcterms:W3CDTF">2013-05-17T20:57:43Z</dcterms:created>
  <dcterms:modified xsi:type="dcterms:W3CDTF">2023-08-11T15:45:37Z</dcterms:modified>
</cp:coreProperties>
</file>