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K:\Trans\Grant Applications\2022 Grants\MPDG\Sherburne\BCA\"/>
    </mc:Choice>
  </mc:AlternateContent>
  <xr:revisionPtr revIDLastSave="0" documentId="13_ncr:1_{10713CB0-D231-40D9-929F-F3ADFDD94CD3}" xr6:coauthVersionLast="47" xr6:coauthVersionMax="47" xr10:uidLastSave="{00000000-0000-0000-0000-000000000000}"/>
  <bookViews>
    <workbookView xWindow="-120" yWindow="-120" windowWidth="29040" windowHeight="15840" tabRatio="851" xr2:uid="{00000000-000D-0000-FFFF-FFFF00000000}"/>
  </bookViews>
  <sheets>
    <sheet name="Assumptions" sheetId="28" r:id="rId1"/>
    <sheet name="BCA Summary " sheetId="46" r:id="rId2"/>
    <sheet name="Travel Time Savings " sheetId="36" r:id="rId3"/>
    <sheet name="Operation Benefits" sheetId="44" r:id="rId4"/>
    <sheet name="SafetyBenefits" sheetId="30" r:id="rId5"/>
    <sheet name="Air Quality" sheetId="47" r:id="rId6"/>
    <sheet name="Water Quality" sheetId="49" r:id="rId7"/>
    <sheet name="Operating and Maintenance Costs" sheetId="48" r:id="rId8"/>
    <sheet name="Capital Cost and RCV Calc" sheetId="42" r:id="rId9"/>
    <sheet name="RCV Calculator" sheetId="10" r:id="rId10"/>
  </sheets>
  <externalReferences>
    <externalReference r:id="rId11"/>
    <externalReference r:id="rId12"/>
    <externalReference r:id="rId13"/>
    <externalReference r:id="rId14"/>
    <externalReference r:id="rId15"/>
  </externalReferences>
  <definedNames>
    <definedName name="AnalysisPeriod">Assumptions!$H$34</definedName>
    <definedName name="AutoCost" localSheetId="2">[1]Assumptions!#REF!</definedName>
    <definedName name="AutoCost">Assumptions!$H$63</definedName>
    <definedName name="BCAnalysisPeriod" localSheetId="5">[2]Assumptions!#REF!</definedName>
    <definedName name="BCAnalysisPeriod" localSheetId="8">[3]Assumptions!#REF!</definedName>
    <definedName name="BCAnalysisPeriod" localSheetId="7">[3]Assumptions!#REF!</definedName>
    <definedName name="BCAnalysisPeriod" localSheetId="3">[4]Assumptions!#REF!</definedName>
    <definedName name="BCAnalysisPeriod" localSheetId="2">[5]Assumptions!#REF!</definedName>
    <definedName name="BCAnalysisPeriod">Assumptions!#REF!</definedName>
    <definedName name="CompositeCost" localSheetId="2">[1]Assumptions!#REF!</definedName>
    <definedName name="CompositeCost">Assumptions!$H$65</definedName>
    <definedName name="Daysinyr" localSheetId="2">[1]Assumptions!#REF!</definedName>
    <definedName name="Daysinyr">Assumptions!$H$59</definedName>
    <definedName name="DiscountRate" localSheetId="2">[1]Assumptions!#REF!</definedName>
    <definedName name="DiscountRate">Assumptions!$H$60</definedName>
    <definedName name="EndYear">Assumptions!$H$37</definedName>
    <definedName name="PeakLngthE">Assumptions!$H$17</definedName>
    <definedName name="PercentAutoW">Assumptions!$I$43</definedName>
    <definedName name="PercentAutoWO">Assumptions!$H$43</definedName>
    <definedName name="PercentTrucksW">Assumptions!$I$45</definedName>
    <definedName name="PercentTrucksWO">Assumptions!$H$45</definedName>
    <definedName name="PercTruckW">Assumptions!$I$45</definedName>
    <definedName name="PerTruckE">Assumptions!$H$45</definedName>
    <definedName name="PerTruckN">Assumptions!$I$45</definedName>
    <definedName name="_xlnm.Print_Area" localSheetId="5">'Air Quality'!$A$1:$AD$48</definedName>
    <definedName name="_xlnm.Print_Area" localSheetId="0">Assumptions!$B$2:$G$49</definedName>
    <definedName name="_xlnm.Print_Area" localSheetId="1">'BCA Summary '!$A$2:$L$84</definedName>
    <definedName name="_xlnm.Print_Area" localSheetId="8">'Capital Cost and RCV Calc'!$A$2:$O$61</definedName>
    <definedName name="_xlnm.Print_Area" localSheetId="7">'Operating and Maintenance Costs'!$A$2:$K$51</definedName>
    <definedName name="_xlnm.Print_Area" localSheetId="3">'Operation Benefits'!$A$2:$H$57</definedName>
    <definedName name="_xlnm.Print_Area" localSheetId="4">SafetyBenefits!$A$3:$V$58</definedName>
    <definedName name="_xlnm.Print_Area" localSheetId="2">'Travel Time Savings '!$A$2:$Q$67</definedName>
    <definedName name="_xlnm.Print_Area" localSheetId="6">'Water Quality'!$A$2:$P$64</definedName>
    <definedName name="ProjLoc" localSheetId="2">[1]Assumptions!$I$14</definedName>
    <definedName name="ProjLoc">Assumptions!$I$14</definedName>
    <definedName name="Projlocation">Assumptions!$F$15</definedName>
    <definedName name="ProjName">Assumptions!$F$6</definedName>
    <definedName name="solver_typ" localSheetId="8" hidden="1">2</definedName>
    <definedName name="solver_typ" localSheetId="7" hidden="1">2</definedName>
    <definedName name="solver_ver" localSheetId="8" hidden="1">17</definedName>
    <definedName name="solver_ver" localSheetId="7" hidden="1">17</definedName>
    <definedName name="SRFProjectNum">Assumptions!$F$5</definedName>
    <definedName name="StartYear">Assumptions!$H$36</definedName>
    <definedName name="TAccReductPer" localSheetId="2">[1]Assumptions!#REF!</definedName>
    <definedName name="TAccReductPer">Assumptions!$H$64</definedName>
    <definedName name="TAptFW" localSheetId="2">[1]Assumptions!#REF!</definedName>
    <definedName name="TAptFW">Assumptions!$H$59</definedName>
    <definedName name="TPerHwy" localSheetId="2">[1]Assumptions!#REF!</definedName>
    <definedName name="TPerHwy">Assumptions!$H$60</definedName>
    <definedName name="TruckCost" localSheetId="5">[2]Assumptions!#REF!</definedName>
    <definedName name="TruckCost" localSheetId="8">[3]Assumptions!#REF!</definedName>
    <definedName name="TruckCost" localSheetId="7">[3]Assumptions!#REF!</definedName>
    <definedName name="TruckCost" localSheetId="3">[4]Assumptions!#REF!</definedName>
    <definedName name="TruckCost" localSheetId="2">[5]Assumptions!#REF!</definedName>
    <definedName name="TruckCost">Assumptions!#REF!</definedName>
    <definedName name="TruckSpeed">Assumptions!$H$46</definedName>
    <definedName name="TVehMiBW" localSheetId="2">[1]Assumptions!#REF!</definedName>
    <definedName name="TVehMiBW">Assumptions!$I$61</definedName>
    <definedName name="TVehMiFW" localSheetId="2">[1]Assumptions!#REF!</definedName>
    <definedName name="TVehMiFW">Assumptions!$I$62</definedName>
    <definedName name="yrofanalysis" localSheetId="2">[1]Assumptions!#REF!</definedName>
    <definedName name="yrofanalysis">Assumptions!#REF!</definedName>
    <definedName name="yrofcurrentdollars" localSheetId="2">[1]Assumptions!#REF!</definedName>
    <definedName name="yrofcurrentdollars">Assumptions!#REF!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9" i="44" l="1"/>
  <c r="B43" i="36"/>
  <c r="B39" i="36"/>
  <c r="D23" i="28"/>
  <c r="E14" i="28"/>
  <c r="E15" i="28" s="1"/>
  <c r="D14" i="28"/>
  <c r="D15" i="28" s="1"/>
  <c r="D8" i="28"/>
  <c r="D9" i="28" s="1"/>
  <c r="J11" i="46"/>
  <c r="J12" i="46"/>
  <c r="J13" i="46"/>
  <c r="J14" i="46"/>
  <c r="J15" i="46"/>
  <c r="J16" i="46"/>
  <c r="J17" i="46"/>
  <c r="J18" i="46"/>
  <c r="J19" i="46"/>
  <c r="J20" i="46"/>
  <c r="J21" i="46"/>
  <c r="J22" i="46"/>
  <c r="J23" i="46"/>
  <c r="J24" i="46"/>
  <c r="J25" i="46"/>
  <c r="J26" i="46"/>
  <c r="J27" i="46"/>
  <c r="J28" i="46"/>
  <c r="J29" i="46"/>
  <c r="J30" i="46"/>
  <c r="J31" i="46"/>
  <c r="J32" i="46"/>
  <c r="J33" i="46"/>
  <c r="J34" i="46"/>
  <c r="J35" i="46"/>
  <c r="J36" i="46"/>
  <c r="J37" i="46"/>
  <c r="J38" i="46"/>
  <c r="K19" i="42"/>
  <c r="K18" i="42"/>
  <c r="K17" i="42"/>
  <c r="K16" i="42"/>
  <c r="K14" i="42"/>
  <c r="K15" i="42"/>
  <c r="Y6" i="47"/>
  <c r="Y13" i="47" s="1"/>
  <c r="G7" i="49" l="1"/>
  <c r="G10" i="49" s="1"/>
  <c r="G11" i="49" s="1"/>
  <c r="AB21" i="30"/>
  <c r="AA21" i="30"/>
  <c r="AB20" i="30"/>
  <c r="AA20" i="30"/>
  <c r="N7" i="30"/>
  <c r="N8" i="30"/>
  <c r="N9" i="30"/>
  <c r="N10" i="30"/>
  <c r="N11" i="30"/>
  <c r="N12" i="30"/>
  <c r="N13" i="30"/>
  <c r="N14" i="30"/>
  <c r="N15" i="30"/>
  <c r="N16" i="30"/>
  <c r="N17" i="30"/>
  <c r="N18" i="30"/>
  <c r="N19" i="30"/>
  <c r="N20" i="30"/>
  <c r="N21" i="30"/>
  <c r="N22" i="30"/>
  <c r="N23" i="30"/>
  <c r="N24" i="30"/>
  <c r="N25" i="30"/>
  <c r="N26" i="30"/>
  <c r="N27" i="30"/>
  <c r="N28" i="30"/>
  <c r="N29" i="30"/>
  <c r="N30" i="30"/>
  <c r="N31" i="30"/>
  <c r="N32" i="30"/>
  <c r="N33" i="30"/>
  <c r="N34" i="30"/>
  <c r="N35" i="30"/>
  <c r="N36" i="30"/>
  <c r="C6" i="49" l="1"/>
  <c r="G11" i="46" s="1"/>
  <c r="C8" i="49"/>
  <c r="G13" i="46" s="1"/>
  <c r="C10" i="49"/>
  <c r="G15" i="46" s="1"/>
  <c r="C12" i="49"/>
  <c r="G17" i="46" s="1"/>
  <c r="C14" i="49"/>
  <c r="G19" i="46" s="1"/>
  <c r="C16" i="49"/>
  <c r="G21" i="46" s="1"/>
  <c r="C18" i="49"/>
  <c r="G23" i="46" s="1"/>
  <c r="C20" i="49"/>
  <c r="G25" i="46" s="1"/>
  <c r="C22" i="49"/>
  <c r="G27" i="46" s="1"/>
  <c r="C24" i="49"/>
  <c r="G29" i="46" s="1"/>
  <c r="C26" i="49"/>
  <c r="G31" i="46" s="1"/>
  <c r="C28" i="49"/>
  <c r="G33" i="46" s="1"/>
  <c r="C30" i="49"/>
  <c r="G35" i="46" s="1"/>
  <c r="C32" i="49"/>
  <c r="G37" i="46" s="1"/>
  <c r="C34" i="49"/>
  <c r="G39" i="46" s="1"/>
  <c r="C7" i="49"/>
  <c r="G12" i="46" s="1"/>
  <c r="C9" i="49"/>
  <c r="G14" i="46" s="1"/>
  <c r="C11" i="49"/>
  <c r="G16" i="46" s="1"/>
  <c r="C13" i="49"/>
  <c r="G18" i="46" s="1"/>
  <c r="C15" i="49"/>
  <c r="G20" i="46" s="1"/>
  <c r="C17" i="49"/>
  <c r="G22" i="46" s="1"/>
  <c r="C19" i="49"/>
  <c r="G24" i="46" s="1"/>
  <c r="C21" i="49"/>
  <c r="G26" i="46" s="1"/>
  <c r="C23" i="49"/>
  <c r="G28" i="46" s="1"/>
  <c r="C25" i="49"/>
  <c r="G30" i="46" s="1"/>
  <c r="C27" i="49"/>
  <c r="G32" i="46" s="1"/>
  <c r="C29" i="49"/>
  <c r="G34" i="46" s="1"/>
  <c r="C31" i="49"/>
  <c r="G36" i="46" s="1"/>
  <c r="C33" i="49"/>
  <c r="G38" i="46" s="1"/>
  <c r="C5" i="49"/>
  <c r="AB22" i="30"/>
  <c r="AC20" i="30"/>
  <c r="AD20" i="30" s="1"/>
  <c r="AC21" i="30"/>
  <c r="AD21" i="30" s="1"/>
  <c r="AK26" i="47"/>
  <c r="V8" i="47" s="1"/>
  <c r="AJ26" i="47"/>
  <c r="U8" i="47" s="1"/>
  <c r="AI26" i="47"/>
  <c r="T8" i="47" s="1"/>
  <c r="AH26" i="47"/>
  <c r="S8" i="47" s="1"/>
  <c r="AK25" i="47"/>
  <c r="V7" i="47" s="1"/>
  <c r="AJ25" i="47"/>
  <c r="U7" i="47" s="1"/>
  <c r="AI25" i="47"/>
  <c r="T7" i="47" s="1"/>
  <c r="AH25" i="47"/>
  <c r="S7" i="47" s="1"/>
  <c r="F30" i="42"/>
  <c r="F31" i="42"/>
  <c r="F32" i="42"/>
  <c r="F33" i="42"/>
  <c r="F34" i="42"/>
  <c r="J8" i="42"/>
  <c r="C35" i="49" l="1"/>
  <c r="G10" i="46"/>
  <c r="V44" i="47" l="1"/>
  <c r="V45" i="47" s="1"/>
  <c r="V46" i="47" s="1"/>
  <c r="V47" i="47" s="1"/>
  <c r="V48" i="47" s="1"/>
  <c r="T44" i="47" l="1"/>
  <c r="T45" i="47" s="1"/>
  <c r="T46" i="47" s="1"/>
  <c r="T47" i="47" s="1"/>
  <c r="T48" i="47" s="1"/>
  <c r="U44" i="47"/>
  <c r="U45" i="47" s="1"/>
  <c r="U46" i="47" s="1"/>
  <c r="U47" i="47" s="1"/>
  <c r="U48" i="47" s="1"/>
  <c r="S44" i="47"/>
  <c r="S45" i="47" s="1"/>
  <c r="S46" i="47" s="1"/>
  <c r="S47" i="47" s="1"/>
  <c r="S48" i="47" s="1"/>
  <c r="J10" i="46" l="1"/>
  <c r="F11" i="42"/>
  <c r="F12" i="42"/>
  <c r="F13" i="42"/>
  <c r="F14" i="42"/>
  <c r="F15" i="42"/>
  <c r="F16" i="42"/>
  <c r="F17" i="42"/>
  <c r="F18" i="42"/>
  <c r="F19" i="42"/>
  <c r="F20" i="42"/>
  <c r="J5" i="42"/>
  <c r="F21" i="42" l="1"/>
  <c r="F22" i="42"/>
  <c r="F23" i="42"/>
  <c r="F24" i="42"/>
  <c r="F25" i="42"/>
  <c r="F26" i="42"/>
  <c r="F27" i="42"/>
  <c r="O14" i="48" l="1"/>
  <c r="P14" i="48" s="1"/>
  <c r="H12" i="48" l="1"/>
  <c r="D34" i="48" l="1"/>
  <c r="I39" i="46" s="1"/>
  <c r="D26" i="48"/>
  <c r="I31" i="46" s="1"/>
  <c r="D18" i="48"/>
  <c r="I23" i="46" s="1"/>
  <c r="D10" i="48"/>
  <c r="I15" i="46" s="1"/>
  <c r="D33" i="48"/>
  <c r="I38" i="46" s="1"/>
  <c r="D25" i="48"/>
  <c r="I30" i="46" s="1"/>
  <c r="D17" i="48"/>
  <c r="I22" i="46" s="1"/>
  <c r="D9" i="48"/>
  <c r="I14" i="46" s="1"/>
  <c r="D32" i="48"/>
  <c r="I37" i="46" s="1"/>
  <c r="D24" i="48"/>
  <c r="I29" i="46" s="1"/>
  <c r="D16" i="48"/>
  <c r="I21" i="46" s="1"/>
  <c r="D8" i="48"/>
  <c r="I13" i="46" s="1"/>
  <c r="D23" i="48"/>
  <c r="I28" i="46" s="1"/>
  <c r="D15" i="48"/>
  <c r="I20" i="46" s="1"/>
  <c r="D7" i="48"/>
  <c r="I12" i="46" s="1"/>
  <c r="D22" i="48"/>
  <c r="I27" i="46" s="1"/>
  <c r="D14" i="48"/>
  <c r="I19" i="46" s="1"/>
  <c r="D6" i="48"/>
  <c r="I11" i="46" s="1"/>
  <c r="D29" i="48"/>
  <c r="I34" i="46" s="1"/>
  <c r="D21" i="48"/>
  <c r="I26" i="46" s="1"/>
  <c r="D13" i="48"/>
  <c r="I18" i="46" s="1"/>
  <c r="D5" i="48"/>
  <c r="D28" i="48"/>
  <c r="I33" i="46" s="1"/>
  <c r="D12" i="48"/>
  <c r="I17" i="46" s="1"/>
  <c r="D27" i="48"/>
  <c r="I32" i="46" s="1"/>
  <c r="D19" i="48"/>
  <c r="I24" i="46" s="1"/>
  <c r="D11" i="48"/>
  <c r="I16" i="46" s="1"/>
  <c r="D31" i="48"/>
  <c r="I36" i="46" s="1"/>
  <c r="D30" i="48"/>
  <c r="I35" i="46" s="1"/>
  <c r="D20" i="48"/>
  <c r="I25" i="46" s="1"/>
  <c r="C35" i="48"/>
  <c r="I10" i="46" l="1"/>
  <c r="O15" i="48"/>
  <c r="P15" i="48" s="1"/>
  <c r="F9" i="42"/>
  <c r="F10" i="42"/>
  <c r="L10" i="36" l="1"/>
  <c r="D35" i="48" l="1"/>
  <c r="J31" i="42" l="1"/>
  <c r="B5" i="42"/>
  <c r="B45" i="46" l="1"/>
  <c r="B46" i="46" l="1"/>
  <c r="K31" i="42" l="1"/>
  <c r="I31" i="42"/>
  <c r="K30" i="42"/>
  <c r="I30" i="42"/>
  <c r="K29" i="42"/>
  <c r="L29" i="42" s="1"/>
  <c r="I29" i="42"/>
  <c r="K28" i="42"/>
  <c r="I28" i="42"/>
  <c r="F35" i="42"/>
  <c r="K27" i="42"/>
  <c r="L27" i="42" s="1"/>
  <c r="I27" i="42"/>
  <c r="K26" i="42"/>
  <c r="L26" i="42" s="1"/>
  <c r="I26" i="42"/>
  <c r="F29" i="42"/>
  <c r="F28" i="42"/>
  <c r="K20" i="42"/>
  <c r="F8" i="42"/>
  <c r="F7" i="42"/>
  <c r="F6" i="42"/>
  <c r="F5" i="42"/>
  <c r="C5" i="42" l="1"/>
  <c r="C45" i="46" s="1"/>
  <c r="D45" i="46" s="1"/>
  <c r="B6" i="42"/>
  <c r="L31" i="42"/>
  <c r="L28" i="42"/>
  <c r="L30" i="42"/>
  <c r="C6" i="42" l="1"/>
  <c r="D6" i="42" s="1"/>
  <c r="D5" i="42"/>
  <c r="B7" i="42"/>
  <c r="L32" i="42"/>
  <c r="E36" i="42" s="1"/>
  <c r="J39" i="46" s="1"/>
  <c r="C46" i="46" l="1"/>
  <c r="D46" i="46" s="1"/>
  <c r="C37" i="42"/>
  <c r="B8" i="42"/>
  <c r="D8" i="42" s="1"/>
  <c r="B9" i="42" l="1"/>
  <c r="D7" i="42"/>
  <c r="B10" i="42" l="1"/>
  <c r="D9" i="42"/>
  <c r="L11" i="36"/>
  <c r="B11" i="42" l="1"/>
  <c r="D10" i="42"/>
  <c r="L15" i="36"/>
  <c r="L14" i="36"/>
  <c r="L7" i="36"/>
  <c r="L6" i="36"/>
  <c r="D11" i="42" l="1"/>
  <c r="B12" i="42"/>
  <c r="L18" i="36"/>
  <c r="B13" i="42" l="1"/>
  <c r="D12" i="42"/>
  <c r="B14" i="42" l="1"/>
  <c r="B15" i="42" s="1"/>
  <c r="B16" i="42" s="1"/>
  <c r="D13" i="42"/>
  <c r="D14" i="42" l="1"/>
  <c r="B10" i="46" l="1"/>
  <c r="B9" i="46" s="1"/>
  <c r="B5" i="49"/>
  <c r="B8" i="46"/>
  <c r="B5" i="48"/>
  <c r="B5" i="47"/>
  <c r="B6" i="47" s="1"/>
  <c r="B6" i="44"/>
  <c r="B6" i="36"/>
  <c r="B7" i="30"/>
  <c r="B11" i="46" l="1"/>
  <c r="B6" i="49"/>
  <c r="D5" i="49"/>
  <c r="B7" i="47"/>
  <c r="D15" i="42"/>
  <c r="B7" i="46"/>
  <c r="B6" i="48"/>
  <c r="E5" i="48"/>
  <c r="B12" i="46"/>
  <c r="B7" i="36"/>
  <c r="B7" i="44"/>
  <c r="B47" i="46"/>
  <c r="B7" i="49" l="1"/>
  <c r="D6" i="49"/>
  <c r="H7" i="30"/>
  <c r="B8" i="47"/>
  <c r="D16" i="42"/>
  <c r="B17" i="42"/>
  <c r="B48" i="46"/>
  <c r="C47" i="46"/>
  <c r="D47" i="46" s="1"/>
  <c r="E6" i="48"/>
  <c r="B7" i="48"/>
  <c r="B13" i="46"/>
  <c r="B8" i="36"/>
  <c r="B9" i="36" s="1"/>
  <c r="B10" i="36" s="1"/>
  <c r="B11" i="36" s="1"/>
  <c r="B12" i="36" s="1"/>
  <c r="B13" i="36" s="1"/>
  <c r="B14" i="36" s="1"/>
  <c r="B15" i="36" s="1"/>
  <c r="B16" i="36" s="1"/>
  <c r="B17" i="36" s="1"/>
  <c r="B18" i="36" s="1"/>
  <c r="B19" i="36" s="1"/>
  <c r="B20" i="36" s="1"/>
  <c r="B21" i="36" s="1"/>
  <c r="B22" i="36" s="1"/>
  <c r="B23" i="36" s="1"/>
  <c r="B8" i="44"/>
  <c r="B8" i="49" l="1"/>
  <c r="D7" i="49"/>
  <c r="O7" i="30"/>
  <c r="H10" i="46" s="1"/>
  <c r="B9" i="47"/>
  <c r="B18" i="42"/>
  <c r="D17" i="42"/>
  <c r="B49" i="46"/>
  <c r="C48" i="46"/>
  <c r="D48" i="46" s="1"/>
  <c r="E7" i="48"/>
  <c r="B8" i="48"/>
  <c r="B14" i="46"/>
  <c r="B9" i="44"/>
  <c r="B9" i="49" l="1"/>
  <c r="D8" i="49"/>
  <c r="B10" i="47"/>
  <c r="D18" i="42"/>
  <c r="B19" i="42"/>
  <c r="B50" i="46"/>
  <c r="C49" i="46"/>
  <c r="D49" i="46" s="1"/>
  <c r="E8" i="48"/>
  <c r="B9" i="48"/>
  <c r="B15" i="46"/>
  <c r="B10" i="44"/>
  <c r="B10" i="49" l="1"/>
  <c r="D9" i="49"/>
  <c r="B11" i="47"/>
  <c r="B11" i="44"/>
  <c r="B12" i="44" s="1"/>
  <c r="D19" i="42"/>
  <c r="B20" i="42"/>
  <c r="B51" i="46"/>
  <c r="C50" i="46"/>
  <c r="D50" i="46" s="1"/>
  <c r="E9" i="48"/>
  <c r="B10" i="48"/>
  <c r="B16" i="46"/>
  <c r="B11" i="49" l="1"/>
  <c r="D10" i="49"/>
  <c r="B12" i="47"/>
  <c r="D20" i="42"/>
  <c r="B21" i="42"/>
  <c r="B52" i="46"/>
  <c r="B53" i="46" s="1"/>
  <c r="B54" i="46" s="1"/>
  <c r="B55" i="46" s="1"/>
  <c r="B56" i="46" s="1"/>
  <c r="B57" i="46" s="1"/>
  <c r="B58" i="46" s="1"/>
  <c r="B59" i="46" s="1"/>
  <c r="B60" i="46" s="1"/>
  <c r="B61" i="46" s="1"/>
  <c r="B62" i="46" s="1"/>
  <c r="B63" i="46" s="1"/>
  <c r="B64" i="46" s="1"/>
  <c r="C51" i="46"/>
  <c r="D51" i="46" s="1"/>
  <c r="B13" i="44"/>
  <c r="E10" i="48"/>
  <c r="B11" i="48"/>
  <c r="B17" i="46"/>
  <c r="B12" i="49" l="1"/>
  <c r="D11" i="49"/>
  <c r="B13" i="47"/>
  <c r="B22" i="42"/>
  <c r="D21" i="42"/>
  <c r="E11" i="48"/>
  <c r="B12" i="48"/>
  <c r="B14" i="44"/>
  <c r="B18" i="46"/>
  <c r="B24" i="36"/>
  <c r="B13" i="49" l="1"/>
  <c r="D12" i="49"/>
  <c r="B65" i="46"/>
  <c r="B14" i="47"/>
  <c r="B23" i="42"/>
  <c r="D22" i="42"/>
  <c r="B15" i="44"/>
  <c r="E12" i="48"/>
  <c r="B13" i="48"/>
  <c r="B19" i="46"/>
  <c r="B25" i="36"/>
  <c r="B14" i="49" l="1"/>
  <c r="D13" i="49"/>
  <c r="B66" i="46"/>
  <c r="B15" i="47"/>
  <c r="B24" i="42"/>
  <c r="D23" i="42"/>
  <c r="C52" i="46"/>
  <c r="D52" i="46" s="1"/>
  <c r="B16" i="44"/>
  <c r="E13" i="48"/>
  <c r="B14" i="48"/>
  <c r="B20" i="46"/>
  <c r="B26" i="36"/>
  <c r="B15" i="49" l="1"/>
  <c r="D14" i="49"/>
  <c r="B67" i="46"/>
  <c r="B16" i="47"/>
  <c r="D24" i="42"/>
  <c r="B25" i="42"/>
  <c r="E14" i="48"/>
  <c r="B15" i="48"/>
  <c r="B17" i="44"/>
  <c r="B21" i="46"/>
  <c r="B27" i="36"/>
  <c r="B16" i="49" l="1"/>
  <c r="D15" i="49"/>
  <c r="B68" i="46"/>
  <c r="B17" i="47"/>
  <c r="D25" i="42"/>
  <c r="B26" i="42"/>
  <c r="E15" i="48"/>
  <c r="B16" i="48"/>
  <c r="B18" i="44"/>
  <c r="B22" i="46"/>
  <c r="B28" i="36"/>
  <c r="B17" i="49" l="1"/>
  <c r="D16" i="49"/>
  <c r="B69" i="46"/>
  <c r="B18" i="47"/>
  <c r="D26" i="42"/>
  <c r="B27" i="42"/>
  <c r="B19" i="44"/>
  <c r="E16" i="48"/>
  <c r="B17" i="48"/>
  <c r="B23" i="46"/>
  <c r="B29" i="36"/>
  <c r="D17" i="49" l="1"/>
  <c r="B18" i="49"/>
  <c r="B70" i="46"/>
  <c r="B19" i="47"/>
  <c r="D27" i="42"/>
  <c r="B28" i="42"/>
  <c r="E17" i="48"/>
  <c r="B18" i="48"/>
  <c r="B20" i="44"/>
  <c r="B24" i="46"/>
  <c r="B30" i="36"/>
  <c r="B19" i="49" l="1"/>
  <c r="D18" i="49"/>
  <c r="B71" i="46"/>
  <c r="B72" i="46" s="1"/>
  <c r="B73" i="46" s="1"/>
  <c r="B74" i="46" s="1"/>
  <c r="B75" i="46" s="1"/>
  <c r="B76" i="46" s="1"/>
  <c r="B20" i="47"/>
  <c r="B29" i="42"/>
  <c r="D28" i="42"/>
  <c r="B21" i="44"/>
  <c r="E18" i="48"/>
  <c r="B19" i="48"/>
  <c r="B25" i="46"/>
  <c r="B31" i="36"/>
  <c r="B30" i="42" l="1"/>
  <c r="D19" i="49"/>
  <c r="B20" i="49"/>
  <c r="D30" i="42"/>
  <c r="B31" i="42"/>
  <c r="B21" i="47"/>
  <c r="D29" i="42"/>
  <c r="E19" i="48"/>
  <c r="B20" i="48"/>
  <c r="B22" i="44"/>
  <c r="B26" i="46"/>
  <c r="B32" i="36"/>
  <c r="B21" i="49" l="1"/>
  <c r="D20" i="49"/>
  <c r="D31" i="42"/>
  <c r="B32" i="42"/>
  <c r="B22" i="47"/>
  <c r="B23" i="44"/>
  <c r="E20" i="48"/>
  <c r="B21" i="48"/>
  <c r="B27" i="46"/>
  <c r="B33" i="36"/>
  <c r="D21" i="49" l="1"/>
  <c r="B22" i="49"/>
  <c r="D32" i="42"/>
  <c r="B33" i="42"/>
  <c r="B23" i="47"/>
  <c r="B24" i="44"/>
  <c r="E21" i="48"/>
  <c r="B22" i="48"/>
  <c r="B28" i="46"/>
  <c r="B34" i="36"/>
  <c r="D22" i="49" l="1"/>
  <c r="B23" i="49"/>
  <c r="D33" i="42"/>
  <c r="B34" i="42"/>
  <c r="D34" i="42" s="1"/>
  <c r="B24" i="47"/>
  <c r="B25" i="44"/>
  <c r="E22" i="48"/>
  <c r="B23" i="48"/>
  <c r="B29" i="46"/>
  <c r="B35" i="36"/>
  <c r="D23" i="49" l="1"/>
  <c r="B24" i="49"/>
  <c r="B25" i="47"/>
  <c r="B35" i="42"/>
  <c r="B26" i="44"/>
  <c r="E23" i="48"/>
  <c r="B24" i="48"/>
  <c r="B30" i="46"/>
  <c r="C70" i="46" l="1"/>
  <c r="D70" i="46" s="1"/>
  <c r="B25" i="49"/>
  <c r="D24" i="49"/>
  <c r="B26" i="47"/>
  <c r="D35" i="42"/>
  <c r="B36" i="42"/>
  <c r="E24" i="48"/>
  <c r="B25" i="48"/>
  <c r="B27" i="44"/>
  <c r="B31" i="46"/>
  <c r="C64" i="46" l="1"/>
  <c r="D64" i="46" s="1"/>
  <c r="C66" i="46"/>
  <c r="D66" i="46" s="1"/>
  <c r="C65" i="46"/>
  <c r="D65" i="46" s="1"/>
  <c r="C67" i="46"/>
  <c r="D67" i="46" s="1"/>
  <c r="C68" i="46"/>
  <c r="D68" i="46" s="1"/>
  <c r="C69" i="46"/>
  <c r="D69" i="46" s="1"/>
  <c r="D25" i="49"/>
  <c r="B26" i="49"/>
  <c r="B27" i="47"/>
  <c r="C61" i="46"/>
  <c r="D61" i="46" s="1"/>
  <c r="C63" i="46"/>
  <c r="D63" i="46" s="1"/>
  <c r="C55" i="46"/>
  <c r="D55" i="46" s="1"/>
  <c r="C53" i="46"/>
  <c r="D53" i="46" s="1"/>
  <c r="C60" i="46"/>
  <c r="D60" i="46" s="1"/>
  <c r="C76" i="46"/>
  <c r="D76" i="46" s="1"/>
  <c r="C56" i="46"/>
  <c r="D56" i="46" s="1"/>
  <c r="C58" i="46"/>
  <c r="D58" i="46" s="1"/>
  <c r="C62" i="46"/>
  <c r="D62" i="46" s="1"/>
  <c r="C57" i="46"/>
  <c r="D57" i="46" s="1"/>
  <c r="C73" i="46"/>
  <c r="D73" i="46" s="1"/>
  <c r="C59" i="46"/>
  <c r="D59" i="46" s="1"/>
  <c r="C71" i="46"/>
  <c r="D71" i="46" s="1"/>
  <c r="C54" i="46"/>
  <c r="D54" i="46" s="1"/>
  <c r="C72" i="46"/>
  <c r="D72" i="46" s="1"/>
  <c r="C75" i="46"/>
  <c r="D75" i="46" s="1"/>
  <c r="C74" i="46"/>
  <c r="D74" i="46" s="1"/>
  <c r="F36" i="42"/>
  <c r="F37" i="42" s="1"/>
  <c r="D36" i="42"/>
  <c r="D37" i="42" s="1"/>
  <c r="E25" i="48"/>
  <c r="B26" i="48"/>
  <c r="B28" i="44"/>
  <c r="B32" i="46"/>
  <c r="B27" i="49" l="1"/>
  <c r="D26" i="49"/>
  <c r="B28" i="47"/>
  <c r="E77" i="46"/>
  <c r="C40" i="42"/>
  <c r="B29" i="44"/>
  <c r="E26" i="48"/>
  <c r="B27" i="48"/>
  <c r="B33" i="46"/>
  <c r="D27" i="49" l="1"/>
  <c r="B28" i="49"/>
  <c r="B29" i="47"/>
  <c r="B30" i="44"/>
  <c r="E27" i="48"/>
  <c r="B28" i="48"/>
  <c r="B34" i="46"/>
  <c r="B29" i="49" l="1"/>
  <c r="D28" i="49"/>
  <c r="B30" i="47"/>
  <c r="E28" i="48"/>
  <c r="B29" i="48"/>
  <c r="B31" i="44"/>
  <c r="B35" i="46"/>
  <c r="B8" i="30"/>
  <c r="D29" i="49" l="1"/>
  <c r="B30" i="49"/>
  <c r="B31" i="47"/>
  <c r="B32" i="44"/>
  <c r="E29" i="48"/>
  <c r="B30" i="48"/>
  <c r="B36" i="46"/>
  <c r="B9" i="30"/>
  <c r="B31" i="49" l="1"/>
  <c r="D30" i="49"/>
  <c r="H8" i="30"/>
  <c r="B10" i="30"/>
  <c r="B11" i="30" s="1"/>
  <c r="B32" i="47"/>
  <c r="E30" i="48"/>
  <c r="B31" i="48"/>
  <c r="B33" i="44"/>
  <c r="B37" i="46"/>
  <c r="D31" i="49" l="1"/>
  <c r="B32" i="49"/>
  <c r="O8" i="30"/>
  <c r="H11" i="46" s="1"/>
  <c r="H9" i="30"/>
  <c r="O9" i="30" s="1"/>
  <c r="H12" i="46" s="1"/>
  <c r="B33" i="47"/>
  <c r="B34" i="44"/>
  <c r="E31" i="48"/>
  <c r="B32" i="48"/>
  <c r="B12" i="30"/>
  <c r="B38" i="46"/>
  <c r="B33" i="49" l="1"/>
  <c r="D32" i="49"/>
  <c r="H11" i="30"/>
  <c r="O11" i="30" s="1"/>
  <c r="H14" i="46" s="1"/>
  <c r="H10" i="30"/>
  <c r="O10" i="30" s="1"/>
  <c r="B34" i="47"/>
  <c r="E32" i="48"/>
  <c r="B33" i="48"/>
  <c r="B35" i="44"/>
  <c r="B13" i="30"/>
  <c r="B39" i="46"/>
  <c r="D33" i="49" l="1"/>
  <c r="B34" i="49"/>
  <c r="D34" i="49" s="1"/>
  <c r="P11" i="30"/>
  <c r="H13" i="46"/>
  <c r="P10" i="30"/>
  <c r="H12" i="30"/>
  <c r="O12" i="30" s="1"/>
  <c r="H15" i="46" s="1"/>
  <c r="E33" i="48"/>
  <c r="B34" i="48"/>
  <c r="E34" i="48" s="1"/>
  <c r="B14" i="30"/>
  <c r="D35" i="49" l="1"/>
  <c r="P12" i="30"/>
  <c r="H13" i="30"/>
  <c r="O13" i="30" s="1"/>
  <c r="H16" i="46" s="1"/>
  <c r="E35" i="48"/>
  <c r="B15" i="30"/>
  <c r="P13" i="30" l="1"/>
  <c r="H14" i="30"/>
  <c r="O14" i="30" s="1"/>
  <c r="H17" i="46" s="1"/>
  <c r="B16" i="30"/>
  <c r="P14" i="30" l="1"/>
  <c r="H15" i="30"/>
  <c r="O15" i="30" s="1"/>
  <c r="H18" i="46" s="1"/>
  <c r="D77" i="46"/>
  <c r="C82" i="46" s="1"/>
  <c r="C88" i="46" s="1"/>
  <c r="B17" i="30"/>
  <c r="P15" i="30" l="1"/>
  <c r="H16" i="30"/>
  <c r="O16" i="30" s="1"/>
  <c r="H19" i="46" s="1"/>
  <c r="B18" i="30"/>
  <c r="P16" i="30" l="1"/>
  <c r="H17" i="30"/>
  <c r="O17" i="30" s="1"/>
  <c r="H20" i="46" s="1"/>
  <c r="B19" i="30"/>
  <c r="P17" i="30" l="1"/>
  <c r="H18" i="30"/>
  <c r="O18" i="30" s="1"/>
  <c r="H21" i="46" s="1"/>
  <c r="B20" i="30"/>
  <c r="E7" i="10"/>
  <c r="E6" i="10"/>
  <c r="E5" i="10"/>
  <c r="P18" i="30" l="1"/>
  <c r="H19" i="30"/>
  <c r="O19" i="30" s="1"/>
  <c r="H22" i="46" s="1"/>
  <c r="B21" i="30"/>
  <c r="H14" i="10"/>
  <c r="P19" i="30" l="1"/>
  <c r="H20" i="30"/>
  <c r="O20" i="30" s="1"/>
  <c r="H23" i="46" s="1"/>
  <c r="B22" i="30"/>
  <c r="P20" i="30" l="1"/>
  <c r="H21" i="30"/>
  <c r="O21" i="30" s="1"/>
  <c r="H24" i="46" s="1"/>
  <c r="B23" i="30"/>
  <c r="P8" i="30"/>
  <c r="P7" i="30"/>
  <c r="P9" i="30"/>
  <c r="P21" i="30" l="1"/>
  <c r="H22" i="30"/>
  <c r="O22" i="30" s="1"/>
  <c r="H25" i="46" s="1"/>
  <c r="B24" i="30"/>
  <c r="P22" i="30" l="1"/>
  <c r="H23" i="30"/>
  <c r="O23" i="30" s="1"/>
  <c r="H26" i="46" s="1"/>
  <c r="B25" i="30"/>
  <c r="P23" i="30" l="1"/>
  <c r="H24" i="30"/>
  <c r="O24" i="30" s="1"/>
  <c r="H27" i="46" s="1"/>
  <c r="B26" i="30"/>
  <c r="P24" i="30" l="1"/>
  <c r="H25" i="30"/>
  <c r="O25" i="30" s="1"/>
  <c r="H28" i="46" s="1"/>
  <c r="B27" i="30"/>
  <c r="P25" i="30" l="1"/>
  <c r="H26" i="30"/>
  <c r="O26" i="30" s="1"/>
  <c r="H29" i="46" s="1"/>
  <c r="B28" i="30"/>
  <c r="P26" i="30" l="1"/>
  <c r="H27" i="30"/>
  <c r="O27" i="30" s="1"/>
  <c r="H30" i="46" s="1"/>
  <c r="O23" i="36"/>
  <c r="X4" i="36"/>
  <c r="N23" i="36"/>
  <c r="W4" i="36"/>
  <c r="B29" i="30"/>
  <c r="P27" i="30" l="1"/>
  <c r="H28" i="30"/>
  <c r="O28" i="30" s="1"/>
  <c r="H31" i="46" s="1"/>
  <c r="W7" i="36"/>
  <c r="W9" i="36"/>
  <c r="W11" i="36"/>
  <c r="W13" i="36"/>
  <c r="W15" i="36"/>
  <c r="W17" i="36"/>
  <c r="W16" i="36"/>
  <c r="W6" i="36"/>
  <c r="W8" i="36"/>
  <c r="W10" i="36"/>
  <c r="W12" i="36"/>
  <c r="W14" i="36"/>
  <c r="L23" i="36"/>
  <c r="U4" i="36"/>
  <c r="M23" i="36"/>
  <c r="V4" i="36"/>
  <c r="X7" i="36"/>
  <c r="X9" i="36"/>
  <c r="X11" i="36"/>
  <c r="X13" i="36"/>
  <c r="X15" i="36"/>
  <c r="X17" i="36"/>
  <c r="X6" i="36"/>
  <c r="X8" i="36"/>
  <c r="X10" i="36"/>
  <c r="X12" i="36"/>
  <c r="X14" i="36"/>
  <c r="X16" i="36"/>
  <c r="B30" i="30"/>
  <c r="P28" i="30" l="1"/>
  <c r="H29" i="30"/>
  <c r="O29" i="30" s="1"/>
  <c r="H32" i="46" s="1"/>
  <c r="W18" i="36"/>
  <c r="N27" i="36" s="1"/>
  <c r="AA17" i="47" s="1"/>
  <c r="AA21" i="47" s="1"/>
  <c r="X18" i="36"/>
  <c r="O27" i="36" s="1"/>
  <c r="U7" i="36"/>
  <c r="U8" i="36"/>
  <c r="U10" i="36"/>
  <c r="U12" i="36"/>
  <c r="U14" i="36"/>
  <c r="U16" i="36"/>
  <c r="U9" i="36"/>
  <c r="U13" i="36"/>
  <c r="U15" i="36"/>
  <c r="U6" i="36"/>
  <c r="U11" i="36"/>
  <c r="U17" i="36"/>
  <c r="V14" i="36"/>
  <c r="V11" i="36"/>
  <c r="V6" i="36"/>
  <c r="V10" i="36"/>
  <c r="V16" i="36"/>
  <c r="V8" i="36"/>
  <c r="V12" i="36"/>
  <c r="V15" i="36"/>
  <c r="V13" i="36"/>
  <c r="V7" i="36"/>
  <c r="V9" i="36"/>
  <c r="V17" i="36"/>
  <c r="B31" i="30"/>
  <c r="O28" i="36" l="1"/>
  <c r="AB17" i="47"/>
  <c r="AB21" i="47" s="1"/>
  <c r="P29" i="30"/>
  <c r="H30" i="30"/>
  <c r="O30" i="30" s="1"/>
  <c r="H33" i="46" s="1"/>
  <c r="D7" i="36" a="1"/>
  <c r="D7" i="36" s="1"/>
  <c r="F7" i="36" s="1"/>
  <c r="D9" i="36" a="1"/>
  <c r="D9" i="36" s="1"/>
  <c r="F9" i="36" s="1"/>
  <c r="N28" i="36"/>
  <c r="D13" i="36" a="1"/>
  <c r="D13" i="36" s="1"/>
  <c r="F13" i="36" s="1"/>
  <c r="D10" i="36" a="1"/>
  <c r="D10" i="36" s="1"/>
  <c r="F10" i="36" s="1"/>
  <c r="D32" i="36" a="1"/>
  <c r="D32" i="36" s="1"/>
  <c r="F32" i="36" s="1"/>
  <c r="D14" i="36" a="1"/>
  <c r="D14" i="36" s="1"/>
  <c r="F14" i="36" s="1"/>
  <c r="D11" i="36" a="1"/>
  <c r="D11" i="36" s="1"/>
  <c r="F11" i="36" s="1"/>
  <c r="V18" i="36"/>
  <c r="M27" i="36" s="1"/>
  <c r="D15" i="36" a="1"/>
  <c r="D15" i="36" s="1"/>
  <c r="F15" i="36" s="1"/>
  <c r="D8" i="36" a="1"/>
  <c r="D8" i="36" s="1"/>
  <c r="F8" i="36" s="1"/>
  <c r="D22" i="36" a="1"/>
  <c r="D22" i="36" s="1"/>
  <c r="F22" i="36" s="1"/>
  <c r="D16" i="36" a="1"/>
  <c r="D16" i="36" s="1"/>
  <c r="F16" i="36" s="1"/>
  <c r="D25" i="36" a="1"/>
  <c r="D25" i="36" s="1"/>
  <c r="F25" i="36" s="1"/>
  <c r="D26" i="36" a="1"/>
  <c r="D26" i="36" s="1"/>
  <c r="F26" i="36" s="1"/>
  <c r="D23" i="36" a="1"/>
  <c r="D23" i="36" s="1"/>
  <c r="F23" i="36" s="1"/>
  <c r="D18" i="36" a="1"/>
  <c r="D18" i="36" s="1"/>
  <c r="F18" i="36" s="1"/>
  <c r="D12" i="36" a="1"/>
  <c r="D12" i="36" s="1"/>
  <c r="F12" i="36" s="1"/>
  <c r="D21" i="36" a="1"/>
  <c r="D21" i="36" s="1"/>
  <c r="F21" i="36" s="1"/>
  <c r="D19" i="36" a="1"/>
  <c r="D19" i="36" s="1"/>
  <c r="F19" i="36" s="1"/>
  <c r="D20" i="36" a="1"/>
  <c r="D20" i="36" s="1"/>
  <c r="F20" i="36" s="1"/>
  <c r="D29" i="36" a="1"/>
  <c r="D29" i="36" s="1"/>
  <c r="F29" i="36" s="1"/>
  <c r="D30" i="36" a="1"/>
  <c r="D30" i="36" s="1"/>
  <c r="F30" i="36" s="1"/>
  <c r="D27" i="36" a="1"/>
  <c r="D27" i="36" s="1"/>
  <c r="F27" i="36" s="1"/>
  <c r="D17" i="36" a="1"/>
  <c r="D17" i="36" s="1"/>
  <c r="F17" i="36" s="1"/>
  <c r="D24" i="36" a="1"/>
  <c r="D24" i="36" s="1"/>
  <c r="F24" i="36" s="1"/>
  <c r="D33" i="36" a="1"/>
  <c r="D33" i="36" s="1"/>
  <c r="F33" i="36" s="1"/>
  <c r="D34" i="36" a="1"/>
  <c r="D34" i="36" s="1"/>
  <c r="F34" i="36" s="1"/>
  <c r="D31" i="36" a="1"/>
  <c r="D31" i="36" s="1"/>
  <c r="F31" i="36" s="1"/>
  <c r="U18" i="36"/>
  <c r="L27" i="36" s="1"/>
  <c r="Y17" i="47" s="1"/>
  <c r="Y21" i="47" s="1"/>
  <c r="D28" i="36" a="1"/>
  <c r="D28" i="36" s="1"/>
  <c r="F28" i="36" s="1"/>
  <c r="D6" i="36" a="1"/>
  <c r="D6" i="36" s="1"/>
  <c r="F6" i="36" s="1"/>
  <c r="D35" i="36" a="1"/>
  <c r="D35" i="36" s="1"/>
  <c r="F35" i="36" s="1"/>
  <c r="B32" i="30"/>
  <c r="M28" i="36" l="1"/>
  <c r="Z17" i="47"/>
  <c r="Z21" i="47" s="1"/>
  <c r="F8" i="47" s="1"/>
  <c r="P30" i="30"/>
  <c r="H31" i="30"/>
  <c r="O31" i="30" s="1"/>
  <c r="H34" i="46" s="1"/>
  <c r="L28" i="36"/>
  <c r="C28" i="36" a="1"/>
  <c r="C28" i="36" s="1"/>
  <c r="E28" i="36" s="1"/>
  <c r="G28" i="36" s="1"/>
  <c r="D32" i="46" s="1"/>
  <c r="C35" i="36" a="1"/>
  <c r="C35" i="36" s="1"/>
  <c r="E35" i="36" s="1"/>
  <c r="G35" i="36" s="1"/>
  <c r="D39" i="46" s="1"/>
  <c r="C31" i="36" a="1"/>
  <c r="C31" i="36" s="1"/>
  <c r="E31" i="36" s="1"/>
  <c r="G31" i="36" s="1"/>
  <c r="D35" i="46" s="1"/>
  <c r="C27" i="36" a="1"/>
  <c r="C27" i="36" s="1"/>
  <c r="E27" i="36" s="1"/>
  <c r="G27" i="36" s="1"/>
  <c r="D31" i="46" s="1"/>
  <c r="C23" i="36" a="1"/>
  <c r="C23" i="36" s="1"/>
  <c r="E23" i="36" s="1"/>
  <c r="G23" i="36" s="1"/>
  <c r="D27" i="46" s="1"/>
  <c r="C19" i="36" a="1"/>
  <c r="C19" i="36" s="1"/>
  <c r="E19" i="36" s="1"/>
  <c r="G19" i="36" s="1"/>
  <c r="D23" i="46" s="1"/>
  <c r="C15" i="36" a="1"/>
  <c r="C15" i="36" s="1"/>
  <c r="E15" i="36" s="1"/>
  <c r="G15" i="36" s="1"/>
  <c r="D19" i="46" s="1"/>
  <c r="C11" i="36" a="1"/>
  <c r="C11" i="36" s="1"/>
  <c r="E11" i="36" s="1"/>
  <c r="G11" i="36" s="1"/>
  <c r="D15" i="46" s="1"/>
  <c r="C7" i="36" a="1"/>
  <c r="C7" i="36" s="1"/>
  <c r="E7" i="36" s="1"/>
  <c r="G7" i="36" s="1"/>
  <c r="D11" i="46" s="1"/>
  <c r="C20" i="36" a="1"/>
  <c r="C20" i="36" s="1"/>
  <c r="E20" i="36" s="1"/>
  <c r="G20" i="36" s="1"/>
  <c r="D24" i="46" s="1"/>
  <c r="C6" i="36" a="1"/>
  <c r="C6" i="36" s="1"/>
  <c r="E6" i="36" s="1"/>
  <c r="G6" i="36" s="1"/>
  <c r="C16" i="36" a="1"/>
  <c r="C16" i="36" s="1"/>
  <c r="E16" i="36" s="1"/>
  <c r="G16" i="36" s="1"/>
  <c r="D20" i="46" s="1"/>
  <c r="C34" i="36" a="1"/>
  <c r="C34" i="36" s="1"/>
  <c r="E34" i="36" s="1"/>
  <c r="G34" i="36" s="1"/>
  <c r="D38" i="46" s="1"/>
  <c r="C30" i="36" a="1"/>
  <c r="C30" i="36" s="1"/>
  <c r="E30" i="36" s="1"/>
  <c r="G30" i="36" s="1"/>
  <c r="D34" i="46" s="1"/>
  <c r="C26" i="36" a="1"/>
  <c r="C26" i="36" s="1"/>
  <c r="E26" i="36" s="1"/>
  <c r="G26" i="36" s="1"/>
  <c r="D30" i="46" s="1"/>
  <c r="C22" i="36" a="1"/>
  <c r="C22" i="36" s="1"/>
  <c r="E22" i="36" s="1"/>
  <c r="G22" i="36" s="1"/>
  <c r="D26" i="46" s="1"/>
  <c r="C18" i="36" a="1"/>
  <c r="C18" i="36" s="1"/>
  <c r="E18" i="36" s="1"/>
  <c r="G18" i="36" s="1"/>
  <c r="D22" i="46" s="1"/>
  <c r="C14" i="36" a="1"/>
  <c r="C14" i="36" s="1"/>
  <c r="E14" i="36" s="1"/>
  <c r="G14" i="36" s="1"/>
  <c r="D18" i="46" s="1"/>
  <c r="C10" i="36" a="1"/>
  <c r="C10" i="36" s="1"/>
  <c r="E10" i="36" s="1"/>
  <c r="G10" i="36" s="1"/>
  <c r="D14" i="46" s="1"/>
  <c r="C8" i="36" a="1"/>
  <c r="C8" i="36" s="1"/>
  <c r="E8" i="36" s="1"/>
  <c r="G8" i="36" s="1"/>
  <c r="D12" i="46" s="1"/>
  <c r="C24" i="36" a="1"/>
  <c r="C24" i="36" s="1"/>
  <c r="E24" i="36" s="1"/>
  <c r="G24" i="36" s="1"/>
  <c r="D28" i="46" s="1"/>
  <c r="C33" i="36" a="1"/>
  <c r="C33" i="36" s="1"/>
  <c r="E33" i="36" s="1"/>
  <c r="G33" i="36" s="1"/>
  <c r="D37" i="46" s="1"/>
  <c r="C29" i="36" a="1"/>
  <c r="C29" i="36" s="1"/>
  <c r="E29" i="36" s="1"/>
  <c r="G29" i="36" s="1"/>
  <c r="D33" i="46" s="1"/>
  <c r="C25" i="36" a="1"/>
  <c r="C25" i="36" s="1"/>
  <c r="E25" i="36" s="1"/>
  <c r="G25" i="36" s="1"/>
  <c r="D29" i="46" s="1"/>
  <c r="C21" i="36" a="1"/>
  <c r="C21" i="36" s="1"/>
  <c r="E21" i="36" s="1"/>
  <c r="G21" i="36" s="1"/>
  <c r="D25" i="46" s="1"/>
  <c r="C17" i="36" a="1"/>
  <c r="C17" i="36" s="1"/>
  <c r="E17" i="36" s="1"/>
  <c r="G17" i="36" s="1"/>
  <c r="D21" i="46" s="1"/>
  <c r="C13" i="36" a="1"/>
  <c r="C13" i="36" s="1"/>
  <c r="E13" i="36" s="1"/>
  <c r="G13" i="36" s="1"/>
  <c r="D17" i="46" s="1"/>
  <c r="C9" i="36" a="1"/>
  <c r="C9" i="36" s="1"/>
  <c r="E9" i="36" s="1"/>
  <c r="G9" i="36" s="1"/>
  <c r="D13" i="46" s="1"/>
  <c r="C12" i="36" a="1"/>
  <c r="C12" i="36" s="1"/>
  <c r="E12" i="36" s="1"/>
  <c r="G12" i="36" s="1"/>
  <c r="D16" i="46" s="1"/>
  <c r="C32" i="36" a="1"/>
  <c r="C32" i="36" s="1"/>
  <c r="E32" i="36" s="1"/>
  <c r="G32" i="36" s="1"/>
  <c r="D36" i="46" s="1"/>
  <c r="B33" i="30"/>
  <c r="P31" i="30" l="1"/>
  <c r="C9" i="44"/>
  <c r="I8" i="47"/>
  <c r="G8" i="47"/>
  <c r="C8" i="47"/>
  <c r="D8" i="47" s="1"/>
  <c r="E8" i="47" s="1"/>
  <c r="F13" i="46" s="1"/>
  <c r="H8" i="47"/>
  <c r="L8" i="47" s="1"/>
  <c r="F7" i="47"/>
  <c r="F6" i="47"/>
  <c r="F21" i="47"/>
  <c r="F16" i="47"/>
  <c r="F26" i="47"/>
  <c r="F25" i="47"/>
  <c r="F22" i="47"/>
  <c r="F5" i="47"/>
  <c r="F19" i="47"/>
  <c r="F34" i="47"/>
  <c r="F18" i="47"/>
  <c r="F33" i="47"/>
  <c r="F17" i="47"/>
  <c r="F28" i="47"/>
  <c r="F12" i="47"/>
  <c r="F27" i="47"/>
  <c r="F11" i="47"/>
  <c r="F10" i="47"/>
  <c r="F9" i="47"/>
  <c r="F20" i="47"/>
  <c r="F23" i="47"/>
  <c r="F32" i="47"/>
  <c r="F31" i="47"/>
  <c r="F15" i="47"/>
  <c r="F30" i="47"/>
  <c r="F14" i="47"/>
  <c r="F29" i="47"/>
  <c r="F13" i="47"/>
  <c r="F24" i="47"/>
  <c r="H32" i="30"/>
  <c r="O32" i="30" s="1"/>
  <c r="H35" i="46" s="1"/>
  <c r="H26" i="36"/>
  <c r="H32" i="36"/>
  <c r="H33" i="36"/>
  <c r="H30" i="36"/>
  <c r="H19" i="36"/>
  <c r="H29" i="36"/>
  <c r="H24" i="36"/>
  <c r="H8" i="36"/>
  <c r="H16" i="36"/>
  <c r="H27" i="36"/>
  <c r="H12" i="36"/>
  <c r="H10" i="36"/>
  <c r="D10" i="46"/>
  <c r="H6" i="36"/>
  <c r="H31" i="36"/>
  <c r="H23" i="36"/>
  <c r="H14" i="36"/>
  <c r="H20" i="36"/>
  <c r="H35" i="36"/>
  <c r="H15" i="36"/>
  <c r="H9" i="36"/>
  <c r="H17" i="36"/>
  <c r="H21" i="36"/>
  <c r="H18" i="36"/>
  <c r="H7" i="36"/>
  <c r="H28" i="36"/>
  <c r="H34" i="36"/>
  <c r="H13" i="36"/>
  <c r="H25" i="36"/>
  <c r="H22" i="36"/>
  <c r="H11" i="36"/>
  <c r="B34" i="30"/>
  <c r="C30" i="44" l="1"/>
  <c r="G29" i="47"/>
  <c r="H29" i="47"/>
  <c r="L29" i="47" s="1"/>
  <c r="C29" i="47"/>
  <c r="D29" i="47" s="1"/>
  <c r="E29" i="47" s="1"/>
  <c r="F34" i="46" s="1"/>
  <c r="I29" i="47"/>
  <c r="C18" i="44"/>
  <c r="I17" i="47"/>
  <c r="G17" i="47"/>
  <c r="C17" i="47"/>
  <c r="D17" i="47" s="1"/>
  <c r="E17" i="47" s="1"/>
  <c r="F22" i="46" s="1"/>
  <c r="H17" i="47"/>
  <c r="L17" i="47" s="1"/>
  <c r="C27" i="44"/>
  <c r="I26" i="47"/>
  <c r="G26" i="47"/>
  <c r="C26" i="47"/>
  <c r="D26" i="47" s="1"/>
  <c r="E26" i="47" s="1"/>
  <c r="F31" i="46" s="1"/>
  <c r="H26" i="47"/>
  <c r="L26" i="47" s="1"/>
  <c r="C15" i="44"/>
  <c r="G14" i="47"/>
  <c r="C14" i="47"/>
  <c r="D14" i="47" s="1"/>
  <c r="E14" i="47" s="1"/>
  <c r="F19" i="46" s="1"/>
  <c r="H14" i="47"/>
  <c r="L14" i="47" s="1"/>
  <c r="I14" i="47"/>
  <c r="C7" i="44"/>
  <c r="C6" i="47"/>
  <c r="D6" i="47" s="1"/>
  <c r="E6" i="47" s="1"/>
  <c r="F11" i="46" s="1"/>
  <c r="H6" i="47"/>
  <c r="L6" i="47" s="1"/>
  <c r="I6" i="47"/>
  <c r="G6" i="47"/>
  <c r="C25" i="44"/>
  <c r="C24" i="47"/>
  <c r="D24" i="47" s="1"/>
  <c r="E24" i="47" s="1"/>
  <c r="F29" i="46" s="1"/>
  <c r="H24" i="47"/>
  <c r="L24" i="47" s="1"/>
  <c r="I24" i="47"/>
  <c r="G24" i="47"/>
  <c r="C13" i="44"/>
  <c r="G12" i="47"/>
  <c r="C12" i="47"/>
  <c r="D12" i="47" s="1"/>
  <c r="E12" i="47" s="1"/>
  <c r="F17" i="46" s="1"/>
  <c r="H12" i="47"/>
  <c r="L12" i="47" s="1"/>
  <c r="I12" i="47"/>
  <c r="C19" i="44"/>
  <c r="G18" i="47"/>
  <c r="C18" i="47"/>
  <c r="D18" i="47" s="1"/>
  <c r="E18" i="47" s="1"/>
  <c r="F23" i="46" s="1"/>
  <c r="H18" i="47"/>
  <c r="L18" i="47" s="1"/>
  <c r="I18" i="47"/>
  <c r="C8" i="44"/>
  <c r="H7" i="47"/>
  <c r="L7" i="47" s="1"/>
  <c r="I7" i="47"/>
  <c r="G7" i="47"/>
  <c r="C7" i="47"/>
  <c r="D7" i="47" s="1"/>
  <c r="E7" i="47" s="1"/>
  <c r="F12" i="46" s="1"/>
  <c r="C32" i="44"/>
  <c r="H31" i="47"/>
  <c r="L31" i="47" s="1"/>
  <c r="I31" i="47"/>
  <c r="G31" i="47"/>
  <c r="C31" i="47"/>
  <c r="D31" i="47" s="1"/>
  <c r="E31" i="47" s="1"/>
  <c r="F36" i="46" s="1"/>
  <c r="C10" i="44"/>
  <c r="G9" i="47"/>
  <c r="C9" i="47"/>
  <c r="D9" i="47" s="1"/>
  <c r="E9" i="47" s="1"/>
  <c r="F14" i="46" s="1"/>
  <c r="H9" i="47"/>
  <c r="L9" i="47" s="1"/>
  <c r="I9" i="47"/>
  <c r="C20" i="44"/>
  <c r="I19" i="47"/>
  <c r="C19" i="47"/>
  <c r="D19" i="47" s="1"/>
  <c r="E19" i="47" s="1"/>
  <c r="F24" i="46" s="1"/>
  <c r="G19" i="47"/>
  <c r="H19" i="47"/>
  <c r="L19" i="47" s="1"/>
  <c r="C22" i="44"/>
  <c r="C21" i="47"/>
  <c r="D21" i="47" s="1"/>
  <c r="E21" i="47" s="1"/>
  <c r="F26" i="46" s="1"/>
  <c r="H21" i="47"/>
  <c r="L21" i="47" s="1"/>
  <c r="I21" i="47"/>
  <c r="G21" i="47"/>
  <c r="C11" i="44"/>
  <c r="C10" i="47"/>
  <c r="D10" i="47" s="1"/>
  <c r="E10" i="47" s="1"/>
  <c r="F15" i="46" s="1"/>
  <c r="H10" i="47"/>
  <c r="L10" i="47" s="1"/>
  <c r="I10" i="47"/>
  <c r="G10" i="47"/>
  <c r="C34" i="44"/>
  <c r="C33" i="47"/>
  <c r="D33" i="47" s="1"/>
  <c r="E33" i="47" s="1"/>
  <c r="F38" i="46" s="1"/>
  <c r="H33" i="47"/>
  <c r="L33" i="47" s="1"/>
  <c r="I33" i="47"/>
  <c r="G33" i="47"/>
  <c r="C6" i="44"/>
  <c r="H5" i="47"/>
  <c r="K5" i="47" s="1"/>
  <c r="G5" i="47"/>
  <c r="J5" i="47" s="1"/>
  <c r="C5" i="47"/>
  <c r="D5" i="47" s="1"/>
  <c r="E5" i="47" s="1"/>
  <c r="F10" i="46" s="1"/>
  <c r="I5" i="47"/>
  <c r="L5" i="47" s="1"/>
  <c r="K8" i="47"/>
  <c r="J8" i="47"/>
  <c r="C31" i="44"/>
  <c r="C30" i="47"/>
  <c r="D30" i="47" s="1"/>
  <c r="E30" i="47" s="1"/>
  <c r="F35" i="46" s="1"/>
  <c r="H30" i="47"/>
  <c r="L30" i="47" s="1"/>
  <c r="I30" i="47"/>
  <c r="G30" i="47"/>
  <c r="C33" i="44"/>
  <c r="H32" i="47"/>
  <c r="L32" i="47" s="1"/>
  <c r="I32" i="47"/>
  <c r="G32" i="47"/>
  <c r="C32" i="47"/>
  <c r="D32" i="47" s="1"/>
  <c r="E32" i="47" s="1"/>
  <c r="F37" i="46" s="1"/>
  <c r="C12" i="44"/>
  <c r="G11" i="47"/>
  <c r="H11" i="47"/>
  <c r="L11" i="47" s="1"/>
  <c r="I11" i="47"/>
  <c r="C11" i="47"/>
  <c r="D11" i="47" s="1"/>
  <c r="E11" i="47" s="1"/>
  <c r="F16" i="46" s="1"/>
  <c r="C14" i="44"/>
  <c r="I13" i="47"/>
  <c r="G13" i="47"/>
  <c r="C13" i="47"/>
  <c r="D13" i="47" s="1"/>
  <c r="E13" i="47" s="1"/>
  <c r="F18" i="46" s="1"/>
  <c r="H13" i="47"/>
  <c r="L13" i="47" s="1"/>
  <c r="C16" i="44"/>
  <c r="H15" i="47"/>
  <c r="L15" i="47" s="1"/>
  <c r="I15" i="47"/>
  <c r="G15" i="47"/>
  <c r="C15" i="47"/>
  <c r="D15" i="47" s="1"/>
  <c r="E15" i="47" s="1"/>
  <c r="F20" i="46" s="1"/>
  <c r="C24" i="44"/>
  <c r="H23" i="47"/>
  <c r="L23" i="47" s="1"/>
  <c r="I23" i="47"/>
  <c r="G23" i="47"/>
  <c r="C23" i="47"/>
  <c r="D23" i="47" s="1"/>
  <c r="E23" i="47" s="1"/>
  <c r="F28" i="46" s="1"/>
  <c r="C21" i="44"/>
  <c r="H20" i="47"/>
  <c r="L20" i="47" s="1"/>
  <c r="I20" i="47"/>
  <c r="G20" i="47"/>
  <c r="C20" i="47"/>
  <c r="D20" i="47" s="1"/>
  <c r="E20" i="47" s="1"/>
  <c r="F25" i="46" s="1"/>
  <c r="C28" i="44"/>
  <c r="G27" i="47"/>
  <c r="C27" i="47"/>
  <c r="D27" i="47" s="1"/>
  <c r="E27" i="47" s="1"/>
  <c r="F32" i="46" s="1"/>
  <c r="H27" i="47"/>
  <c r="L27" i="47" s="1"/>
  <c r="I27" i="47"/>
  <c r="C29" i="44"/>
  <c r="C28" i="47"/>
  <c r="D28" i="47" s="1"/>
  <c r="E28" i="47" s="1"/>
  <c r="F33" i="46" s="1"/>
  <c r="H28" i="47"/>
  <c r="L28" i="47" s="1"/>
  <c r="I28" i="47"/>
  <c r="G28" i="47"/>
  <c r="C35" i="44"/>
  <c r="G34" i="47"/>
  <c r="C34" i="47"/>
  <c r="D34" i="47" s="1"/>
  <c r="E34" i="47" s="1"/>
  <c r="F39" i="46" s="1"/>
  <c r="H34" i="47"/>
  <c r="L34" i="47" s="1"/>
  <c r="I34" i="47"/>
  <c r="C23" i="44"/>
  <c r="H22" i="47"/>
  <c r="L22" i="47" s="1"/>
  <c r="I22" i="47"/>
  <c r="G22" i="47"/>
  <c r="C22" i="47"/>
  <c r="D22" i="47" s="1"/>
  <c r="E22" i="47" s="1"/>
  <c r="F27" i="46" s="1"/>
  <c r="C26" i="44"/>
  <c r="I25" i="47"/>
  <c r="G25" i="47"/>
  <c r="C25" i="47"/>
  <c r="D25" i="47" s="1"/>
  <c r="E25" i="47" s="1"/>
  <c r="F30" i="46" s="1"/>
  <c r="H25" i="47"/>
  <c r="L25" i="47" s="1"/>
  <c r="C17" i="44"/>
  <c r="G16" i="47"/>
  <c r="C16" i="47"/>
  <c r="D16" i="47" s="1"/>
  <c r="E16" i="47" s="1"/>
  <c r="F21" i="46" s="1"/>
  <c r="H16" i="47"/>
  <c r="L16" i="47" s="1"/>
  <c r="I16" i="47"/>
  <c r="D9" i="44"/>
  <c r="E9" i="44"/>
  <c r="P32" i="30"/>
  <c r="H33" i="30"/>
  <c r="O33" i="30" s="1"/>
  <c r="H36" i="46" s="1"/>
  <c r="H36" i="36"/>
  <c r="B35" i="30"/>
  <c r="D23" i="44" l="1"/>
  <c r="E23" i="44"/>
  <c r="D21" i="44"/>
  <c r="E21" i="44"/>
  <c r="E12" i="44"/>
  <c r="D12" i="44"/>
  <c r="E32" i="44"/>
  <c r="D32" i="44"/>
  <c r="D27" i="44"/>
  <c r="E27" i="44"/>
  <c r="F9" i="44"/>
  <c r="J16" i="47"/>
  <c r="K16" i="47"/>
  <c r="K22" i="47"/>
  <c r="J22" i="47"/>
  <c r="D35" i="44"/>
  <c r="E35" i="44"/>
  <c r="D24" i="44"/>
  <c r="E24" i="44"/>
  <c r="J13" i="47"/>
  <c r="K13" i="47"/>
  <c r="E33" i="44"/>
  <c r="D33" i="44"/>
  <c r="K34" i="47"/>
  <c r="J34" i="47"/>
  <c r="E13" i="44"/>
  <c r="D13" i="44"/>
  <c r="K25" i="47"/>
  <c r="J25" i="47"/>
  <c r="K20" i="47"/>
  <c r="J20" i="47"/>
  <c r="D6" i="44"/>
  <c r="E6" i="44"/>
  <c r="K21" i="47"/>
  <c r="J21" i="47"/>
  <c r="D22" i="44"/>
  <c r="E22" i="44"/>
  <c r="K31" i="47"/>
  <c r="J31" i="47"/>
  <c r="K24" i="47"/>
  <c r="J24" i="47"/>
  <c r="E25" i="44"/>
  <c r="D25" i="44"/>
  <c r="D18" i="44"/>
  <c r="E18" i="44"/>
  <c r="K29" i="47"/>
  <c r="J29" i="47"/>
  <c r="D17" i="44"/>
  <c r="E17" i="44"/>
  <c r="K28" i="47"/>
  <c r="J28" i="47"/>
  <c r="E29" i="44"/>
  <c r="D29" i="44"/>
  <c r="J27" i="47"/>
  <c r="K27" i="47"/>
  <c r="J23" i="47"/>
  <c r="K23" i="47"/>
  <c r="E16" i="44"/>
  <c r="D16" i="44"/>
  <c r="J32" i="47"/>
  <c r="K32" i="47"/>
  <c r="K30" i="47"/>
  <c r="J30" i="47"/>
  <c r="D31" i="44"/>
  <c r="E31" i="44"/>
  <c r="E35" i="47"/>
  <c r="J33" i="47"/>
  <c r="K33" i="47"/>
  <c r="E34" i="44"/>
  <c r="D34" i="44"/>
  <c r="E20" i="44"/>
  <c r="D20" i="44"/>
  <c r="J9" i="47"/>
  <c r="K9" i="47"/>
  <c r="E8" i="44"/>
  <c r="D8" i="44"/>
  <c r="J18" i="47"/>
  <c r="K18" i="47"/>
  <c r="J6" i="47"/>
  <c r="K6" i="47"/>
  <c r="D7" i="44"/>
  <c r="E7" i="44"/>
  <c r="J14" i="47"/>
  <c r="K14" i="47"/>
  <c r="K26" i="47"/>
  <c r="J26" i="47"/>
  <c r="E30" i="44"/>
  <c r="D30" i="44"/>
  <c r="D26" i="44"/>
  <c r="E26" i="44"/>
  <c r="E28" i="44"/>
  <c r="D28" i="44"/>
  <c r="J15" i="47"/>
  <c r="K15" i="47"/>
  <c r="E14" i="44"/>
  <c r="D14" i="44"/>
  <c r="J11" i="47"/>
  <c r="K11" i="47"/>
  <c r="M8" i="47"/>
  <c r="N8" i="47" s="1"/>
  <c r="M5" i="47"/>
  <c r="N5" i="47" s="1"/>
  <c r="J10" i="47"/>
  <c r="K10" i="47"/>
  <c r="D11" i="44"/>
  <c r="E11" i="44"/>
  <c r="K19" i="47"/>
  <c r="J19" i="47"/>
  <c r="D10" i="44"/>
  <c r="E10" i="44"/>
  <c r="J7" i="47"/>
  <c r="K7" i="47"/>
  <c r="D19" i="44"/>
  <c r="E19" i="44"/>
  <c r="J12" i="47"/>
  <c r="K12" i="47"/>
  <c r="E15" i="44"/>
  <c r="D15" i="44"/>
  <c r="K17" i="47"/>
  <c r="J17" i="47"/>
  <c r="P33" i="30"/>
  <c r="H34" i="30"/>
  <c r="O34" i="30" s="1"/>
  <c r="H37" i="46" s="1"/>
  <c r="B36" i="30"/>
  <c r="F18" i="44" l="1"/>
  <c r="F22" i="44"/>
  <c r="F6" i="44"/>
  <c r="F32" i="44"/>
  <c r="F12" i="44"/>
  <c r="M21" i="47"/>
  <c r="N21" i="47" s="1"/>
  <c r="P21" i="47" s="1"/>
  <c r="F13" i="44"/>
  <c r="F33" i="44"/>
  <c r="C37" i="46" s="1"/>
  <c r="M22" i="47"/>
  <c r="N22" i="47" s="1"/>
  <c r="M29" i="47"/>
  <c r="N29" i="47" s="1"/>
  <c r="M20" i="47"/>
  <c r="N20" i="47" s="1"/>
  <c r="M11" i="47"/>
  <c r="N11" i="47" s="1"/>
  <c r="F7" i="44"/>
  <c r="C11" i="46" s="1"/>
  <c r="M27" i="47"/>
  <c r="N27" i="47" s="1"/>
  <c r="P27" i="47" s="1"/>
  <c r="M12" i="47"/>
  <c r="M7" i="47"/>
  <c r="N7" i="47" s="1"/>
  <c r="P7" i="47" s="1"/>
  <c r="M10" i="47"/>
  <c r="M15" i="47"/>
  <c r="N15" i="47" s="1"/>
  <c r="F26" i="44"/>
  <c r="C30" i="46" s="1"/>
  <c r="F15" i="44"/>
  <c r="G15" i="44" s="1"/>
  <c r="F14" i="44"/>
  <c r="C18" i="46" s="1"/>
  <c r="F28" i="44"/>
  <c r="G28" i="44" s="1"/>
  <c r="F30" i="44"/>
  <c r="C34" i="46" s="1"/>
  <c r="F29" i="44"/>
  <c r="G29" i="44" s="1"/>
  <c r="M24" i="47"/>
  <c r="M34" i="47"/>
  <c r="N34" i="47" s="1"/>
  <c r="P34" i="47" s="1"/>
  <c r="F27" i="44"/>
  <c r="C31" i="46" s="1"/>
  <c r="C19" i="46"/>
  <c r="P29" i="47"/>
  <c r="F31" i="44"/>
  <c r="O5" i="47"/>
  <c r="E10" i="46"/>
  <c r="O21" i="47"/>
  <c r="O20" i="47"/>
  <c r="P20" i="47"/>
  <c r="E25" i="46"/>
  <c r="G33" i="44"/>
  <c r="F19" i="44"/>
  <c r="F11" i="44"/>
  <c r="M18" i="47"/>
  <c r="N18" i="47" s="1"/>
  <c r="M33" i="47"/>
  <c r="N33" i="47" s="1"/>
  <c r="M32" i="47"/>
  <c r="N32" i="47" s="1"/>
  <c r="C33" i="46"/>
  <c r="C17" i="46"/>
  <c r="G13" i="44"/>
  <c r="F24" i="44"/>
  <c r="F35" i="44"/>
  <c r="M16" i="47"/>
  <c r="N16" i="47" s="1"/>
  <c r="C16" i="46"/>
  <c r="G12" i="44"/>
  <c r="F23" i="44"/>
  <c r="M17" i="47"/>
  <c r="N17" i="47" s="1"/>
  <c r="M19" i="47"/>
  <c r="N19" i="47" s="1"/>
  <c r="M14" i="47"/>
  <c r="N14" i="47" s="1"/>
  <c r="M6" i="47"/>
  <c r="N6" i="47" s="1"/>
  <c r="F8" i="44"/>
  <c r="M9" i="47"/>
  <c r="N9" i="47" s="1"/>
  <c r="F34" i="44"/>
  <c r="M30" i="47"/>
  <c r="N30" i="47" s="1"/>
  <c r="F16" i="44"/>
  <c r="M23" i="47"/>
  <c r="N23" i="47" s="1"/>
  <c r="F17" i="44"/>
  <c r="P22" i="47"/>
  <c r="E27" i="46"/>
  <c r="O22" i="47"/>
  <c r="C13" i="46"/>
  <c r="G9" i="44"/>
  <c r="C36" i="46"/>
  <c r="G32" i="44"/>
  <c r="F21" i="44"/>
  <c r="O27" i="47"/>
  <c r="E32" i="46"/>
  <c r="O34" i="47"/>
  <c r="F10" i="44"/>
  <c r="P8" i="47"/>
  <c r="E13" i="46"/>
  <c r="O8" i="47"/>
  <c r="O12" i="47"/>
  <c r="O7" i="47"/>
  <c r="O10" i="47"/>
  <c r="E16" i="46"/>
  <c r="P11" i="47"/>
  <c r="O11" i="47"/>
  <c r="P15" i="47"/>
  <c r="E20" i="46"/>
  <c r="M26" i="47"/>
  <c r="N26" i="47" s="1"/>
  <c r="F20" i="44"/>
  <c r="M28" i="47"/>
  <c r="N28" i="47" s="1"/>
  <c r="C22" i="46"/>
  <c r="G18" i="44"/>
  <c r="F25" i="44"/>
  <c r="M31" i="47"/>
  <c r="N31" i="47" s="1"/>
  <c r="C26" i="46"/>
  <c r="G22" i="44"/>
  <c r="C10" i="46"/>
  <c r="K10" i="46" s="1"/>
  <c r="G6" i="44"/>
  <c r="M25" i="47"/>
  <c r="N25" i="47" s="1"/>
  <c r="M13" i="47"/>
  <c r="N13" i="47" s="1"/>
  <c r="P34" i="30"/>
  <c r="H35" i="30"/>
  <c r="O35" i="30" s="1"/>
  <c r="H38" i="46" s="1"/>
  <c r="C32" i="46" l="1"/>
  <c r="K32" i="46" s="1"/>
  <c r="O15" i="47"/>
  <c r="E12" i="46"/>
  <c r="E39" i="46"/>
  <c r="E26" i="46"/>
  <c r="E34" i="46"/>
  <c r="O29" i="47"/>
  <c r="E29" i="46"/>
  <c r="N24" i="47"/>
  <c r="P24" i="47" s="1"/>
  <c r="N10" i="47"/>
  <c r="P10" i="47" s="1"/>
  <c r="E17" i="46"/>
  <c r="K17" i="46" s="1"/>
  <c r="N12" i="47"/>
  <c r="G7" i="44"/>
  <c r="E15" i="46"/>
  <c r="O24" i="47"/>
  <c r="G14" i="44"/>
  <c r="K13" i="46"/>
  <c r="G26" i="44"/>
  <c r="P12" i="47"/>
  <c r="K16" i="46"/>
  <c r="G27" i="44"/>
  <c r="G30" i="44"/>
  <c r="O31" i="47"/>
  <c r="P31" i="47"/>
  <c r="E36" i="46"/>
  <c r="K36" i="46" s="1"/>
  <c r="E18" i="46"/>
  <c r="K18" i="46" s="1"/>
  <c r="O13" i="47"/>
  <c r="P13" i="47"/>
  <c r="C24" i="46"/>
  <c r="G20" i="44"/>
  <c r="C20" i="46"/>
  <c r="K20" i="46" s="1"/>
  <c r="G16" i="44"/>
  <c r="C12" i="46"/>
  <c r="G8" i="44"/>
  <c r="P17" i="47"/>
  <c r="O17" i="47"/>
  <c r="E22" i="46"/>
  <c r="O16" i="47"/>
  <c r="P16" i="47"/>
  <c r="E21" i="46"/>
  <c r="O18" i="47"/>
  <c r="E23" i="46"/>
  <c r="P18" i="47"/>
  <c r="P5" i="47"/>
  <c r="E33" i="46"/>
  <c r="K33" i="46" s="1"/>
  <c r="P28" i="47"/>
  <c r="O28" i="47"/>
  <c r="C25" i="46"/>
  <c r="K25" i="46" s="1"/>
  <c r="G21" i="44"/>
  <c r="C21" i="46"/>
  <c r="G17" i="44"/>
  <c r="C38" i="46"/>
  <c r="G34" i="44"/>
  <c r="O14" i="47"/>
  <c r="E19" i="46"/>
  <c r="K19" i="46" s="1"/>
  <c r="P14" i="47"/>
  <c r="C28" i="46"/>
  <c r="G24" i="44"/>
  <c r="P32" i="47"/>
  <c r="O32" i="47"/>
  <c r="E37" i="46"/>
  <c r="K37" i="46" s="1"/>
  <c r="C23" i="46"/>
  <c r="G19" i="44"/>
  <c r="C35" i="46"/>
  <c r="G31" i="44"/>
  <c r="C29" i="46"/>
  <c r="K29" i="46" s="1"/>
  <c r="G25" i="44"/>
  <c r="C14" i="46"/>
  <c r="G10" i="44"/>
  <c r="E28" i="46"/>
  <c r="P23" i="47"/>
  <c r="O23" i="47"/>
  <c r="P9" i="47"/>
  <c r="E14" i="46"/>
  <c r="O9" i="47"/>
  <c r="E24" i="46"/>
  <c r="P19" i="47"/>
  <c r="O19" i="47"/>
  <c r="P33" i="47"/>
  <c r="E38" i="46"/>
  <c r="O33" i="47"/>
  <c r="P25" i="47"/>
  <c r="O25" i="47"/>
  <c r="E30" i="46"/>
  <c r="K30" i="46" s="1"/>
  <c r="K26" i="46"/>
  <c r="K22" i="46"/>
  <c r="E31" i="46"/>
  <c r="K31" i="46" s="1"/>
  <c r="P26" i="47"/>
  <c r="O26" i="47"/>
  <c r="O30" i="47"/>
  <c r="P30" i="47"/>
  <c r="E35" i="46"/>
  <c r="E11" i="46"/>
  <c r="K11" i="46" s="1"/>
  <c r="O6" i="47"/>
  <c r="P6" i="47"/>
  <c r="C27" i="46"/>
  <c r="K27" i="46" s="1"/>
  <c r="G23" i="44"/>
  <c r="C39" i="46"/>
  <c r="G35" i="44"/>
  <c r="C15" i="46"/>
  <c r="K15" i="46" s="1"/>
  <c r="G11" i="44"/>
  <c r="K34" i="46"/>
  <c r="P35" i="30"/>
  <c r="H36" i="30"/>
  <c r="K12" i="46" l="1"/>
  <c r="P35" i="47"/>
  <c r="K35" i="46"/>
  <c r="K38" i="46"/>
  <c r="K24" i="46"/>
  <c r="G36" i="44"/>
  <c r="O35" i="47"/>
  <c r="K23" i="46"/>
  <c r="K21" i="46"/>
  <c r="N35" i="47"/>
  <c r="K14" i="46"/>
  <c r="K28" i="46"/>
  <c r="O36" i="30"/>
  <c r="H39" i="46" s="1"/>
  <c r="K39" i="46" s="1"/>
  <c r="AA22" i="30"/>
  <c r="AC22" i="30" s="1"/>
  <c r="AD22" i="30" s="1"/>
  <c r="P36" i="30" l="1"/>
  <c r="P37" i="30" s="1"/>
  <c r="L40" i="46" s="1"/>
  <c r="K40" i="46"/>
  <c r="C81" i="46" s="1"/>
  <c r="C87" i="46" l="1"/>
  <c r="C84" i="46"/>
  <c r="C83" i="46"/>
  <c r="C90" i="46" l="1"/>
  <c r="C89" i="4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<sst xmlns="http://schemas.openxmlformats.org/spreadsheetml/2006/main" count="556" uniqueCount="362">
  <si>
    <t>Analysis Year</t>
  </si>
  <si>
    <t>7% Discount</t>
  </si>
  <si>
    <t>Total Benefit</t>
  </si>
  <si>
    <t>NOTES:</t>
  </si>
  <si>
    <t>Initial Capital</t>
  </si>
  <si>
    <t xml:space="preserve">Costs in </t>
  </si>
  <si>
    <t xml:space="preserve">Cost Category </t>
  </si>
  <si>
    <t>Total</t>
  </si>
  <si>
    <t>Remaining</t>
  </si>
  <si>
    <t>Costs in</t>
  </si>
  <si>
    <t>Capital Value</t>
  </si>
  <si>
    <t>Constant Dollars</t>
  </si>
  <si>
    <t xml:space="preserve">in Constant Dollars </t>
  </si>
  <si>
    <t>Total Remaining Capital Value in Constant Dollars</t>
  </si>
  <si>
    <t>RCV = A*(B-C)/B</t>
  </si>
  <si>
    <t>A = (1+r)^n</t>
  </si>
  <si>
    <t>=</t>
  </si>
  <si>
    <t>r = discount rate</t>
  </si>
  <si>
    <t>B = ((1+r)^L-1)/(r(1+r)^L)</t>
  </si>
  <si>
    <t>n = number of years in the analysis period</t>
  </si>
  <si>
    <t>C = ((1+r)^n-1)/(r(1+r)^n)</t>
  </si>
  <si>
    <t>L = expected lifespan of the asset</t>
  </si>
  <si>
    <t>r</t>
  </si>
  <si>
    <t>n</t>
  </si>
  <si>
    <t>L</t>
  </si>
  <si>
    <t>RCV</t>
  </si>
  <si>
    <t>Years of Construction</t>
  </si>
  <si>
    <t>N/A</t>
  </si>
  <si>
    <t>(7%)</t>
  </si>
  <si>
    <t>STATE OF GOOD REPIAR - CAPITAL COST AND RESIDUAL PROJECT VALUE</t>
  </si>
  <si>
    <t>BENEFITS</t>
  </si>
  <si>
    <t>COSTS</t>
  </si>
  <si>
    <t>Economic Competitiveness</t>
  </si>
  <si>
    <t>Safety</t>
  </si>
  <si>
    <t>Crash Savings</t>
  </si>
  <si>
    <t>Benefits</t>
  </si>
  <si>
    <t>Costs</t>
  </si>
  <si>
    <t>B/C Ratio</t>
  </si>
  <si>
    <t>7% Discount Total</t>
  </si>
  <si>
    <t>Table 1 - Years of Construction</t>
  </si>
  <si>
    <t>Table 2 - Capital Costs</t>
  </si>
  <si>
    <t>Table 3 - Remaining Capital Value Factors</t>
  </si>
  <si>
    <t>SUMMARY</t>
  </si>
  <si>
    <t>No Build</t>
  </si>
  <si>
    <t>Build</t>
  </si>
  <si>
    <t>Service Life</t>
  </si>
  <si>
    <t>Table 1 - Analysis Timeframe Assumptions</t>
  </si>
  <si>
    <r>
      <t xml:space="preserve">Year of Construction </t>
    </r>
    <r>
      <rPr>
        <vertAlign val="superscript"/>
        <sz val="9"/>
        <rFont val="Calibri"/>
        <family val="2"/>
        <scheme val="minor"/>
      </rPr>
      <t>(1)</t>
    </r>
  </si>
  <si>
    <r>
      <t xml:space="preserve">Duration of Construction </t>
    </r>
    <r>
      <rPr>
        <vertAlign val="superscript"/>
        <sz val="9"/>
        <rFont val="Calibri"/>
        <family val="2"/>
        <scheme val="minor"/>
      </rPr>
      <t>(1)</t>
    </r>
  </si>
  <si>
    <r>
      <t xml:space="preserve">Benefit-Cost First Year of Benefit </t>
    </r>
    <r>
      <rPr>
        <vertAlign val="superscript"/>
        <sz val="9"/>
        <rFont val="Calibri"/>
        <family val="2"/>
        <scheme val="minor"/>
      </rPr>
      <t>(1)</t>
    </r>
  </si>
  <si>
    <t>Benefit-Cost Final Year of Benefit</t>
  </si>
  <si>
    <t>Table 2 - Network Assumptions</t>
  </si>
  <si>
    <t>Table 3 - Global Assumptions and Factors</t>
  </si>
  <si>
    <t>1)</t>
  </si>
  <si>
    <t>SAFETY - CRASH SAVINGS</t>
  </si>
  <si>
    <t>K</t>
  </si>
  <si>
    <t>A</t>
  </si>
  <si>
    <t>B</t>
  </si>
  <si>
    <t>C</t>
  </si>
  <si>
    <t>PDO</t>
  </si>
  <si>
    <t>Right-of-Way</t>
  </si>
  <si>
    <t>Major Structures</t>
  </si>
  <si>
    <t>Grading and Drainage</t>
  </si>
  <si>
    <t>Sub Base and Base</t>
  </si>
  <si>
    <t>Surface</t>
  </si>
  <si>
    <t>Miscellaneous (Sunk)</t>
  </si>
  <si>
    <t>Travel Time Savings</t>
  </si>
  <si>
    <t>2)</t>
  </si>
  <si>
    <t>3)</t>
  </si>
  <si>
    <t>4)</t>
  </si>
  <si>
    <t>5)</t>
  </si>
  <si>
    <t>Composite Cost per Hour</t>
  </si>
  <si>
    <t>Years of Benefit-Cost Analysis Period</t>
  </si>
  <si>
    <t>Aggregate Travel Time Cost</t>
  </si>
  <si>
    <t>Table 4 - Travel Time Cost Saving ($ per person hour)</t>
  </si>
  <si>
    <t>Truck Vehicle Occupancy</t>
  </si>
  <si>
    <t>Truck Percentage</t>
  </si>
  <si>
    <t>Auto Percentage</t>
  </si>
  <si>
    <t>Truck Travel Time Cost</t>
  </si>
  <si>
    <t>Travel Time Cost Savings</t>
  </si>
  <si>
    <t>Build Travel Time Cost</t>
  </si>
  <si>
    <t>No Build Travel Time Cost</t>
  </si>
  <si>
    <t>Build Annual VHT</t>
  </si>
  <si>
    <t xml:space="preserve">No Build Annual VHT </t>
  </si>
  <si>
    <t>Entire Network</t>
  </si>
  <si>
    <t>Remaining Capital Value (7%)</t>
  </si>
  <si>
    <t>Project Cost (7%)</t>
  </si>
  <si>
    <t>Present Value RCV 7% Discount</t>
  </si>
  <si>
    <t>Forecast Traffic Year</t>
  </si>
  <si>
    <r>
      <t xml:space="preserve">Percent Autos </t>
    </r>
    <r>
      <rPr>
        <vertAlign val="superscript"/>
        <sz val="9"/>
        <rFont val="Calibri"/>
        <family val="2"/>
        <scheme val="minor"/>
      </rPr>
      <t>(2)</t>
    </r>
  </si>
  <si>
    <r>
      <t xml:space="preserve">Percent Trucks </t>
    </r>
    <r>
      <rPr>
        <vertAlign val="superscript"/>
        <sz val="9"/>
        <rFont val="Calibri"/>
        <family val="2"/>
        <scheme val="minor"/>
      </rPr>
      <t>(2)</t>
    </r>
  </si>
  <si>
    <r>
      <t xml:space="preserve">Auto Occupancy </t>
    </r>
    <r>
      <rPr>
        <vertAlign val="superscript"/>
        <sz val="9"/>
        <rFont val="Calibri"/>
        <family val="2"/>
        <scheme val="minor"/>
      </rPr>
      <t>(3)</t>
    </r>
  </si>
  <si>
    <r>
      <t xml:space="preserve">Truck Occupancy </t>
    </r>
    <r>
      <rPr>
        <vertAlign val="superscript"/>
        <sz val="9"/>
        <rFont val="Calibri"/>
        <family val="2"/>
        <scheme val="minor"/>
      </rPr>
      <t>(3)</t>
    </r>
  </si>
  <si>
    <r>
      <t xml:space="preserve">Number of Days in a Year </t>
    </r>
    <r>
      <rPr>
        <vertAlign val="superscript"/>
        <sz val="9"/>
        <rFont val="Calibri"/>
        <family val="2"/>
        <scheme val="minor"/>
      </rPr>
      <t>(4)</t>
    </r>
  </si>
  <si>
    <t>All-Purpose Travel Time Cost</t>
  </si>
  <si>
    <t>Passenger Vehicle Occupancy</t>
  </si>
  <si>
    <r>
      <t xml:space="preserve">Value of Time </t>
    </r>
    <r>
      <rPr>
        <vertAlign val="superscript"/>
        <sz val="9"/>
        <rFont val="Calibri"/>
        <family val="2"/>
        <scheme val="minor"/>
      </rPr>
      <t>(5)</t>
    </r>
    <r>
      <rPr>
        <sz val="9"/>
        <rFont val="Calibri"/>
        <family val="2"/>
        <scheme val="minor"/>
      </rPr>
      <t xml:space="preserve"> - All-Purpose Travel</t>
    </r>
  </si>
  <si>
    <r>
      <t xml:space="preserve">Value of Time </t>
    </r>
    <r>
      <rPr>
        <vertAlign val="superscript"/>
        <sz val="9"/>
        <rFont val="Calibri"/>
        <family val="2"/>
        <scheme val="minor"/>
      </rPr>
      <t>(5)</t>
    </r>
    <r>
      <rPr>
        <sz val="9"/>
        <rFont val="Calibri"/>
        <family val="2"/>
        <scheme val="minor"/>
      </rPr>
      <t xml:space="preserve"> - Truck Travel</t>
    </r>
  </si>
  <si>
    <t>Base Year</t>
  </si>
  <si>
    <t>Total (7% Discount)</t>
  </si>
  <si>
    <t>ENVIRONMENTAL SUSTAINABILITY - AIR QUALITY</t>
  </si>
  <si>
    <t>Mode</t>
  </si>
  <si>
    <t>Automobile</t>
  </si>
  <si>
    <t>Trucks</t>
  </si>
  <si>
    <t>ECONOMIC COMPETITIVENESS - OPERATIONAL BENEFITS</t>
  </si>
  <si>
    <t>Total Cost Savings</t>
  </si>
  <si>
    <t>Environmental Sustainability</t>
  </si>
  <si>
    <t>Operations Savings</t>
  </si>
  <si>
    <t>6)</t>
  </si>
  <si>
    <r>
      <t xml:space="preserve">Cost per Mile </t>
    </r>
    <r>
      <rPr>
        <vertAlign val="superscript"/>
        <sz val="9"/>
        <rFont val="Calibri"/>
        <family val="2"/>
        <scheme val="minor"/>
      </rPr>
      <t>(6)</t>
    </r>
    <r>
      <rPr>
        <sz val="9"/>
        <rFont val="Calibri"/>
        <family val="2"/>
        <scheme val="minor"/>
      </rPr>
      <t xml:space="preserve"> - Auto</t>
    </r>
  </si>
  <si>
    <r>
      <t xml:space="preserve">Cost per Mile </t>
    </r>
    <r>
      <rPr>
        <vertAlign val="superscript"/>
        <sz val="9"/>
        <rFont val="Calibri"/>
        <family val="2"/>
        <scheme val="minor"/>
      </rPr>
      <t>(6)</t>
    </r>
    <r>
      <rPr>
        <sz val="9"/>
        <rFont val="Calibri"/>
        <family val="2"/>
        <scheme val="minor"/>
      </rPr>
      <t xml:space="preserve"> - Truck</t>
    </r>
  </si>
  <si>
    <t>Year</t>
  </si>
  <si>
    <t>VHT</t>
  </si>
  <si>
    <t>Table 3 - Vehicle Occupancy</t>
  </si>
  <si>
    <t>NPV</t>
  </si>
  <si>
    <t>TRAVEL TIME SAVINGS</t>
  </si>
  <si>
    <t xml:space="preserve">Capital Costs    </t>
  </si>
  <si>
    <t>Other Emissions Cost Savings</t>
  </si>
  <si>
    <t>Total (Carbon + Other Emissions)</t>
  </si>
  <si>
    <t>Subtotal</t>
  </si>
  <si>
    <t>Annual Pavement Maintenance Costs</t>
  </si>
  <si>
    <t>SW ramp</t>
  </si>
  <si>
    <t>Operation and Maintenance Costs</t>
  </si>
  <si>
    <t>Segment</t>
  </si>
  <si>
    <t>Bridge Inspection Costs</t>
  </si>
  <si>
    <t>Pavement Maintenance Costs</t>
  </si>
  <si>
    <t>Additional Road Length (feet)</t>
  </si>
  <si>
    <t>7 w 20-yr</t>
  </si>
  <si>
    <t>7 w 30-yr</t>
  </si>
  <si>
    <t>Jan</t>
  </si>
  <si>
    <t>Feb</t>
  </si>
  <si>
    <t>Mar</t>
  </si>
  <si>
    <t>Apr</t>
  </si>
  <si>
    <t>May</t>
  </si>
  <si>
    <t>Jun</t>
  </si>
  <si>
    <t>Jul</t>
  </si>
  <si>
    <t>Aug</t>
  </si>
  <si>
    <t>Sep</t>
  </si>
  <si>
    <t>Oct</t>
  </si>
  <si>
    <t>Nov</t>
  </si>
  <si>
    <t>Dec</t>
  </si>
  <si>
    <t>Month</t>
  </si>
  <si>
    <t>Adjustment Factor</t>
  </si>
  <si>
    <t>March VHT</t>
  </si>
  <si>
    <t>Total Construction Months</t>
  </si>
  <si>
    <t>Truck percentage in the project area is estimated based on year 2018 AADT and HCAADT counts performed by MnDOT (https://mndot.maps.arcgis.com/apps/webappviewer/index.html?id=7b3be07daed84e7fa170a91059ce63bb).</t>
  </si>
  <si>
    <t>Existing Year 2019</t>
  </si>
  <si>
    <t>Forecast Year 2040</t>
  </si>
  <si>
    <t>AADTs in project area</t>
  </si>
  <si>
    <t xml:space="preserve">Travel time changes in the US 169/CR 4 study area were captured using Synchro/SimTraffic microsimulation modeling. No Build and Build models were developed for morning, midday, and afternoon peak hours, and analysis was performed for existing year 2019 and year 2040. Year 2019 turn movement counts were used for the existing year analysis, and year 2040 forecast volumes were developed by applying a 20-year growth factor of 1.4 to reflect the overall traffic growth expected in Sherburne County, as stated on page 66 of the Sherburne County Transportation Plan (https://www.co.sherburne.mn.us/DocumentCenter/View/4535/Sherburne-County-Transportation-Plan---Complete) . A higher growth rate of three percent per year is also stated in the Plan. However, the BCA used the lower of the two potential expected growth rates to keep the estimate of benefits conservative. </t>
  </si>
  <si>
    <t>Assumed a 365-day year to account for benefits incurred on weekends and recreational peaks in the project area.</t>
  </si>
  <si>
    <t>To capture travel time estimates in hours outside the morning, midday, and afternoon peak hours, volume-to-travel time relationships were developed and applied in the BCA. StreetLight  data for trips through the US 169/CR 4 intersection was used to identify hour-of-day and month-of-year volume profiles for the entirety of year 2019. Travel time-to-volume curves were developed based on study network entering volume and travel time output from each of the microsimulation modeling scenarios (existing year and forecast year, no build and build).  These curves were used to predict travel time for the remaining 21 hours of the day outside the morning, midday, and afternoon peak hours. Once daily travel time for each modeling scenario was established, monthly adjustment factors for study area traffic volumes were applied based on the annual volume profile obtained from StreetLight. These adjustment factors reflect the number of vehicle trips through the study area relative to the analysis base month of March (month the turn movements counts were collected).</t>
  </si>
  <si>
    <t xml:space="preserve">Benefits for years between existing year 2019 and forecast year 2040 were interpolated based on an annual growth rate, and benefits for years beyond year 2040 were extrapolated using the same annual growth rate. </t>
  </si>
  <si>
    <t>Truck percentage in the project area is estimated based on year 2018 AADT and HCAADT counts provided in the MnDOT Traffic Mapping Application: https://www.dot.state.mn.us/traffic/data/tma.html</t>
  </si>
  <si>
    <t xml:space="preserve"> BCA SUMMARY - Sherburne County US 169 and CR 4 Interchange</t>
  </si>
  <si>
    <t>Reduction in the Annual Cost of Crashes</t>
  </si>
  <si>
    <t>NOX</t>
  </si>
  <si>
    <t>SO2</t>
  </si>
  <si>
    <t>PM2.5</t>
  </si>
  <si>
    <t>CO2</t>
  </si>
  <si>
    <t>3% Discount</t>
  </si>
  <si>
    <r>
      <t>Air quality (no CO</t>
    </r>
    <r>
      <rPr>
        <vertAlign val="subscript"/>
        <sz val="9"/>
        <color theme="1"/>
        <rFont val="Calibri"/>
        <family val="2"/>
        <scheme val="minor"/>
      </rPr>
      <t>2</t>
    </r>
    <r>
      <rPr>
        <sz val="9"/>
        <color theme="1"/>
        <rFont val="Calibri"/>
        <family val="2"/>
        <scheme val="minor"/>
      </rPr>
      <t>)</t>
    </r>
  </si>
  <si>
    <r>
      <t>CO</t>
    </r>
    <r>
      <rPr>
        <vertAlign val="subscript"/>
        <sz val="9"/>
        <color theme="1"/>
        <rFont val="Calibri"/>
        <family val="2"/>
        <scheme val="minor"/>
      </rPr>
      <t>2</t>
    </r>
    <r>
      <rPr>
        <sz val="9"/>
        <color theme="1"/>
        <rFont val="Calibri"/>
        <family val="2"/>
        <scheme val="minor"/>
      </rPr>
      <t xml:space="preserve"> Discounted at 3%</t>
    </r>
  </si>
  <si>
    <t xml:space="preserve">This analysis assumed that construction would predominantly take place over a two-year period and be completed in 2024. Therefore, year 2025 was assumed to be the first full year that benefits will be accrued from the project. </t>
  </si>
  <si>
    <t>Year 2018 Dollars</t>
  </si>
  <si>
    <t>Source Type</t>
  </si>
  <si>
    <t>HPMS Description</t>
  </si>
  <si>
    <t>Auto/Truck</t>
  </si>
  <si>
    <t>Motorcycle</t>
  </si>
  <si>
    <t>Auto</t>
  </si>
  <si>
    <t>Light-Duty Vehicle</t>
  </si>
  <si>
    <t>Buses</t>
  </si>
  <si>
    <t>Truck</t>
  </si>
  <si>
    <t>Single-Unit Truck</t>
  </si>
  <si>
    <t>Combination Truck</t>
  </si>
  <si>
    <t>MOVES Model Output (grams per VMT)</t>
  </si>
  <si>
    <t>*Damage costs for emissions in years beyond 2050 assume costs provided for year 2050.</t>
  </si>
  <si>
    <t>PD</t>
  </si>
  <si>
    <t>No Build Annual Number of Crashes</t>
  </si>
  <si>
    <t>No Build Annual Crash Cost</t>
  </si>
  <si>
    <t>Build Annual Number of Crashes</t>
  </si>
  <si>
    <t>Build Annual Crash Cost</t>
  </si>
  <si>
    <t>Percent Reduction</t>
  </si>
  <si>
    <t>Total Crashes</t>
  </si>
  <si>
    <t>Fatal and Injury Crashes</t>
  </si>
  <si>
    <t>Crash Cost (millions $)*</t>
  </si>
  <si>
    <t>* Crash costs are in undiscounted dollars</t>
  </si>
  <si>
    <t>Thirty Year Project Crash Summary</t>
  </si>
  <si>
    <t>Reduction</t>
  </si>
  <si>
    <t>ENVIRONMENTAL SUSTAINABILITY - WATER QUALITY</t>
  </si>
  <si>
    <t>National Annual cost of water pollution (2008 $)</t>
  </si>
  <si>
    <t>Population of US (year 2008)</t>
  </si>
  <si>
    <t>https://www.sciencedaily.com/releases/2008/11/081112124418.htm</t>
  </si>
  <si>
    <t>https://www.census.gov/quickfacts/fact/table/elkrivercityminnesota/IPE120219</t>
  </si>
  <si>
    <t>Population of Elk River (year 2019)</t>
  </si>
  <si>
    <t>Water Quality</t>
  </si>
  <si>
    <t>Table 1 - Water Quality Population Impact Data</t>
  </si>
  <si>
    <t>Cost of water pollution per person (2020 $)</t>
  </si>
  <si>
    <t>Cost of water pollution in City of Elk River (2020 $)</t>
  </si>
  <si>
    <t>Automobile (gallons per hour)</t>
  </si>
  <si>
    <t>*Note conservative estimate does not include trucks which  reflects an undercount in benefits.</t>
  </si>
  <si>
    <t>Type</t>
  </si>
  <si>
    <t>Average MPG</t>
  </si>
  <si>
    <t>1 hour of delay is equivalent to</t>
  </si>
  <si>
    <t>VMT</t>
  </si>
  <si>
    <t>Location</t>
  </si>
  <si>
    <t>Source: U.S. Department of Energy</t>
  </si>
  <si>
    <t>U.S. Department of Energy, Vehicle Technology Office</t>
  </si>
  <si>
    <t>Fact of the Week # 861</t>
  </si>
  <si>
    <t>Idle Consumption at Idle for Selected Gasoline and Diesel Vehicles</t>
  </si>
  <si>
    <t>Vehicle Type</t>
  </si>
  <si>
    <t>Fuel Type</t>
  </si>
  <si>
    <t>Engine Size (liter)</t>
  </si>
  <si>
    <t>Gross Vehicle Weight (GVW) (lb)</t>
  </si>
  <si>
    <t>Idling fuel use (Gal/hr with no load)</t>
  </si>
  <si>
    <t>Tractor-Semitrailer</t>
  </si>
  <si>
    <t>Diesel</t>
  </si>
  <si>
    <t>-</t>
  </si>
  <si>
    <t>Bucket Truck</t>
  </si>
  <si>
    <t>Transit Bus</t>
  </si>
  <si>
    <t>Medium Heavy Truck</t>
  </si>
  <si>
    <t>6-10</t>
  </si>
  <si>
    <t>23,000-33,000</t>
  </si>
  <si>
    <t>Tow Truck</t>
  </si>
  <si>
    <t>Delivery Truck</t>
  </si>
  <si>
    <t>Gas</t>
  </si>
  <si>
    <t>5-7</t>
  </si>
  <si>
    <t>19,700-26,000</t>
  </si>
  <si>
    <t>Compact Sedan</t>
  </si>
  <si>
    <t>Large Sedan</t>
  </si>
  <si>
    <t xml:space="preserve">Source: Argonne National Laboratory, Idling Reduction Savings Calculator, </t>
  </si>
  <si>
    <t>http://www.transportation.anl.gov/pdfs/idling_worksheet.pdf</t>
  </si>
  <si>
    <t>Table 6 - Annual VHT Summary</t>
  </si>
  <si>
    <t>Network</t>
  </si>
  <si>
    <t>Inflation from year 2018 to 2020 dollars</t>
  </si>
  <si>
    <t>2020 dollars</t>
  </si>
  <si>
    <r>
      <rPr>
        <b/>
        <sz val="8"/>
        <rFont val="Arial"/>
        <family val="2"/>
      </rPr>
      <t>Item</t>
    </r>
  </si>
  <si>
    <r>
      <rPr>
        <b/>
        <sz val="8"/>
        <rFont val="Arial"/>
        <family val="2"/>
      </rPr>
      <t>Unit</t>
    </r>
  </si>
  <si>
    <r>
      <rPr>
        <b/>
        <sz val="8"/>
        <rFont val="Arial"/>
        <family val="2"/>
      </rPr>
      <t>Total</t>
    </r>
    <r>
      <rPr>
        <sz val="8"/>
        <rFont val="Times New Roman"/>
        <family val="1"/>
      </rPr>
      <t xml:space="preserve"> </t>
    </r>
    <r>
      <rPr>
        <b/>
        <sz val="8"/>
        <rFont val="Arial"/>
        <family val="2"/>
      </rPr>
      <t>Qty</t>
    </r>
  </si>
  <si>
    <r>
      <rPr>
        <b/>
        <sz val="8"/>
        <rFont val="Arial"/>
        <family val="2"/>
      </rPr>
      <t>Unit</t>
    </r>
    <r>
      <rPr>
        <sz val="8"/>
        <rFont val="Times New Roman"/>
        <family val="1"/>
      </rPr>
      <t xml:space="preserve"> </t>
    </r>
    <r>
      <rPr>
        <b/>
        <sz val="8"/>
        <rFont val="Arial"/>
        <family val="2"/>
      </rPr>
      <t>Price</t>
    </r>
  </si>
  <si>
    <r>
      <rPr>
        <b/>
        <sz val="8"/>
        <rFont val="Arial"/>
        <family val="2"/>
      </rPr>
      <t>Total</t>
    </r>
    <r>
      <rPr>
        <sz val="8"/>
        <rFont val="Times New Roman"/>
        <family val="1"/>
      </rPr>
      <t xml:space="preserve"> </t>
    </r>
    <r>
      <rPr>
        <b/>
        <sz val="8"/>
        <rFont val="Arial"/>
        <family val="2"/>
      </rPr>
      <t>Cost</t>
    </r>
  </si>
  <si>
    <r>
      <rPr>
        <b/>
        <sz val="8"/>
        <rFont val="Arial"/>
        <family val="2"/>
      </rPr>
      <t>MAJOR</t>
    </r>
    <r>
      <rPr>
        <sz val="8"/>
        <rFont val="Times New Roman"/>
        <family val="1"/>
      </rPr>
      <t xml:space="preserve"> </t>
    </r>
    <r>
      <rPr>
        <b/>
        <sz val="8"/>
        <rFont val="Arial"/>
        <family val="2"/>
      </rPr>
      <t>ROADWAY</t>
    </r>
    <r>
      <rPr>
        <sz val="8"/>
        <rFont val="Times New Roman"/>
        <family val="1"/>
      </rPr>
      <t xml:space="preserve"> </t>
    </r>
    <r>
      <rPr>
        <b/>
        <sz val="8"/>
        <rFont val="Arial"/>
        <family val="2"/>
      </rPr>
      <t>ITEMS</t>
    </r>
    <r>
      <rPr>
        <sz val="8"/>
        <rFont val="Times New Roman"/>
        <family val="1"/>
      </rPr>
      <t xml:space="preserve"> </t>
    </r>
    <r>
      <rPr>
        <sz val="8"/>
        <rFont val="Arial"/>
        <family val="2"/>
      </rPr>
      <t>(NOTES</t>
    </r>
    <r>
      <rPr>
        <sz val="8"/>
        <rFont val="Times New Roman"/>
        <family val="1"/>
      </rPr>
      <t xml:space="preserve"> </t>
    </r>
    <r>
      <rPr>
        <sz val="8"/>
        <rFont val="Arial"/>
        <family val="2"/>
      </rPr>
      <t>1-3)</t>
    </r>
  </si>
  <si>
    <r>
      <rPr>
        <sz val="8"/>
        <rFont val="Arial"/>
        <family val="2"/>
      </rPr>
      <t>REMOVE</t>
    </r>
    <r>
      <rPr>
        <sz val="8"/>
        <rFont val="Times New Roman"/>
        <family val="1"/>
      </rPr>
      <t xml:space="preserve"> </t>
    </r>
    <r>
      <rPr>
        <sz val="8"/>
        <rFont val="Arial"/>
        <family val="2"/>
      </rPr>
      <t>BITUMINOUS</t>
    </r>
    <r>
      <rPr>
        <sz val="8"/>
        <rFont val="Times New Roman"/>
        <family val="1"/>
      </rPr>
      <t xml:space="preserve"> </t>
    </r>
    <r>
      <rPr>
        <sz val="8"/>
        <rFont val="Arial"/>
        <family val="2"/>
      </rPr>
      <t>PAVEMENT</t>
    </r>
  </si>
  <si>
    <r>
      <rPr>
        <sz val="8"/>
        <rFont val="Arial"/>
        <family val="2"/>
      </rPr>
      <t>SY</t>
    </r>
  </si>
  <si>
    <r>
      <rPr>
        <sz val="8"/>
        <rFont val="Arial"/>
        <family val="2"/>
      </rPr>
      <t>$</t>
    </r>
    <r>
      <rPr>
        <sz val="8"/>
        <rFont val="Times New Roman"/>
        <family val="1"/>
      </rPr>
      <t xml:space="preserve">                     </t>
    </r>
    <r>
      <rPr>
        <sz val="8"/>
        <rFont val="Arial"/>
        <family val="2"/>
      </rPr>
      <t>6.00</t>
    </r>
  </si>
  <si>
    <r>
      <rPr>
        <sz val="8"/>
        <rFont val="Arial"/>
        <family val="2"/>
      </rPr>
      <t>REMOVE</t>
    </r>
    <r>
      <rPr>
        <sz val="8"/>
        <rFont val="Times New Roman"/>
        <family val="1"/>
      </rPr>
      <t xml:space="preserve"> </t>
    </r>
    <r>
      <rPr>
        <sz val="8"/>
        <rFont val="Arial"/>
        <family val="2"/>
      </rPr>
      <t>CONCRETE</t>
    </r>
    <r>
      <rPr>
        <sz val="8"/>
        <rFont val="Times New Roman"/>
        <family val="1"/>
      </rPr>
      <t xml:space="preserve"> </t>
    </r>
    <r>
      <rPr>
        <sz val="8"/>
        <rFont val="Arial"/>
        <family val="2"/>
      </rPr>
      <t>MEDIAN</t>
    </r>
  </si>
  <si>
    <r>
      <rPr>
        <sz val="8"/>
        <rFont val="Arial"/>
        <family val="2"/>
      </rPr>
      <t>$</t>
    </r>
    <r>
      <rPr>
        <sz val="8"/>
        <rFont val="Times New Roman"/>
        <family val="1"/>
      </rPr>
      <t xml:space="preserve">                     </t>
    </r>
    <r>
      <rPr>
        <sz val="8"/>
        <rFont val="Arial"/>
        <family val="2"/>
      </rPr>
      <t>7.00</t>
    </r>
  </si>
  <si>
    <r>
      <rPr>
        <sz val="8"/>
        <rFont val="Arial"/>
        <family val="2"/>
      </rPr>
      <t>REMOVE</t>
    </r>
    <r>
      <rPr>
        <sz val="8"/>
        <rFont val="Times New Roman"/>
        <family val="1"/>
      </rPr>
      <t xml:space="preserve"> </t>
    </r>
    <r>
      <rPr>
        <sz val="8"/>
        <rFont val="Arial"/>
        <family val="2"/>
      </rPr>
      <t>CURB</t>
    </r>
    <r>
      <rPr>
        <sz val="8"/>
        <rFont val="Times New Roman"/>
        <family val="1"/>
      </rPr>
      <t xml:space="preserve"> </t>
    </r>
    <r>
      <rPr>
        <sz val="8"/>
        <rFont val="Arial"/>
        <family val="2"/>
      </rPr>
      <t>AND</t>
    </r>
    <r>
      <rPr>
        <sz val="8"/>
        <rFont val="Times New Roman"/>
        <family val="1"/>
      </rPr>
      <t xml:space="preserve"> </t>
    </r>
    <r>
      <rPr>
        <sz val="8"/>
        <rFont val="Arial"/>
        <family val="2"/>
      </rPr>
      <t>GUTTER</t>
    </r>
  </si>
  <si>
    <r>
      <rPr>
        <sz val="8"/>
        <rFont val="Arial"/>
        <family val="2"/>
      </rPr>
      <t>LF</t>
    </r>
  </si>
  <si>
    <r>
      <rPr>
        <sz val="8"/>
        <rFont val="Arial"/>
        <family val="2"/>
      </rPr>
      <t>$</t>
    </r>
    <r>
      <rPr>
        <sz val="8"/>
        <rFont val="Times New Roman"/>
        <family val="1"/>
      </rPr>
      <t xml:space="preserve">                     </t>
    </r>
    <r>
      <rPr>
        <sz val="8"/>
        <rFont val="Arial"/>
        <family val="2"/>
      </rPr>
      <t>3.00</t>
    </r>
  </si>
  <si>
    <r>
      <rPr>
        <sz val="8"/>
        <rFont val="Arial"/>
        <family val="2"/>
      </rPr>
      <t>EXCAVATION</t>
    </r>
    <r>
      <rPr>
        <sz val="8"/>
        <rFont val="Times New Roman"/>
        <family val="1"/>
      </rPr>
      <t xml:space="preserve"> </t>
    </r>
    <r>
      <rPr>
        <sz val="8"/>
        <rFont val="Arial"/>
        <family val="2"/>
      </rPr>
      <t>-</t>
    </r>
    <r>
      <rPr>
        <sz val="8"/>
        <rFont val="Times New Roman"/>
        <family val="1"/>
      </rPr>
      <t xml:space="preserve"> </t>
    </r>
    <r>
      <rPr>
        <sz val="8"/>
        <rFont val="Arial"/>
        <family val="2"/>
      </rPr>
      <t>COMMON</t>
    </r>
  </si>
  <si>
    <r>
      <rPr>
        <sz val="8"/>
        <rFont val="Arial"/>
        <family val="2"/>
      </rPr>
      <t>CY</t>
    </r>
  </si>
  <si>
    <r>
      <rPr>
        <sz val="8"/>
        <rFont val="Arial"/>
        <family val="2"/>
      </rPr>
      <t>$</t>
    </r>
    <r>
      <rPr>
        <sz val="8"/>
        <rFont val="Times New Roman"/>
        <family val="1"/>
      </rPr>
      <t xml:space="preserve">                   </t>
    </r>
    <r>
      <rPr>
        <sz val="8"/>
        <rFont val="Arial"/>
        <family val="2"/>
      </rPr>
      <t>10.00</t>
    </r>
  </si>
  <si>
    <r>
      <rPr>
        <sz val="8"/>
        <rFont val="Arial"/>
        <family val="2"/>
      </rPr>
      <t>COMMON</t>
    </r>
    <r>
      <rPr>
        <sz val="8"/>
        <rFont val="Times New Roman"/>
        <family val="1"/>
      </rPr>
      <t xml:space="preserve"> </t>
    </r>
    <r>
      <rPr>
        <sz val="8"/>
        <rFont val="Arial"/>
        <family val="2"/>
      </rPr>
      <t>EMBANKMENT</t>
    </r>
    <r>
      <rPr>
        <sz val="8"/>
        <rFont val="Times New Roman"/>
        <family val="1"/>
      </rPr>
      <t xml:space="preserve"> </t>
    </r>
    <r>
      <rPr>
        <sz val="8"/>
        <rFont val="Arial"/>
        <family val="2"/>
      </rPr>
      <t>(CV)</t>
    </r>
  </si>
  <si>
    <r>
      <rPr>
        <sz val="8"/>
        <rFont val="Arial"/>
        <family val="2"/>
      </rPr>
      <t>$</t>
    </r>
    <r>
      <rPr>
        <sz val="8"/>
        <rFont val="Times New Roman"/>
        <family val="1"/>
      </rPr>
      <t xml:space="preserve">                     </t>
    </r>
    <r>
      <rPr>
        <sz val="8"/>
        <rFont val="Arial"/>
        <family val="2"/>
      </rPr>
      <t>8.00</t>
    </r>
  </si>
  <si>
    <r>
      <rPr>
        <sz val="8"/>
        <rFont val="Arial"/>
        <family val="2"/>
      </rPr>
      <t>AGGREGATE</t>
    </r>
    <r>
      <rPr>
        <sz val="8"/>
        <rFont val="Times New Roman"/>
        <family val="1"/>
      </rPr>
      <t xml:space="preserve"> </t>
    </r>
    <r>
      <rPr>
        <sz val="8"/>
        <rFont val="Arial"/>
        <family val="2"/>
      </rPr>
      <t>BASE</t>
    </r>
    <r>
      <rPr>
        <sz val="8"/>
        <rFont val="Times New Roman"/>
        <family val="1"/>
      </rPr>
      <t xml:space="preserve"> </t>
    </r>
    <r>
      <rPr>
        <sz val="8"/>
        <rFont val="Arial"/>
        <family val="2"/>
      </rPr>
      <t>(CV)</t>
    </r>
    <r>
      <rPr>
        <sz val="8"/>
        <rFont val="Times New Roman"/>
        <family val="1"/>
      </rPr>
      <t xml:space="preserve"> </t>
    </r>
    <r>
      <rPr>
        <sz val="8"/>
        <rFont val="Arial"/>
        <family val="2"/>
      </rPr>
      <t>CLASS</t>
    </r>
    <r>
      <rPr>
        <sz val="8"/>
        <rFont val="Times New Roman"/>
        <family val="1"/>
      </rPr>
      <t xml:space="preserve"> </t>
    </r>
    <r>
      <rPr>
        <sz val="8"/>
        <rFont val="Arial"/>
        <family val="2"/>
      </rPr>
      <t>5Q</t>
    </r>
  </si>
  <si>
    <r>
      <rPr>
        <sz val="8"/>
        <rFont val="Arial"/>
        <family val="2"/>
      </rPr>
      <t>$</t>
    </r>
    <r>
      <rPr>
        <sz val="8"/>
        <rFont val="Times New Roman"/>
        <family val="1"/>
      </rPr>
      <t xml:space="preserve">                   </t>
    </r>
    <r>
      <rPr>
        <sz val="8"/>
        <rFont val="Arial"/>
        <family val="2"/>
      </rPr>
      <t>35.00</t>
    </r>
  </si>
  <si>
    <r>
      <rPr>
        <sz val="8"/>
        <rFont val="Arial"/>
        <family val="2"/>
      </rPr>
      <t>SELECT</t>
    </r>
    <r>
      <rPr>
        <sz val="8"/>
        <rFont val="Times New Roman"/>
        <family val="1"/>
      </rPr>
      <t xml:space="preserve"> </t>
    </r>
    <r>
      <rPr>
        <sz val="8"/>
        <rFont val="Arial"/>
        <family val="2"/>
      </rPr>
      <t>GRANULAR</t>
    </r>
    <r>
      <rPr>
        <sz val="8"/>
        <rFont val="Times New Roman"/>
        <family val="1"/>
      </rPr>
      <t xml:space="preserve"> </t>
    </r>
    <r>
      <rPr>
        <sz val="8"/>
        <rFont val="Arial"/>
        <family val="2"/>
      </rPr>
      <t>EMBANKMENT</t>
    </r>
    <r>
      <rPr>
        <sz val="8"/>
        <rFont val="Times New Roman"/>
        <family val="1"/>
      </rPr>
      <t xml:space="preserve"> </t>
    </r>
    <r>
      <rPr>
        <sz val="8"/>
        <rFont val="Arial"/>
        <family val="2"/>
      </rPr>
      <t>(CV)</t>
    </r>
  </si>
  <si>
    <r>
      <rPr>
        <sz val="8"/>
        <rFont val="Arial"/>
        <family val="2"/>
      </rPr>
      <t>$</t>
    </r>
    <r>
      <rPr>
        <sz val="8"/>
        <rFont val="Times New Roman"/>
        <family val="1"/>
      </rPr>
      <t xml:space="preserve">                   </t>
    </r>
    <r>
      <rPr>
        <sz val="8"/>
        <rFont val="Arial"/>
        <family val="2"/>
      </rPr>
      <t>13.00</t>
    </r>
  </si>
  <si>
    <r>
      <rPr>
        <sz val="8"/>
        <rFont val="Arial"/>
        <family val="2"/>
      </rPr>
      <t>CONCRETE</t>
    </r>
    <r>
      <rPr>
        <sz val="8"/>
        <rFont val="Times New Roman"/>
        <family val="1"/>
      </rPr>
      <t xml:space="preserve"> </t>
    </r>
    <r>
      <rPr>
        <sz val="8"/>
        <rFont val="Arial"/>
        <family val="2"/>
      </rPr>
      <t>PAVEMENT</t>
    </r>
    <r>
      <rPr>
        <sz val="8"/>
        <rFont val="Times New Roman"/>
        <family val="1"/>
      </rPr>
      <t xml:space="preserve"> </t>
    </r>
    <r>
      <rPr>
        <sz val="8"/>
        <rFont val="Arial"/>
        <family val="2"/>
      </rPr>
      <t>8.0"</t>
    </r>
  </si>
  <si>
    <r>
      <rPr>
        <sz val="8"/>
        <rFont val="Arial"/>
        <family val="2"/>
      </rPr>
      <t>$</t>
    </r>
    <r>
      <rPr>
        <sz val="8"/>
        <rFont val="Times New Roman"/>
        <family val="1"/>
      </rPr>
      <t xml:space="preserve">                   </t>
    </r>
    <r>
      <rPr>
        <sz val="8"/>
        <rFont val="Arial"/>
        <family val="2"/>
      </rPr>
      <t>85.00</t>
    </r>
  </si>
  <si>
    <r>
      <rPr>
        <sz val="8"/>
        <rFont val="Arial"/>
        <family val="2"/>
      </rPr>
      <t>TYPE</t>
    </r>
    <r>
      <rPr>
        <sz val="8"/>
        <rFont val="Times New Roman"/>
        <family val="1"/>
      </rPr>
      <t xml:space="preserve"> </t>
    </r>
    <r>
      <rPr>
        <sz val="8"/>
        <rFont val="Arial"/>
        <family val="2"/>
      </rPr>
      <t>SP</t>
    </r>
    <r>
      <rPr>
        <sz val="8"/>
        <rFont val="Times New Roman"/>
        <family val="1"/>
      </rPr>
      <t xml:space="preserve"> </t>
    </r>
    <r>
      <rPr>
        <sz val="8"/>
        <rFont val="Arial"/>
        <family val="2"/>
      </rPr>
      <t>9.5</t>
    </r>
    <r>
      <rPr>
        <sz val="8"/>
        <rFont val="Times New Roman"/>
        <family val="1"/>
      </rPr>
      <t xml:space="preserve"> </t>
    </r>
    <r>
      <rPr>
        <sz val="8"/>
        <rFont val="Arial"/>
        <family val="2"/>
      </rPr>
      <t>WEARING</t>
    </r>
    <r>
      <rPr>
        <sz val="8"/>
        <rFont val="Times New Roman"/>
        <family val="1"/>
      </rPr>
      <t xml:space="preserve"> </t>
    </r>
    <r>
      <rPr>
        <sz val="8"/>
        <rFont val="Arial"/>
        <family val="2"/>
      </rPr>
      <t>COURSE</t>
    </r>
    <r>
      <rPr>
        <sz val="8"/>
        <rFont val="Times New Roman"/>
        <family val="1"/>
      </rPr>
      <t xml:space="preserve"> </t>
    </r>
    <r>
      <rPr>
        <sz val="8"/>
        <rFont val="Arial"/>
        <family val="2"/>
      </rPr>
      <t>MIX</t>
    </r>
    <r>
      <rPr>
        <sz val="8"/>
        <rFont val="Times New Roman"/>
        <family val="1"/>
      </rPr>
      <t xml:space="preserve"> </t>
    </r>
    <r>
      <rPr>
        <sz val="8"/>
        <rFont val="Arial"/>
        <family val="2"/>
      </rPr>
      <t>(2,C)</t>
    </r>
  </si>
  <si>
    <r>
      <rPr>
        <sz val="8"/>
        <rFont val="Arial"/>
        <family val="2"/>
      </rPr>
      <t>TONS</t>
    </r>
  </si>
  <si>
    <r>
      <rPr>
        <sz val="8"/>
        <rFont val="Arial"/>
        <family val="2"/>
      </rPr>
      <t>$</t>
    </r>
    <r>
      <rPr>
        <sz val="8"/>
        <rFont val="Times New Roman"/>
        <family val="1"/>
      </rPr>
      <t xml:space="preserve">                   </t>
    </r>
    <r>
      <rPr>
        <sz val="8"/>
        <rFont val="Arial"/>
        <family val="2"/>
      </rPr>
      <t>75.00</t>
    </r>
  </si>
  <si>
    <r>
      <rPr>
        <sz val="8"/>
        <rFont val="Arial"/>
        <family val="2"/>
      </rPr>
      <t>TYPE</t>
    </r>
    <r>
      <rPr>
        <sz val="8"/>
        <rFont val="Times New Roman"/>
        <family val="1"/>
      </rPr>
      <t xml:space="preserve"> </t>
    </r>
    <r>
      <rPr>
        <sz val="8"/>
        <rFont val="Arial"/>
        <family val="2"/>
      </rPr>
      <t>SP</t>
    </r>
    <r>
      <rPr>
        <sz val="8"/>
        <rFont val="Times New Roman"/>
        <family val="1"/>
      </rPr>
      <t xml:space="preserve"> </t>
    </r>
    <r>
      <rPr>
        <sz val="8"/>
        <rFont val="Arial"/>
        <family val="2"/>
      </rPr>
      <t>12.5</t>
    </r>
    <r>
      <rPr>
        <sz val="8"/>
        <rFont val="Times New Roman"/>
        <family val="1"/>
      </rPr>
      <t xml:space="preserve"> </t>
    </r>
    <r>
      <rPr>
        <sz val="8"/>
        <rFont val="Arial"/>
        <family val="2"/>
      </rPr>
      <t>WEARING</t>
    </r>
    <r>
      <rPr>
        <sz val="8"/>
        <rFont val="Times New Roman"/>
        <family val="1"/>
      </rPr>
      <t xml:space="preserve"> </t>
    </r>
    <r>
      <rPr>
        <sz val="8"/>
        <rFont val="Arial"/>
        <family val="2"/>
      </rPr>
      <t>COURSE</t>
    </r>
    <r>
      <rPr>
        <sz val="8"/>
        <rFont val="Times New Roman"/>
        <family val="1"/>
      </rPr>
      <t xml:space="preserve"> </t>
    </r>
    <r>
      <rPr>
        <sz val="8"/>
        <rFont val="Arial"/>
        <family val="2"/>
      </rPr>
      <t>MIX</t>
    </r>
    <r>
      <rPr>
        <sz val="8"/>
        <rFont val="Times New Roman"/>
        <family val="1"/>
      </rPr>
      <t xml:space="preserve"> </t>
    </r>
    <r>
      <rPr>
        <sz val="8"/>
        <rFont val="Arial"/>
        <family val="2"/>
      </rPr>
      <t>(4,F)</t>
    </r>
  </si>
  <si>
    <r>
      <rPr>
        <sz val="8"/>
        <rFont val="Arial"/>
        <family val="2"/>
      </rPr>
      <t>$</t>
    </r>
    <r>
      <rPr>
        <sz val="8"/>
        <rFont val="Times New Roman"/>
        <family val="1"/>
      </rPr>
      <t xml:space="preserve">                   </t>
    </r>
    <r>
      <rPr>
        <sz val="8"/>
        <rFont val="Arial"/>
        <family val="2"/>
      </rPr>
      <t>80.00</t>
    </r>
  </si>
  <si>
    <r>
      <rPr>
        <sz val="8"/>
        <rFont val="Arial"/>
        <family val="2"/>
      </rPr>
      <t>CURB</t>
    </r>
    <r>
      <rPr>
        <sz val="8"/>
        <rFont val="Times New Roman"/>
        <family val="1"/>
      </rPr>
      <t xml:space="preserve"> </t>
    </r>
    <r>
      <rPr>
        <sz val="8"/>
        <rFont val="Arial"/>
        <family val="2"/>
      </rPr>
      <t>AND</t>
    </r>
    <r>
      <rPr>
        <sz val="8"/>
        <rFont val="Times New Roman"/>
        <family val="1"/>
      </rPr>
      <t xml:space="preserve"> </t>
    </r>
    <r>
      <rPr>
        <sz val="8"/>
        <rFont val="Arial"/>
        <family val="2"/>
      </rPr>
      <t>GUTTER</t>
    </r>
    <r>
      <rPr>
        <sz val="8"/>
        <rFont val="Times New Roman"/>
        <family val="1"/>
      </rPr>
      <t xml:space="preserve"> </t>
    </r>
    <r>
      <rPr>
        <sz val="8"/>
        <rFont val="Arial"/>
        <family val="2"/>
      </rPr>
      <t>B424</t>
    </r>
  </si>
  <si>
    <r>
      <rPr>
        <sz val="8"/>
        <rFont val="Arial"/>
        <family val="2"/>
      </rPr>
      <t>$</t>
    </r>
    <r>
      <rPr>
        <sz val="8"/>
        <rFont val="Times New Roman"/>
        <family val="1"/>
      </rPr>
      <t xml:space="preserve">                   </t>
    </r>
    <r>
      <rPr>
        <sz val="8"/>
        <rFont val="Arial"/>
        <family val="2"/>
      </rPr>
      <t>21.00</t>
    </r>
  </si>
  <si>
    <r>
      <rPr>
        <sz val="8"/>
        <rFont val="Arial"/>
        <family val="2"/>
      </rPr>
      <t>CONCRETE</t>
    </r>
    <r>
      <rPr>
        <sz val="8"/>
        <rFont val="Times New Roman"/>
        <family val="1"/>
      </rPr>
      <t xml:space="preserve"> </t>
    </r>
    <r>
      <rPr>
        <sz val="8"/>
        <rFont val="Arial"/>
        <family val="2"/>
      </rPr>
      <t>MEDIAN</t>
    </r>
    <r>
      <rPr>
        <sz val="8"/>
        <rFont val="Times New Roman"/>
        <family val="1"/>
      </rPr>
      <t xml:space="preserve"> </t>
    </r>
    <r>
      <rPr>
        <sz val="8"/>
        <rFont val="Arial"/>
        <family val="2"/>
      </rPr>
      <t>BARRIER</t>
    </r>
  </si>
  <si>
    <r>
      <rPr>
        <sz val="8"/>
        <rFont val="Arial"/>
        <family val="2"/>
      </rPr>
      <t>$</t>
    </r>
    <r>
      <rPr>
        <sz val="8"/>
        <rFont val="Times New Roman"/>
        <family val="1"/>
      </rPr>
      <t xml:space="preserve">                 </t>
    </r>
    <r>
      <rPr>
        <sz val="8"/>
        <rFont val="Arial"/>
        <family val="2"/>
      </rPr>
      <t>200.00</t>
    </r>
  </si>
  <si>
    <r>
      <rPr>
        <sz val="8"/>
        <rFont val="Arial"/>
        <family val="2"/>
      </rPr>
      <t>4"</t>
    </r>
    <r>
      <rPr>
        <sz val="8"/>
        <rFont val="Times New Roman"/>
        <family val="1"/>
      </rPr>
      <t xml:space="preserve"> </t>
    </r>
    <r>
      <rPr>
        <sz val="8"/>
        <rFont val="Arial"/>
        <family val="2"/>
      </rPr>
      <t>CONCRETE</t>
    </r>
    <r>
      <rPr>
        <sz val="8"/>
        <rFont val="Times New Roman"/>
        <family val="1"/>
      </rPr>
      <t xml:space="preserve"> </t>
    </r>
    <r>
      <rPr>
        <sz val="8"/>
        <rFont val="Arial"/>
        <family val="2"/>
      </rPr>
      <t>WALK</t>
    </r>
  </si>
  <si>
    <r>
      <rPr>
        <sz val="8"/>
        <rFont val="Arial"/>
        <family val="2"/>
      </rPr>
      <t>SF</t>
    </r>
  </si>
  <si>
    <r>
      <rPr>
        <b/>
        <sz val="8"/>
        <rFont val="Arial"/>
        <family val="2"/>
      </rPr>
      <t>Subtotal</t>
    </r>
  </si>
  <si>
    <r>
      <rPr>
        <b/>
        <sz val="8"/>
        <rFont val="Arial"/>
        <family val="2"/>
      </rPr>
      <t>STRUCTURAL</t>
    </r>
    <r>
      <rPr>
        <sz val="8"/>
        <rFont val="Times New Roman"/>
        <family val="1"/>
      </rPr>
      <t xml:space="preserve"> </t>
    </r>
    <r>
      <rPr>
        <b/>
        <sz val="8"/>
        <rFont val="Arial"/>
        <family val="2"/>
      </rPr>
      <t>ITEMS</t>
    </r>
  </si>
  <si>
    <r>
      <rPr>
        <sz val="8"/>
        <rFont val="Arial"/>
        <family val="2"/>
      </rPr>
      <t>RETAINING</t>
    </r>
    <r>
      <rPr>
        <sz val="8"/>
        <rFont val="Times New Roman"/>
        <family val="1"/>
      </rPr>
      <t xml:space="preserve"> </t>
    </r>
    <r>
      <rPr>
        <sz val="8"/>
        <rFont val="Arial"/>
        <family val="2"/>
      </rPr>
      <t>WALLS</t>
    </r>
  </si>
  <si>
    <r>
      <rPr>
        <sz val="8"/>
        <rFont val="Arial"/>
        <family val="2"/>
      </rPr>
      <t>$</t>
    </r>
    <r>
      <rPr>
        <sz val="8"/>
        <rFont val="Times New Roman"/>
        <family val="1"/>
      </rPr>
      <t xml:space="preserve">                 </t>
    </r>
    <r>
      <rPr>
        <sz val="8"/>
        <rFont val="Arial"/>
        <family val="2"/>
      </rPr>
      <t>125.00</t>
    </r>
  </si>
  <si>
    <r>
      <rPr>
        <sz val="8"/>
        <rFont val="Arial"/>
        <family val="2"/>
      </rPr>
      <t>BRIDGE</t>
    </r>
  </si>
  <si>
    <r>
      <rPr>
        <sz val="8"/>
        <rFont val="Arial"/>
        <family val="2"/>
      </rPr>
      <t>$</t>
    </r>
    <r>
      <rPr>
        <sz val="8"/>
        <rFont val="Times New Roman"/>
        <family val="1"/>
      </rPr>
      <t xml:space="preserve">                 </t>
    </r>
    <r>
      <rPr>
        <sz val="8"/>
        <rFont val="Arial"/>
        <family val="2"/>
      </rPr>
      <t>265.00</t>
    </r>
  </si>
  <si>
    <r>
      <rPr>
        <b/>
        <sz val="8"/>
        <rFont val="Arial"/>
        <family val="2"/>
      </rPr>
      <t>All</t>
    </r>
    <r>
      <rPr>
        <sz val="8"/>
        <rFont val="Times New Roman"/>
        <family val="1"/>
      </rPr>
      <t xml:space="preserve"> </t>
    </r>
    <r>
      <rPr>
        <b/>
        <sz val="8"/>
        <rFont val="Arial"/>
        <family val="2"/>
      </rPr>
      <t>Roadway</t>
    </r>
    <r>
      <rPr>
        <sz val="8"/>
        <rFont val="Times New Roman"/>
        <family val="1"/>
      </rPr>
      <t xml:space="preserve"> </t>
    </r>
    <r>
      <rPr>
        <b/>
        <sz val="8"/>
        <rFont val="Arial"/>
        <family val="2"/>
      </rPr>
      <t>Construction</t>
    </r>
    <r>
      <rPr>
        <sz val="8"/>
        <rFont val="Times New Roman"/>
        <family val="1"/>
      </rPr>
      <t xml:space="preserve"> </t>
    </r>
    <r>
      <rPr>
        <b/>
        <sz val="8"/>
        <rFont val="Arial"/>
        <family val="2"/>
      </rPr>
      <t>Subtotal</t>
    </r>
  </si>
  <si>
    <r>
      <rPr>
        <b/>
        <sz val="8"/>
        <rFont val="Arial"/>
        <family val="2"/>
      </rPr>
      <t>SPECIAL</t>
    </r>
    <r>
      <rPr>
        <sz val="8"/>
        <rFont val="Times New Roman"/>
        <family val="1"/>
      </rPr>
      <t xml:space="preserve"> </t>
    </r>
    <r>
      <rPr>
        <b/>
        <sz val="8"/>
        <rFont val="Arial"/>
        <family val="2"/>
      </rPr>
      <t>LUMP</t>
    </r>
    <r>
      <rPr>
        <sz val="8"/>
        <rFont val="Times New Roman"/>
        <family val="1"/>
      </rPr>
      <t xml:space="preserve"> </t>
    </r>
    <r>
      <rPr>
        <b/>
        <sz val="8"/>
        <rFont val="Arial"/>
        <family val="2"/>
      </rPr>
      <t>SUM</t>
    </r>
    <r>
      <rPr>
        <sz val="8"/>
        <rFont val="Times New Roman"/>
        <family val="1"/>
      </rPr>
      <t xml:space="preserve"> </t>
    </r>
    <r>
      <rPr>
        <b/>
        <sz val="8"/>
        <rFont val="Arial"/>
        <family val="2"/>
      </rPr>
      <t>CONSTRUCTION</t>
    </r>
    <r>
      <rPr>
        <sz val="8"/>
        <rFont val="Times New Roman"/>
        <family val="1"/>
      </rPr>
      <t xml:space="preserve"> </t>
    </r>
    <r>
      <rPr>
        <b/>
        <sz val="8"/>
        <rFont val="Arial"/>
        <family val="2"/>
      </rPr>
      <t>ITEMS</t>
    </r>
  </si>
  <si>
    <r>
      <rPr>
        <sz val="8"/>
        <rFont val="Arial"/>
        <family val="2"/>
      </rPr>
      <t>REMOVE</t>
    </r>
    <r>
      <rPr>
        <sz val="8"/>
        <rFont val="Times New Roman"/>
        <family val="1"/>
      </rPr>
      <t xml:space="preserve"> </t>
    </r>
    <r>
      <rPr>
        <sz val="8"/>
        <rFont val="Arial"/>
        <family val="2"/>
      </rPr>
      <t>SIGNAL</t>
    </r>
    <r>
      <rPr>
        <sz val="8"/>
        <rFont val="Times New Roman"/>
        <family val="1"/>
      </rPr>
      <t xml:space="preserve"> </t>
    </r>
    <r>
      <rPr>
        <sz val="8"/>
        <rFont val="Arial"/>
        <family val="2"/>
      </rPr>
      <t>SYSTEM</t>
    </r>
  </si>
  <si>
    <r>
      <rPr>
        <sz val="8"/>
        <rFont val="Arial"/>
        <family val="2"/>
      </rPr>
      <t>LS</t>
    </r>
  </si>
  <si>
    <r>
      <rPr>
        <sz val="8"/>
        <rFont val="Arial"/>
        <family val="2"/>
      </rPr>
      <t>$</t>
    </r>
    <r>
      <rPr>
        <sz val="8"/>
        <rFont val="Times New Roman"/>
        <family val="1"/>
      </rPr>
      <t xml:space="preserve">            </t>
    </r>
    <r>
      <rPr>
        <sz val="8"/>
        <rFont val="Arial"/>
        <family val="2"/>
      </rPr>
      <t>20,000.00</t>
    </r>
  </si>
  <si>
    <r>
      <rPr>
        <sz val="8"/>
        <rFont val="Arial"/>
        <family val="2"/>
      </rPr>
      <t>CITY</t>
    </r>
    <r>
      <rPr>
        <sz val="8"/>
        <rFont val="Times New Roman"/>
        <family val="1"/>
      </rPr>
      <t xml:space="preserve"> </t>
    </r>
    <r>
      <rPr>
        <sz val="8"/>
        <rFont val="Arial"/>
        <family val="2"/>
      </rPr>
      <t>UTILITIES</t>
    </r>
    <r>
      <rPr>
        <sz val="8"/>
        <rFont val="Times New Roman"/>
        <family val="1"/>
      </rPr>
      <t xml:space="preserve"> </t>
    </r>
    <r>
      <rPr>
        <sz val="8"/>
        <rFont val="Arial"/>
        <family val="2"/>
      </rPr>
      <t>(WATERMAIN/SANITARY/ELECTRIC)</t>
    </r>
  </si>
  <si>
    <r>
      <rPr>
        <sz val="8"/>
        <rFont val="Arial"/>
        <family val="2"/>
      </rPr>
      <t>$</t>
    </r>
    <r>
      <rPr>
        <sz val="8"/>
        <rFont val="Times New Roman"/>
        <family val="1"/>
      </rPr>
      <t xml:space="preserve">         </t>
    </r>
    <r>
      <rPr>
        <sz val="8"/>
        <rFont val="Arial"/>
        <family val="2"/>
      </rPr>
      <t>250,000.00</t>
    </r>
  </si>
  <si>
    <r>
      <rPr>
        <sz val="8"/>
        <rFont val="Arial"/>
        <family val="2"/>
      </rPr>
      <t>LIGHTING</t>
    </r>
  </si>
  <si>
    <r>
      <rPr>
        <sz val="8"/>
        <rFont val="Arial"/>
        <family val="2"/>
      </rPr>
      <t>$</t>
    </r>
    <r>
      <rPr>
        <sz val="8"/>
        <rFont val="Times New Roman"/>
        <family val="1"/>
      </rPr>
      <t xml:space="preserve">         </t>
    </r>
    <r>
      <rPr>
        <sz val="8"/>
        <rFont val="Arial"/>
        <family val="2"/>
      </rPr>
      <t>100,000.00</t>
    </r>
  </si>
  <si>
    <r>
      <rPr>
        <sz val="8"/>
        <rFont val="Arial"/>
        <family val="2"/>
      </rPr>
      <t>URBAN</t>
    </r>
    <r>
      <rPr>
        <sz val="8"/>
        <rFont val="Times New Roman"/>
        <family val="1"/>
      </rPr>
      <t xml:space="preserve"> </t>
    </r>
    <r>
      <rPr>
        <sz val="8"/>
        <rFont val="Arial"/>
        <family val="2"/>
      </rPr>
      <t>DRAINAGE</t>
    </r>
  </si>
  <si>
    <r>
      <rPr>
        <sz val="8"/>
        <rFont val="Arial"/>
        <family val="2"/>
      </rPr>
      <t>$</t>
    </r>
    <r>
      <rPr>
        <sz val="8"/>
        <rFont val="Times New Roman"/>
        <family val="1"/>
      </rPr>
      <t xml:space="preserve">      </t>
    </r>
    <r>
      <rPr>
        <sz val="8"/>
        <rFont val="Arial"/>
        <family val="2"/>
      </rPr>
      <t>1,610,000.00</t>
    </r>
  </si>
  <si>
    <r>
      <rPr>
        <b/>
        <sz val="8"/>
        <rFont val="Arial"/>
        <family val="2"/>
      </rPr>
      <t>PRECENTAGE</t>
    </r>
    <r>
      <rPr>
        <sz val="8"/>
        <rFont val="Times New Roman"/>
        <family val="1"/>
      </rPr>
      <t xml:space="preserve"> </t>
    </r>
    <r>
      <rPr>
        <b/>
        <sz val="8"/>
        <rFont val="Arial"/>
        <family val="2"/>
      </rPr>
      <t>ITEMS</t>
    </r>
  </si>
  <si>
    <r>
      <rPr>
        <sz val="8"/>
        <rFont val="Arial"/>
        <family val="2"/>
      </rPr>
      <t>MOBILIZATION</t>
    </r>
  </si>
  <si>
    <r>
      <rPr>
        <sz val="8"/>
        <rFont val="Arial"/>
        <family val="2"/>
      </rPr>
      <t>of</t>
    </r>
    <r>
      <rPr>
        <sz val="8"/>
        <rFont val="Times New Roman"/>
        <family val="1"/>
      </rPr>
      <t xml:space="preserve"> </t>
    </r>
    <r>
      <rPr>
        <sz val="8"/>
        <rFont val="Arial"/>
        <family val="2"/>
      </rPr>
      <t>all</t>
    </r>
    <r>
      <rPr>
        <sz val="8"/>
        <rFont val="Times New Roman"/>
        <family val="1"/>
      </rPr>
      <t xml:space="preserve"> </t>
    </r>
    <r>
      <rPr>
        <sz val="8"/>
        <rFont val="Arial"/>
        <family val="2"/>
      </rPr>
      <t>roadway</t>
    </r>
  </si>
  <si>
    <r>
      <rPr>
        <sz val="8"/>
        <rFont val="Arial"/>
        <family val="2"/>
      </rPr>
      <t>MISC</t>
    </r>
    <r>
      <rPr>
        <sz val="8"/>
        <rFont val="Times New Roman"/>
        <family val="1"/>
      </rPr>
      <t xml:space="preserve"> </t>
    </r>
    <r>
      <rPr>
        <sz val="8"/>
        <rFont val="Arial"/>
        <family val="2"/>
      </rPr>
      <t>REMOVALS</t>
    </r>
    <r>
      <rPr>
        <sz val="8"/>
        <rFont val="Times New Roman"/>
        <family val="1"/>
      </rPr>
      <t xml:space="preserve"> </t>
    </r>
    <r>
      <rPr>
        <sz val="8"/>
        <rFont val="Arial"/>
        <family val="2"/>
      </rPr>
      <t>(CURB,</t>
    </r>
    <r>
      <rPr>
        <sz val="8"/>
        <rFont val="Times New Roman"/>
        <family val="1"/>
      </rPr>
      <t xml:space="preserve"> </t>
    </r>
    <r>
      <rPr>
        <sz val="8"/>
        <rFont val="Arial"/>
        <family val="2"/>
      </rPr>
      <t>SIGNS,</t>
    </r>
    <r>
      <rPr>
        <sz val="8"/>
        <rFont val="Times New Roman"/>
        <family val="1"/>
      </rPr>
      <t xml:space="preserve"> </t>
    </r>
    <r>
      <rPr>
        <sz val="8"/>
        <rFont val="Arial"/>
        <family val="2"/>
      </rPr>
      <t>TREES,</t>
    </r>
    <r>
      <rPr>
        <sz val="8"/>
        <rFont val="Times New Roman"/>
        <family val="1"/>
      </rPr>
      <t xml:space="preserve"> </t>
    </r>
    <r>
      <rPr>
        <sz val="8"/>
        <rFont val="Arial"/>
        <family val="2"/>
      </rPr>
      <t>ETC.)</t>
    </r>
  </si>
  <si>
    <r>
      <rPr>
        <sz val="8"/>
        <rFont val="Arial"/>
        <family val="2"/>
      </rPr>
      <t>SIGNING</t>
    </r>
    <r>
      <rPr>
        <sz val="8"/>
        <rFont val="Times New Roman"/>
        <family val="1"/>
      </rPr>
      <t xml:space="preserve"> </t>
    </r>
    <r>
      <rPr>
        <sz val="8"/>
        <rFont val="Arial"/>
        <family val="2"/>
      </rPr>
      <t>&amp;</t>
    </r>
    <r>
      <rPr>
        <sz val="8"/>
        <rFont val="Times New Roman"/>
        <family val="1"/>
      </rPr>
      <t xml:space="preserve"> </t>
    </r>
    <r>
      <rPr>
        <sz val="8"/>
        <rFont val="Arial"/>
        <family val="2"/>
      </rPr>
      <t>PAVEMENT</t>
    </r>
    <r>
      <rPr>
        <sz val="8"/>
        <rFont val="Times New Roman"/>
        <family val="1"/>
      </rPr>
      <t xml:space="preserve"> </t>
    </r>
    <r>
      <rPr>
        <sz val="8"/>
        <rFont val="Arial"/>
        <family val="2"/>
      </rPr>
      <t>MARKINGS</t>
    </r>
  </si>
  <si>
    <r>
      <rPr>
        <sz val="8"/>
        <rFont val="Arial"/>
        <family val="2"/>
      </rPr>
      <t>TURF</t>
    </r>
    <r>
      <rPr>
        <sz val="8"/>
        <rFont val="Times New Roman"/>
        <family val="1"/>
      </rPr>
      <t xml:space="preserve"> </t>
    </r>
    <r>
      <rPr>
        <sz val="8"/>
        <rFont val="Arial"/>
        <family val="2"/>
      </rPr>
      <t>ESTABLISHMENT</t>
    </r>
    <r>
      <rPr>
        <sz val="8"/>
        <rFont val="Times New Roman"/>
        <family val="1"/>
      </rPr>
      <t xml:space="preserve"> </t>
    </r>
    <r>
      <rPr>
        <sz val="8"/>
        <rFont val="Arial"/>
        <family val="2"/>
      </rPr>
      <t>AND</t>
    </r>
    <r>
      <rPr>
        <sz val="8"/>
        <rFont val="Times New Roman"/>
        <family val="1"/>
      </rPr>
      <t xml:space="preserve"> </t>
    </r>
    <r>
      <rPr>
        <sz val="8"/>
        <rFont val="Arial"/>
        <family val="2"/>
      </rPr>
      <t>EROSION</t>
    </r>
    <r>
      <rPr>
        <sz val="8"/>
        <rFont val="Times New Roman"/>
        <family val="1"/>
      </rPr>
      <t xml:space="preserve"> </t>
    </r>
    <r>
      <rPr>
        <sz val="8"/>
        <rFont val="Arial"/>
        <family val="2"/>
      </rPr>
      <t>CONTROL</t>
    </r>
  </si>
  <si>
    <r>
      <rPr>
        <sz val="8"/>
        <rFont val="Arial"/>
        <family val="2"/>
      </rPr>
      <t>LANDSCAPING/STREETSCAPE</t>
    </r>
  </si>
  <si>
    <r>
      <rPr>
        <sz val="8"/>
        <rFont val="Arial"/>
        <family val="2"/>
      </rPr>
      <t>TRAFFIC</t>
    </r>
    <r>
      <rPr>
        <sz val="8"/>
        <rFont val="Times New Roman"/>
        <family val="1"/>
      </rPr>
      <t xml:space="preserve"> </t>
    </r>
    <r>
      <rPr>
        <sz val="8"/>
        <rFont val="Arial"/>
        <family val="2"/>
      </rPr>
      <t>CONTROL/STAGING</t>
    </r>
  </si>
  <si>
    <r>
      <rPr>
        <sz val="8"/>
        <rFont val="Arial"/>
        <family val="2"/>
      </rPr>
      <t>CONTINGENCY</t>
    </r>
    <r>
      <rPr>
        <sz val="8"/>
        <rFont val="Times New Roman"/>
        <family val="1"/>
      </rPr>
      <t xml:space="preserve"> </t>
    </r>
    <r>
      <rPr>
        <sz val="8"/>
        <rFont val="Arial"/>
        <family val="2"/>
      </rPr>
      <t>FOR</t>
    </r>
    <r>
      <rPr>
        <sz val="8"/>
        <rFont val="Times New Roman"/>
        <family val="1"/>
      </rPr>
      <t xml:space="preserve"> </t>
    </r>
    <r>
      <rPr>
        <sz val="8"/>
        <rFont val="Arial"/>
        <family val="2"/>
      </rPr>
      <t>MISSING</t>
    </r>
    <r>
      <rPr>
        <sz val="8"/>
        <rFont val="Times New Roman"/>
        <family val="1"/>
      </rPr>
      <t xml:space="preserve"> </t>
    </r>
    <r>
      <rPr>
        <sz val="8"/>
        <rFont val="Arial"/>
        <family val="2"/>
      </rPr>
      <t>ITEMS</t>
    </r>
  </si>
  <si>
    <r>
      <rPr>
        <sz val="8"/>
        <rFont val="Arial"/>
        <family val="2"/>
      </rPr>
      <t>Construction</t>
    </r>
    <r>
      <rPr>
        <sz val="8"/>
        <rFont val="Times New Roman"/>
        <family val="1"/>
      </rPr>
      <t xml:space="preserve"> </t>
    </r>
    <r>
      <rPr>
        <sz val="8"/>
        <rFont val="Arial"/>
        <family val="2"/>
      </rPr>
      <t>Cost</t>
    </r>
    <r>
      <rPr>
        <sz val="8"/>
        <rFont val="Times New Roman"/>
        <family val="1"/>
      </rPr>
      <t xml:space="preserve"> </t>
    </r>
    <r>
      <rPr>
        <sz val="8"/>
        <rFont val="Arial"/>
        <family val="2"/>
      </rPr>
      <t>(2023</t>
    </r>
    <r>
      <rPr>
        <sz val="8"/>
        <rFont val="Times New Roman"/>
        <family val="1"/>
      </rPr>
      <t xml:space="preserve"> </t>
    </r>
    <r>
      <rPr>
        <sz val="8"/>
        <rFont val="Arial"/>
        <family val="2"/>
      </rPr>
      <t>Dollars)</t>
    </r>
  </si>
  <si>
    <r>
      <rPr>
        <sz val="8"/>
        <rFont val="Arial"/>
        <family val="2"/>
      </rPr>
      <t>Anticipated</t>
    </r>
    <r>
      <rPr>
        <sz val="8"/>
        <rFont val="Times New Roman"/>
        <family val="1"/>
      </rPr>
      <t xml:space="preserve"> </t>
    </r>
    <r>
      <rPr>
        <sz val="8"/>
        <rFont val="Arial"/>
        <family val="2"/>
      </rPr>
      <t>Right-of-Way</t>
    </r>
    <r>
      <rPr>
        <sz val="8"/>
        <rFont val="Times New Roman"/>
        <family val="1"/>
      </rPr>
      <t xml:space="preserve"> </t>
    </r>
    <r>
      <rPr>
        <sz val="8"/>
        <rFont val="Arial"/>
        <family val="2"/>
      </rPr>
      <t>Cost</t>
    </r>
    <r>
      <rPr>
        <sz val="8"/>
        <rFont val="Times New Roman"/>
        <family val="1"/>
      </rPr>
      <t xml:space="preserve"> </t>
    </r>
    <r>
      <rPr>
        <sz val="8"/>
        <rFont val="Arial"/>
        <family val="2"/>
      </rPr>
      <t>(2023</t>
    </r>
    <r>
      <rPr>
        <sz val="8"/>
        <rFont val="Times New Roman"/>
        <family val="1"/>
      </rPr>
      <t xml:space="preserve"> </t>
    </r>
    <r>
      <rPr>
        <sz val="8"/>
        <rFont val="Arial"/>
        <family val="2"/>
      </rPr>
      <t>Dollars)</t>
    </r>
  </si>
  <si>
    <r>
      <rPr>
        <sz val="8"/>
        <rFont val="Arial"/>
        <family val="2"/>
      </rPr>
      <t>Engineering</t>
    </r>
    <r>
      <rPr>
        <sz val="8"/>
        <rFont val="Times New Roman"/>
        <family val="1"/>
      </rPr>
      <t xml:space="preserve"> </t>
    </r>
    <r>
      <rPr>
        <sz val="8"/>
        <rFont val="Arial"/>
        <family val="2"/>
      </rPr>
      <t>Cost</t>
    </r>
    <r>
      <rPr>
        <sz val="8"/>
        <rFont val="Times New Roman"/>
        <family val="1"/>
      </rPr>
      <t xml:space="preserve"> </t>
    </r>
    <r>
      <rPr>
        <sz val="8"/>
        <rFont val="Arial"/>
        <family val="2"/>
      </rPr>
      <t>(2023</t>
    </r>
    <r>
      <rPr>
        <sz val="8"/>
        <rFont val="Times New Roman"/>
        <family val="1"/>
      </rPr>
      <t xml:space="preserve"> </t>
    </r>
    <r>
      <rPr>
        <sz val="8"/>
        <rFont val="Arial"/>
        <family val="2"/>
      </rPr>
      <t>Dollars)</t>
    </r>
  </si>
  <si>
    <r>
      <rPr>
        <b/>
        <sz val="8"/>
        <rFont val="Arial"/>
        <family val="2"/>
      </rPr>
      <t>Total</t>
    </r>
    <r>
      <rPr>
        <sz val="8"/>
        <rFont val="Times New Roman"/>
        <family val="1"/>
      </rPr>
      <t xml:space="preserve"> </t>
    </r>
    <r>
      <rPr>
        <b/>
        <sz val="8"/>
        <rFont val="Arial"/>
        <family val="2"/>
      </rPr>
      <t>Cost</t>
    </r>
    <r>
      <rPr>
        <sz val="8"/>
        <rFont val="Times New Roman"/>
        <family val="1"/>
      </rPr>
      <t xml:space="preserve"> </t>
    </r>
    <r>
      <rPr>
        <b/>
        <sz val="8"/>
        <rFont val="Arial"/>
        <family val="2"/>
      </rPr>
      <t>(2023</t>
    </r>
    <r>
      <rPr>
        <sz val="8"/>
        <rFont val="Times New Roman"/>
        <family val="1"/>
      </rPr>
      <t xml:space="preserve"> </t>
    </r>
    <r>
      <rPr>
        <b/>
        <sz val="8"/>
        <rFont val="Arial"/>
        <family val="2"/>
      </rPr>
      <t>Dollars)</t>
    </r>
  </si>
  <si>
    <r>
      <rPr>
        <sz val="6.5"/>
        <rFont val="Arial"/>
        <family val="2"/>
      </rPr>
      <t>Notes:</t>
    </r>
  </si>
  <si>
    <r>
      <rPr>
        <vertAlign val="superscript"/>
        <sz val="6.5"/>
        <rFont val="Arial"/>
        <family val="2"/>
      </rPr>
      <t>1.</t>
    </r>
    <r>
      <rPr>
        <vertAlign val="superscript"/>
        <sz val="6.5"/>
        <rFont val="Times New Roman"/>
        <family val="1"/>
      </rPr>
      <t xml:space="preserve">            </t>
    </r>
    <r>
      <rPr>
        <sz val="6.5"/>
        <rFont val="Arial"/>
        <family val="2"/>
      </rPr>
      <t>Highway</t>
    </r>
    <r>
      <rPr>
        <sz val="6.5"/>
        <rFont val="Times New Roman"/>
        <family val="1"/>
      </rPr>
      <t xml:space="preserve"> </t>
    </r>
    <r>
      <rPr>
        <sz val="6.5"/>
        <rFont val="Arial"/>
        <family val="2"/>
      </rPr>
      <t>pavement</t>
    </r>
    <r>
      <rPr>
        <sz val="6.5"/>
        <rFont val="Times New Roman"/>
        <family val="1"/>
      </rPr>
      <t xml:space="preserve"> </t>
    </r>
    <r>
      <rPr>
        <sz val="6.5"/>
        <rFont val="Arial"/>
        <family val="2"/>
      </rPr>
      <t>section</t>
    </r>
    <r>
      <rPr>
        <sz val="6.5"/>
        <rFont val="Times New Roman"/>
        <family val="1"/>
      </rPr>
      <t xml:space="preserve"> </t>
    </r>
    <r>
      <rPr>
        <sz val="6.5"/>
        <rFont val="Arial"/>
        <family val="2"/>
      </rPr>
      <t>assumed</t>
    </r>
    <r>
      <rPr>
        <sz val="6.5"/>
        <rFont val="Times New Roman"/>
        <family val="1"/>
      </rPr>
      <t xml:space="preserve"> </t>
    </r>
    <r>
      <rPr>
        <sz val="6.5"/>
        <rFont val="Arial"/>
        <family val="2"/>
      </rPr>
      <t>is</t>
    </r>
    <r>
      <rPr>
        <sz val="6.5"/>
        <rFont val="Times New Roman"/>
        <family val="1"/>
      </rPr>
      <t xml:space="preserve"> </t>
    </r>
    <r>
      <rPr>
        <sz val="6.5"/>
        <rFont val="Arial"/>
        <family val="2"/>
      </rPr>
      <t>10</t>
    </r>
    <r>
      <rPr>
        <sz val="6.5"/>
        <rFont val="Times New Roman"/>
        <family val="1"/>
      </rPr>
      <t xml:space="preserve"> </t>
    </r>
    <r>
      <rPr>
        <sz val="6.5"/>
        <rFont val="Arial"/>
        <family val="2"/>
      </rPr>
      <t>inch</t>
    </r>
    <r>
      <rPr>
        <sz val="6.5"/>
        <rFont val="Times New Roman"/>
        <family val="1"/>
      </rPr>
      <t xml:space="preserve"> </t>
    </r>
    <r>
      <rPr>
        <sz val="6.5"/>
        <rFont val="Arial"/>
        <family val="2"/>
      </rPr>
      <t>bituminous</t>
    </r>
    <r>
      <rPr>
        <sz val="6.5"/>
        <rFont val="Times New Roman"/>
        <family val="1"/>
      </rPr>
      <t xml:space="preserve"> </t>
    </r>
    <r>
      <rPr>
        <sz val="6.5"/>
        <rFont val="Arial"/>
        <family val="2"/>
      </rPr>
      <t>pavement,12</t>
    </r>
    <r>
      <rPr>
        <sz val="6.5"/>
        <rFont val="Times New Roman"/>
        <family val="1"/>
      </rPr>
      <t xml:space="preserve"> </t>
    </r>
    <r>
      <rPr>
        <sz val="6.5"/>
        <rFont val="Arial"/>
        <family val="2"/>
      </rPr>
      <t>inch</t>
    </r>
    <r>
      <rPr>
        <sz val="6.5"/>
        <rFont val="Times New Roman"/>
        <family val="1"/>
      </rPr>
      <t xml:space="preserve"> </t>
    </r>
    <r>
      <rPr>
        <sz val="6.5"/>
        <rFont val="Arial"/>
        <family val="2"/>
      </rPr>
      <t>aggregate</t>
    </r>
    <r>
      <rPr>
        <sz val="6.5"/>
        <rFont val="Times New Roman"/>
        <family val="1"/>
      </rPr>
      <t xml:space="preserve"> </t>
    </r>
    <r>
      <rPr>
        <sz val="6.5"/>
        <rFont val="Arial"/>
        <family val="2"/>
      </rPr>
      <t>base,</t>
    </r>
    <r>
      <rPr>
        <sz val="6.5"/>
        <rFont val="Times New Roman"/>
        <family val="1"/>
      </rPr>
      <t xml:space="preserve"> </t>
    </r>
    <r>
      <rPr>
        <sz val="6.5"/>
        <rFont val="Arial"/>
        <family val="2"/>
      </rPr>
      <t>and</t>
    </r>
    <r>
      <rPr>
        <sz val="6.5"/>
        <rFont val="Times New Roman"/>
        <family val="1"/>
      </rPr>
      <t xml:space="preserve"> </t>
    </r>
    <r>
      <rPr>
        <sz val="6.5"/>
        <rFont val="Arial"/>
        <family val="2"/>
      </rPr>
      <t>24</t>
    </r>
    <r>
      <rPr>
        <sz val="6.5"/>
        <rFont val="Times New Roman"/>
        <family val="1"/>
      </rPr>
      <t xml:space="preserve"> </t>
    </r>
    <r>
      <rPr>
        <sz val="6.5"/>
        <rFont val="Arial"/>
        <family val="2"/>
      </rPr>
      <t>inch</t>
    </r>
    <r>
      <rPr>
        <sz val="6.5"/>
        <rFont val="Times New Roman"/>
        <family val="1"/>
      </rPr>
      <t xml:space="preserve"> </t>
    </r>
    <r>
      <rPr>
        <sz val="6.5"/>
        <rFont val="Arial"/>
        <family val="2"/>
      </rPr>
      <t>sand.</t>
    </r>
  </si>
  <si>
    <r>
      <rPr>
        <sz val="6.5"/>
        <rFont val="Arial"/>
        <family val="2"/>
      </rPr>
      <t>2.</t>
    </r>
    <r>
      <rPr>
        <sz val="6.5"/>
        <rFont val="Times New Roman"/>
        <family val="1"/>
      </rPr>
      <t xml:space="preserve">            </t>
    </r>
    <r>
      <rPr>
        <sz val="6.5"/>
        <rFont val="Arial"/>
        <family val="2"/>
      </rPr>
      <t>Includes</t>
    </r>
    <r>
      <rPr>
        <sz val="6.5"/>
        <rFont val="Times New Roman"/>
        <family val="1"/>
      </rPr>
      <t xml:space="preserve"> </t>
    </r>
    <r>
      <rPr>
        <sz val="6.5"/>
        <rFont val="Arial"/>
        <family val="2"/>
      </rPr>
      <t>wire,</t>
    </r>
    <r>
      <rPr>
        <sz val="6.5"/>
        <rFont val="Times New Roman"/>
        <family val="1"/>
      </rPr>
      <t xml:space="preserve"> </t>
    </r>
    <r>
      <rPr>
        <sz val="6.5"/>
        <rFont val="Arial"/>
        <family val="2"/>
      </rPr>
      <t>conduit,</t>
    </r>
    <r>
      <rPr>
        <sz val="6.5"/>
        <rFont val="Times New Roman"/>
        <family val="1"/>
      </rPr>
      <t xml:space="preserve"> </t>
    </r>
    <r>
      <rPr>
        <sz val="6.5"/>
        <rFont val="Arial"/>
        <family val="2"/>
      </rPr>
      <t>source</t>
    </r>
    <r>
      <rPr>
        <sz val="6.5"/>
        <rFont val="Times New Roman"/>
        <family val="1"/>
      </rPr>
      <t xml:space="preserve"> </t>
    </r>
    <r>
      <rPr>
        <sz val="6.5"/>
        <rFont val="Arial"/>
        <family val="2"/>
      </rPr>
      <t>of</t>
    </r>
    <r>
      <rPr>
        <sz val="6.5"/>
        <rFont val="Times New Roman"/>
        <family val="1"/>
      </rPr>
      <t xml:space="preserve"> </t>
    </r>
    <r>
      <rPr>
        <sz val="6.5"/>
        <rFont val="Arial"/>
        <family val="2"/>
      </rPr>
      <t>power,</t>
    </r>
    <r>
      <rPr>
        <sz val="6.5"/>
        <rFont val="Times New Roman"/>
        <family val="1"/>
      </rPr>
      <t xml:space="preserve"> </t>
    </r>
    <r>
      <rPr>
        <sz val="6.5"/>
        <rFont val="Arial"/>
        <family val="2"/>
      </rPr>
      <t>base,</t>
    </r>
    <r>
      <rPr>
        <sz val="6.5"/>
        <rFont val="Times New Roman"/>
        <family val="1"/>
      </rPr>
      <t xml:space="preserve"> </t>
    </r>
    <r>
      <rPr>
        <sz val="6.5"/>
        <rFont val="Arial"/>
        <family val="2"/>
      </rPr>
      <t>etc.</t>
    </r>
    <r>
      <rPr>
        <sz val="6.5"/>
        <rFont val="Times New Roman"/>
        <family val="1"/>
      </rPr>
      <t xml:space="preserve"> </t>
    </r>
    <r>
      <rPr>
        <sz val="6.5"/>
        <rFont val="Arial"/>
        <family val="2"/>
      </rPr>
      <t>Assuming</t>
    </r>
    <r>
      <rPr>
        <sz val="6.5"/>
        <rFont val="Times New Roman"/>
        <family val="1"/>
      </rPr>
      <t xml:space="preserve"> </t>
    </r>
    <r>
      <rPr>
        <sz val="6.5"/>
        <rFont val="Arial"/>
        <family val="2"/>
      </rPr>
      <t>MnDOTs</t>
    </r>
    <r>
      <rPr>
        <sz val="6.5"/>
        <rFont val="Times New Roman"/>
        <family val="1"/>
      </rPr>
      <t xml:space="preserve"> </t>
    </r>
    <r>
      <rPr>
        <sz val="6.5"/>
        <rFont val="Arial"/>
        <family val="2"/>
      </rPr>
      <t>LED-40</t>
    </r>
    <r>
      <rPr>
        <sz val="6.5"/>
        <rFont val="Times New Roman"/>
        <family val="1"/>
      </rPr>
      <t xml:space="preserve"> </t>
    </r>
    <r>
      <rPr>
        <sz val="6.5"/>
        <rFont val="Arial"/>
        <family val="2"/>
      </rPr>
      <t>foot</t>
    </r>
    <r>
      <rPr>
        <sz val="6.5"/>
        <rFont val="Times New Roman"/>
        <family val="1"/>
      </rPr>
      <t xml:space="preserve"> </t>
    </r>
    <r>
      <rPr>
        <sz val="6.5"/>
        <rFont val="Arial"/>
        <family val="2"/>
      </rPr>
      <t>standard</t>
    </r>
    <r>
      <rPr>
        <sz val="6.5"/>
        <rFont val="Times New Roman"/>
        <family val="1"/>
      </rPr>
      <t xml:space="preserve"> </t>
    </r>
    <r>
      <rPr>
        <sz val="6.5"/>
        <rFont val="Arial"/>
        <family val="2"/>
      </rPr>
      <t>poles</t>
    </r>
    <r>
      <rPr>
        <sz val="6.5"/>
        <rFont val="Times New Roman"/>
        <family val="1"/>
      </rPr>
      <t xml:space="preserve"> </t>
    </r>
    <r>
      <rPr>
        <sz val="6.5"/>
        <rFont val="Arial"/>
        <family val="2"/>
      </rPr>
      <t>for</t>
    </r>
    <r>
      <rPr>
        <sz val="6.5"/>
        <rFont val="Times New Roman"/>
        <family val="1"/>
      </rPr>
      <t xml:space="preserve"> </t>
    </r>
    <r>
      <rPr>
        <sz val="6.5"/>
        <rFont val="Arial"/>
        <family val="2"/>
      </rPr>
      <t>both</t>
    </r>
    <r>
      <rPr>
        <sz val="6.5"/>
        <rFont val="Times New Roman"/>
        <family val="1"/>
      </rPr>
      <t xml:space="preserve"> </t>
    </r>
    <r>
      <rPr>
        <sz val="6.5"/>
        <rFont val="Arial"/>
        <family val="2"/>
      </rPr>
      <t>intersection</t>
    </r>
    <r>
      <rPr>
        <sz val="6.5"/>
        <rFont val="Times New Roman"/>
        <family val="1"/>
      </rPr>
      <t xml:space="preserve"> </t>
    </r>
    <r>
      <rPr>
        <sz val="6.5"/>
        <rFont val="Arial"/>
        <family val="2"/>
      </rPr>
      <t>and</t>
    </r>
    <r>
      <rPr>
        <sz val="6.5"/>
        <rFont val="Times New Roman"/>
        <family val="1"/>
      </rPr>
      <t xml:space="preserve"> </t>
    </r>
    <r>
      <rPr>
        <sz val="6.5"/>
        <rFont val="Arial"/>
        <family val="2"/>
      </rPr>
      <t>interchange</t>
    </r>
    <r>
      <rPr>
        <sz val="6.5"/>
        <rFont val="Times New Roman"/>
        <family val="1"/>
      </rPr>
      <t xml:space="preserve"> </t>
    </r>
    <r>
      <rPr>
        <sz val="6.5"/>
        <rFont val="Arial"/>
        <family val="2"/>
      </rPr>
      <t>lighting</t>
    </r>
  </si>
  <si>
    <r>
      <rPr>
        <vertAlign val="superscript"/>
        <sz val="6.5"/>
        <rFont val="Arial"/>
        <family val="2"/>
      </rPr>
      <t>3.</t>
    </r>
    <r>
      <rPr>
        <vertAlign val="superscript"/>
        <sz val="6.5"/>
        <rFont val="Times New Roman"/>
        <family val="1"/>
      </rPr>
      <t xml:space="preserve">            </t>
    </r>
    <r>
      <rPr>
        <sz val="6.5"/>
        <rFont val="Arial"/>
        <family val="2"/>
      </rPr>
      <t>Trail</t>
    </r>
    <r>
      <rPr>
        <sz val="6.5"/>
        <rFont val="Times New Roman"/>
        <family val="1"/>
      </rPr>
      <t xml:space="preserve"> </t>
    </r>
    <r>
      <rPr>
        <sz val="6.5"/>
        <rFont val="Arial"/>
        <family val="2"/>
      </rPr>
      <t>section</t>
    </r>
    <r>
      <rPr>
        <sz val="6.5"/>
        <rFont val="Times New Roman"/>
        <family val="1"/>
      </rPr>
      <t xml:space="preserve"> </t>
    </r>
    <r>
      <rPr>
        <sz val="6.5"/>
        <rFont val="Arial"/>
        <family val="2"/>
      </rPr>
      <t>assumed</t>
    </r>
    <r>
      <rPr>
        <sz val="6.5"/>
        <rFont val="Times New Roman"/>
        <family val="1"/>
      </rPr>
      <t xml:space="preserve"> </t>
    </r>
    <r>
      <rPr>
        <sz val="6.5"/>
        <rFont val="Arial"/>
        <family val="2"/>
      </rPr>
      <t>to</t>
    </r>
    <r>
      <rPr>
        <sz val="6.5"/>
        <rFont val="Times New Roman"/>
        <family val="1"/>
      </rPr>
      <t xml:space="preserve"> </t>
    </r>
    <r>
      <rPr>
        <sz val="6.5"/>
        <rFont val="Arial"/>
        <family val="2"/>
      </rPr>
      <t>be</t>
    </r>
    <r>
      <rPr>
        <sz val="6.5"/>
        <rFont val="Times New Roman"/>
        <family val="1"/>
      </rPr>
      <t xml:space="preserve"> </t>
    </r>
    <r>
      <rPr>
        <sz val="6.5"/>
        <rFont val="Arial"/>
        <family val="2"/>
      </rPr>
      <t>3</t>
    </r>
    <r>
      <rPr>
        <sz val="6.5"/>
        <rFont val="Times New Roman"/>
        <family val="1"/>
      </rPr>
      <t xml:space="preserve"> </t>
    </r>
    <r>
      <rPr>
        <sz val="6.5"/>
        <rFont val="Arial"/>
        <family val="2"/>
      </rPr>
      <t>inch</t>
    </r>
    <r>
      <rPr>
        <sz val="6.5"/>
        <rFont val="Times New Roman"/>
        <family val="1"/>
      </rPr>
      <t xml:space="preserve"> </t>
    </r>
    <r>
      <rPr>
        <sz val="6.5"/>
        <rFont val="Arial"/>
        <family val="2"/>
      </rPr>
      <t>bituminous</t>
    </r>
    <r>
      <rPr>
        <sz val="6.5"/>
        <rFont val="Times New Roman"/>
        <family val="1"/>
      </rPr>
      <t xml:space="preserve"> </t>
    </r>
    <r>
      <rPr>
        <sz val="6.5"/>
        <rFont val="Arial"/>
        <family val="2"/>
      </rPr>
      <t>pavement,</t>
    </r>
    <r>
      <rPr>
        <sz val="6.5"/>
        <rFont val="Times New Roman"/>
        <family val="1"/>
      </rPr>
      <t xml:space="preserve"> </t>
    </r>
    <r>
      <rPr>
        <sz val="6.5"/>
        <rFont val="Arial"/>
        <family val="2"/>
      </rPr>
      <t>4</t>
    </r>
    <r>
      <rPr>
        <sz val="6.5"/>
        <rFont val="Times New Roman"/>
        <family val="1"/>
      </rPr>
      <t xml:space="preserve"> </t>
    </r>
    <r>
      <rPr>
        <sz val="6.5"/>
        <rFont val="Arial"/>
        <family val="2"/>
      </rPr>
      <t>inch</t>
    </r>
    <r>
      <rPr>
        <sz val="6.5"/>
        <rFont val="Times New Roman"/>
        <family val="1"/>
      </rPr>
      <t xml:space="preserve"> </t>
    </r>
    <r>
      <rPr>
        <sz val="6.5"/>
        <rFont val="Arial"/>
        <family val="2"/>
      </rPr>
      <t>aggregate</t>
    </r>
    <r>
      <rPr>
        <sz val="6.5"/>
        <rFont val="Times New Roman"/>
        <family val="1"/>
      </rPr>
      <t xml:space="preserve"> </t>
    </r>
    <r>
      <rPr>
        <sz val="6.5"/>
        <rFont val="Arial"/>
        <family val="2"/>
      </rPr>
      <t>base</t>
    </r>
  </si>
  <si>
    <r>
      <rPr>
        <sz val="6.5"/>
        <rFont val="Arial"/>
        <family val="2"/>
      </rPr>
      <t>Assumed</t>
    </r>
    <r>
      <rPr>
        <sz val="6.5"/>
        <rFont val="Times New Roman"/>
        <family val="1"/>
      </rPr>
      <t xml:space="preserve"> </t>
    </r>
    <r>
      <rPr>
        <sz val="6.5"/>
        <rFont val="Arial"/>
        <family val="2"/>
      </rPr>
      <t>pavement</t>
    </r>
    <r>
      <rPr>
        <sz val="6.5"/>
        <rFont val="Times New Roman"/>
        <family val="1"/>
      </rPr>
      <t xml:space="preserve"> </t>
    </r>
    <r>
      <rPr>
        <sz val="6.5"/>
        <rFont val="Arial"/>
        <family val="2"/>
      </rPr>
      <t>structure</t>
    </r>
    <r>
      <rPr>
        <sz val="6.5"/>
        <rFont val="Times New Roman"/>
        <family val="1"/>
      </rPr>
      <t xml:space="preserve"> </t>
    </r>
    <r>
      <rPr>
        <sz val="6.5"/>
        <rFont val="Arial"/>
        <family val="2"/>
      </rPr>
      <t>for</t>
    </r>
    <r>
      <rPr>
        <sz val="6.5"/>
        <rFont val="Times New Roman"/>
        <family val="1"/>
      </rPr>
      <t xml:space="preserve"> </t>
    </r>
    <r>
      <rPr>
        <sz val="6.5"/>
        <rFont val="Arial"/>
        <family val="2"/>
      </rPr>
      <t>mainline,</t>
    </r>
    <r>
      <rPr>
        <sz val="6.5"/>
        <rFont val="Times New Roman"/>
        <family val="1"/>
      </rPr>
      <t xml:space="preserve"> </t>
    </r>
    <r>
      <rPr>
        <sz val="6.5"/>
        <rFont val="Arial"/>
        <family val="2"/>
      </rPr>
      <t>ramps,</t>
    </r>
    <r>
      <rPr>
        <sz val="6.5"/>
        <rFont val="Times New Roman"/>
        <family val="1"/>
      </rPr>
      <t xml:space="preserve"> </t>
    </r>
    <r>
      <rPr>
        <sz val="6.5"/>
        <rFont val="Arial"/>
        <family val="2"/>
      </rPr>
      <t>and</t>
    </r>
    <r>
      <rPr>
        <sz val="6.5"/>
        <rFont val="Times New Roman"/>
        <family val="1"/>
      </rPr>
      <t xml:space="preserve"> </t>
    </r>
    <r>
      <rPr>
        <sz val="6.5"/>
        <rFont val="Arial"/>
        <family val="2"/>
      </rPr>
      <t>CSAH</t>
    </r>
    <r>
      <rPr>
        <sz val="6.5"/>
        <rFont val="Times New Roman"/>
        <family val="1"/>
      </rPr>
      <t xml:space="preserve"> </t>
    </r>
    <r>
      <rPr>
        <sz val="6.5"/>
        <rFont val="Arial"/>
        <family val="2"/>
      </rPr>
      <t>4</t>
    </r>
    <r>
      <rPr>
        <sz val="6.5"/>
        <rFont val="Times New Roman"/>
        <family val="1"/>
      </rPr>
      <t xml:space="preserve"> </t>
    </r>
    <r>
      <rPr>
        <sz val="6.5"/>
        <rFont val="Arial"/>
        <family val="2"/>
      </rPr>
      <t>is</t>
    </r>
    <r>
      <rPr>
        <sz val="6.5"/>
        <rFont val="Times New Roman"/>
        <family val="1"/>
      </rPr>
      <t xml:space="preserve"> </t>
    </r>
    <r>
      <rPr>
        <sz val="6.5"/>
        <rFont val="Arial"/>
        <family val="2"/>
      </rPr>
      <t>10</t>
    </r>
    <r>
      <rPr>
        <sz val="6.5"/>
        <rFont val="Times New Roman"/>
        <family val="1"/>
      </rPr>
      <t xml:space="preserve"> </t>
    </r>
    <r>
      <rPr>
        <sz val="6.5"/>
        <rFont val="Arial"/>
        <family val="2"/>
      </rPr>
      <t>inches</t>
    </r>
    <r>
      <rPr>
        <sz val="6.5"/>
        <rFont val="Times New Roman"/>
        <family val="1"/>
      </rPr>
      <t xml:space="preserve"> </t>
    </r>
    <r>
      <rPr>
        <sz val="6.5"/>
        <rFont val="Arial"/>
        <family val="2"/>
      </rPr>
      <t>bit,</t>
    </r>
    <r>
      <rPr>
        <sz val="6.5"/>
        <rFont val="Times New Roman"/>
        <family val="1"/>
      </rPr>
      <t xml:space="preserve"> </t>
    </r>
    <r>
      <rPr>
        <sz val="6.5"/>
        <rFont val="Arial"/>
        <family val="2"/>
      </rPr>
      <t>12</t>
    </r>
    <r>
      <rPr>
        <sz val="6.5"/>
        <rFont val="Times New Roman"/>
        <family val="1"/>
      </rPr>
      <t xml:space="preserve"> </t>
    </r>
    <r>
      <rPr>
        <sz val="6.5"/>
        <rFont val="Arial"/>
        <family val="2"/>
      </rPr>
      <t>inches</t>
    </r>
    <r>
      <rPr>
        <sz val="6.5"/>
        <rFont val="Times New Roman"/>
        <family val="1"/>
      </rPr>
      <t xml:space="preserve"> </t>
    </r>
    <r>
      <rPr>
        <sz val="6.5"/>
        <rFont val="Arial"/>
        <family val="2"/>
      </rPr>
      <t>agg,</t>
    </r>
    <r>
      <rPr>
        <sz val="6.5"/>
        <rFont val="Times New Roman"/>
        <family val="1"/>
      </rPr>
      <t xml:space="preserve"> </t>
    </r>
    <r>
      <rPr>
        <sz val="6.5"/>
        <rFont val="Arial"/>
        <family val="2"/>
      </rPr>
      <t>24</t>
    </r>
    <r>
      <rPr>
        <sz val="6.5"/>
        <rFont val="Times New Roman"/>
        <family val="1"/>
      </rPr>
      <t xml:space="preserve"> </t>
    </r>
    <r>
      <rPr>
        <sz val="6.5"/>
        <rFont val="Arial"/>
        <family val="2"/>
      </rPr>
      <t>inches</t>
    </r>
    <r>
      <rPr>
        <sz val="6.5"/>
        <rFont val="Times New Roman"/>
        <family val="1"/>
      </rPr>
      <t xml:space="preserve"> </t>
    </r>
    <r>
      <rPr>
        <sz val="6.5"/>
        <rFont val="Arial"/>
        <family val="2"/>
      </rPr>
      <t>sand</t>
    </r>
    <r>
      <rPr>
        <sz val="6.5"/>
        <rFont val="Times New Roman"/>
        <family val="1"/>
      </rPr>
      <t xml:space="preserve"> </t>
    </r>
    <r>
      <rPr>
        <sz val="6.5"/>
        <rFont val="Arial"/>
        <family val="2"/>
      </rPr>
      <t>Assumes</t>
    </r>
    <r>
      <rPr>
        <sz val="6.5"/>
        <rFont val="Times New Roman"/>
        <family val="1"/>
      </rPr>
      <t xml:space="preserve"> </t>
    </r>
    <r>
      <rPr>
        <sz val="6.5"/>
        <rFont val="Arial"/>
        <family val="2"/>
      </rPr>
      <t>reconstruction</t>
    </r>
    <r>
      <rPr>
        <sz val="6.5"/>
        <rFont val="Times New Roman"/>
        <family val="1"/>
      </rPr>
      <t xml:space="preserve"> </t>
    </r>
    <r>
      <rPr>
        <sz val="6.5"/>
        <rFont val="Arial"/>
        <family val="2"/>
      </rPr>
      <t>of</t>
    </r>
    <r>
      <rPr>
        <sz val="6.5"/>
        <rFont val="Times New Roman"/>
        <family val="1"/>
      </rPr>
      <t xml:space="preserve"> </t>
    </r>
    <r>
      <rPr>
        <sz val="6.5"/>
        <rFont val="Arial"/>
        <family val="2"/>
      </rPr>
      <t>CSAH</t>
    </r>
    <r>
      <rPr>
        <sz val="6.5"/>
        <rFont val="Times New Roman"/>
        <family val="1"/>
      </rPr>
      <t xml:space="preserve"> </t>
    </r>
    <r>
      <rPr>
        <sz val="6.5"/>
        <rFont val="Arial"/>
        <family val="2"/>
      </rPr>
      <t>4</t>
    </r>
    <r>
      <rPr>
        <sz val="6.5"/>
        <rFont val="Times New Roman"/>
        <family val="1"/>
      </rPr>
      <t xml:space="preserve"> </t>
    </r>
    <r>
      <rPr>
        <sz val="6.5"/>
        <rFont val="Arial"/>
        <family val="2"/>
      </rPr>
      <t>from</t>
    </r>
    <r>
      <rPr>
        <sz val="6.5"/>
        <rFont val="Times New Roman"/>
        <family val="1"/>
      </rPr>
      <t xml:space="preserve"> </t>
    </r>
    <r>
      <rPr>
        <sz val="6.5"/>
        <rFont val="Arial"/>
        <family val="2"/>
      </rPr>
      <t>west</t>
    </r>
    <r>
      <rPr>
        <sz val="6.5"/>
        <rFont val="Times New Roman"/>
        <family val="1"/>
      </rPr>
      <t xml:space="preserve"> </t>
    </r>
    <r>
      <rPr>
        <sz val="6.5"/>
        <rFont val="Arial"/>
        <family val="2"/>
      </rPr>
      <t>of</t>
    </r>
    <r>
      <rPr>
        <sz val="6.5"/>
        <rFont val="Times New Roman"/>
        <family val="1"/>
      </rPr>
      <t xml:space="preserve"> </t>
    </r>
    <r>
      <rPr>
        <sz val="6.5"/>
        <rFont val="Arial"/>
        <family val="2"/>
      </rPr>
      <t>2nd</t>
    </r>
    <r>
      <rPr>
        <sz val="6.5"/>
        <rFont val="Times New Roman"/>
        <family val="1"/>
      </rPr>
      <t xml:space="preserve"> </t>
    </r>
    <r>
      <rPr>
        <sz val="6.5"/>
        <rFont val="Arial"/>
        <family val="2"/>
      </rPr>
      <t>Street</t>
    </r>
    <r>
      <rPr>
        <sz val="6.5"/>
        <rFont val="Times New Roman"/>
        <family val="1"/>
      </rPr>
      <t xml:space="preserve"> </t>
    </r>
    <r>
      <rPr>
        <sz val="6.5"/>
        <rFont val="Arial"/>
        <family val="2"/>
      </rPr>
      <t>to</t>
    </r>
    <r>
      <rPr>
        <sz val="6.5"/>
        <rFont val="Times New Roman"/>
        <family val="1"/>
      </rPr>
      <t xml:space="preserve"> </t>
    </r>
    <r>
      <rPr>
        <sz val="6.5"/>
        <rFont val="Arial"/>
        <family val="2"/>
      </rPr>
      <t>east</t>
    </r>
    <r>
      <rPr>
        <sz val="6.5"/>
        <rFont val="Times New Roman"/>
        <family val="1"/>
      </rPr>
      <t xml:space="preserve"> </t>
    </r>
    <r>
      <rPr>
        <sz val="6.5"/>
        <rFont val="Arial"/>
        <family val="2"/>
      </rPr>
      <t>of</t>
    </r>
    <r>
      <rPr>
        <sz val="6.5"/>
        <rFont val="Times New Roman"/>
        <family val="1"/>
      </rPr>
      <t xml:space="preserve"> </t>
    </r>
    <r>
      <rPr>
        <sz val="6.5"/>
        <rFont val="Arial"/>
        <family val="2"/>
      </rPr>
      <t>TH</t>
    </r>
    <r>
      <rPr>
        <sz val="6.5"/>
        <rFont val="Times New Roman"/>
        <family val="1"/>
      </rPr>
      <t xml:space="preserve"> </t>
    </r>
    <r>
      <rPr>
        <sz val="6.5"/>
        <rFont val="Arial"/>
        <family val="2"/>
      </rPr>
      <t>169</t>
    </r>
  </si>
  <si>
    <r>
      <rPr>
        <sz val="6.5"/>
        <rFont val="Arial"/>
        <family val="2"/>
      </rPr>
      <t>Assumes</t>
    </r>
    <r>
      <rPr>
        <sz val="6.5"/>
        <rFont val="Times New Roman"/>
        <family val="1"/>
      </rPr>
      <t xml:space="preserve"> </t>
    </r>
    <r>
      <rPr>
        <sz val="6.5"/>
        <rFont val="Arial"/>
        <family val="2"/>
      </rPr>
      <t>access</t>
    </r>
    <r>
      <rPr>
        <sz val="6.5"/>
        <rFont val="Times New Roman"/>
        <family val="1"/>
      </rPr>
      <t xml:space="preserve"> </t>
    </r>
    <r>
      <rPr>
        <sz val="6.5"/>
        <rFont val="Arial"/>
        <family val="2"/>
      </rPr>
      <t>closures</t>
    </r>
    <r>
      <rPr>
        <sz val="6.5"/>
        <rFont val="Times New Roman"/>
        <family val="1"/>
      </rPr>
      <t xml:space="preserve"> </t>
    </r>
    <r>
      <rPr>
        <sz val="6.5"/>
        <rFont val="Arial"/>
        <family val="2"/>
      </rPr>
      <t>at</t>
    </r>
    <r>
      <rPr>
        <sz val="6.5"/>
        <rFont val="Times New Roman"/>
        <family val="1"/>
      </rPr>
      <t xml:space="preserve"> </t>
    </r>
    <r>
      <rPr>
        <sz val="6.5"/>
        <rFont val="Arial"/>
        <family val="2"/>
      </rPr>
      <t>Oak</t>
    </r>
    <r>
      <rPr>
        <sz val="6.5"/>
        <rFont val="Times New Roman"/>
        <family val="1"/>
      </rPr>
      <t xml:space="preserve"> </t>
    </r>
    <r>
      <rPr>
        <sz val="6.5"/>
        <rFont val="Arial"/>
        <family val="2"/>
      </rPr>
      <t>Street,</t>
    </r>
    <r>
      <rPr>
        <sz val="6.5"/>
        <rFont val="Times New Roman"/>
        <family val="1"/>
      </rPr>
      <t xml:space="preserve"> </t>
    </r>
    <r>
      <rPr>
        <sz val="6.5"/>
        <rFont val="Arial"/>
        <family val="2"/>
      </rPr>
      <t>5th</t>
    </r>
    <r>
      <rPr>
        <sz val="6.5"/>
        <rFont val="Times New Roman"/>
        <family val="1"/>
      </rPr>
      <t xml:space="preserve"> </t>
    </r>
    <r>
      <rPr>
        <sz val="6.5"/>
        <rFont val="Arial"/>
        <family val="2"/>
      </rPr>
      <t>Ave,</t>
    </r>
    <r>
      <rPr>
        <sz val="6.5"/>
        <rFont val="Times New Roman"/>
        <family val="1"/>
      </rPr>
      <t xml:space="preserve"> </t>
    </r>
    <r>
      <rPr>
        <sz val="6.5"/>
        <rFont val="Arial"/>
        <family val="2"/>
      </rPr>
      <t>Gateway</t>
    </r>
    <r>
      <rPr>
        <sz val="6.5"/>
        <rFont val="Times New Roman"/>
        <family val="1"/>
      </rPr>
      <t xml:space="preserve"> </t>
    </r>
    <r>
      <rPr>
        <sz val="6.5"/>
        <rFont val="Arial"/>
        <family val="2"/>
      </rPr>
      <t>Dr.,</t>
    </r>
    <r>
      <rPr>
        <sz val="6.5"/>
        <rFont val="Times New Roman"/>
        <family val="1"/>
      </rPr>
      <t xml:space="preserve"> </t>
    </r>
    <r>
      <rPr>
        <sz val="6.5"/>
        <rFont val="Arial"/>
        <family val="2"/>
      </rPr>
      <t>and</t>
    </r>
    <r>
      <rPr>
        <sz val="6.5"/>
        <rFont val="Times New Roman"/>
        <family val="1"/>
      </rPr>
      <t xml:space="preserve"> </t>
    </r>
    <r>
      <rPr>
        <sz val="6.5"/>
        <rFont val="Arial"/>
        <family val="2"/>
      </rPr>
      <t>Main</t>
    </r>
    <r>
      <rPr>
        <sz val="6.5"/>
        <rFont val="Times New Roman"/>
        <family val="1"/>
      </rPr>
      <t xml:space="preserve"> </t>
    </r>
    <r>
      <rPr>
        <sz val="6.5"/>
        <rFont val="Arial"/>
        <family val="2"/>
      </rPr>
      <t>Street</t>
    </r>
  </si>
  <si>
    <r>
      <rPr>
        <sz val="6.5"/>
        <rFont val="Arial"/>
        <family val="2"/>
      </rPr>
      <t>Assumes</t>
    </r>
    <r>
      <rPr>
        <sz val="6.5"/>
        <rFont val="Times New Roman"/>
        <family val="1"/>
      </rPr>
      <t xml:space="preserve"> </t>
    </r>
    <r>
      <rPr>
        <sz val="6.5"/>
        <rFont val="Arial"/>
        <family val="2"/>
      </rPr>
      <t>footprint</t>
    </r>
    <r>
      <rPr>
        <sz val="6.5"/>
        <rFont val="Times New Roman"/>
        <family val="1"/>
      </rPr>
      <t xml:space="preserve"> </t>
    </r>
    <r>
      <rPr>
        <sz val="6.5"/>
        <rFont val="Arial"/>
        <family val="2"/>
      </rPr>
      <t>stays</t>
    </r>
    <r>
      <rPr>
        <sz val="6.5"/>
        <rFont val="Times New Roman"/>
        <family val="1"/>
      </rPr>
      <t xml:space="preserve"> </t>
    </r>
    <r>
      <rPr>
        <sz val="6.5"/>
        <rFont val="Arial"/>
        <family val="2"/>
      </rPr>
      <t>within</t>
    </r>
    <r>
      <rPr>
        <sz val="6.5"/>
        <rFont val="Times New Roman"/>
        <family val="1"/>
      </rPr>
      <t xml:space="preserve"> </t>
    </r>
    <r>
      <rPr>
        <sz val="6.5"/>
        <rFont val="Arial"/>
        <family val="2"/>
      </rPr>
      <t>existing</t>
    </r>
    <r>
      <rPr>
        <sz val="6.5"/>
        <rFont val="Times New Roman"/>
        <family val="1"/>
      </rPr>
      <t xml:space="preserve"> </t>
    </r>
    <r>
      <rPr>
        <sz val="6.5"/>
        <rFont val="Arial"/>
        <family val="2"/>
      </rPr>
      <t>right</t>
    </r>
    <r>
      <rPr>
        <sz val="6.5"/>
        <rFont val="Times New Roman"/>
        <family val="1"/>
      </rPr>
      <t xml:space="preserve"> </t>
    </r>
    <r>
      <rPr>
        <sz val="6.5"/>
        <rFont val="Arial"/>
        <family val="2"/>
      </rPr>
      <t>of</t>
    </r>
    <r>
      <rPr>
        <sz val="6.5"/>
        <rFont val="Times New Roman"/>
        <family val="1"/>
      </rPr>
      <t xml:space="preserve"> </t>
    </r>
    <r>
      <rPr>
        <sz val="6.5"/>
        <rFont val="Arial"/>
        <family val="2"/>
      </rPr>
      <t>way</t>
    </r>
  </si>
  <si>
    <r>
      <rPr>
        <sz val="5.5"/>
        <rFont val="Arial"/>
        <family val="2"/>
      </rPr>
      <t>H:\SHERBURN_CO_MN\0T4126573\2_Preliminary\A_Calculations\Prelim</t>
    </r>
    <r>
      <rPr>
        <sz val="5.5"/>
        <rFont val="Times New Roman"/>
        <family val="1"/>
      </rPr>
      <t xml:space="preserve"> </t>
    </r>
    <r>
      <rPr>
        <sz val="5.5"/>
        <rFont val="Arial"/>
        <family val="2"/>
      </rPr>
      <t>Estimate\Concept</t>
    </r>
    <r>
      <rPr>
        <sz val="5.5"/>
        <rFont val="Times New Roman"/>
        <family val="1"/>
      </rPr>
      <t xml:space="preserve"> </t>
    </r>
    <r>
      <rPr>
        <sz val="5.5"/>
        <rFont val="Arial"/>
        <family val="2"/>
      </rPr>
      <t>Estimate.xlsx</t>
    </r>
  </si>
  <si>
    <t>Table 1 - KABCO Cost</t>
  </si>
  <si>
    <t>Table 1 - Per-mile Travel Time Cost by Mode</t>
  </si>
  <si>
    <t>Table 2 - Fleet Composition</t>
  </si>
  <si>
    <t>Table 5 - Daily VHT Summary</t>
  </si>
  <si>
    <t>Yearly Operations Savings for Passenger Vehicles
($)</t>
  </si>
  <si>
    <t>Yearly Operations Savings for Commercial Trucks
($)</t>
  </si>
  <si>
    <t>Change in NOx 
(metric tons)</t>
  </si>
  <si>
    <t>Change in NOx 
($)</t>
  </si>
  <si>
    <t>Change in PM
($)</t>
  </si>
  <si>
    <t xml:space="preserve">Yearly Emissions Savings in Current Dollars ($) </t>
  </si>
  <si>
    <t>Table 1 - Pollution Emission by Mode (g/VMT)</t>
  </si>
  <si>
    <t>Table 2 - Damage Costs for Emissions per metric ton</t>
  </si>
  <si>
    <t>Base Capital Cost in Constant Dollars</t>
  </si>
  <si>
    <t>Base RCV in Constant Dollars (7%)</t>
  </si>
  <si>
    <t>Factor</t>
  </si>
  <si>
    <t>Annual Bridge Inspection Costs</t>
  </si>
  <si>
    <t>Annual Water Quality Savings</t>
  </si>
  <si>
    <t>Change in PM
(metric tons)</t>
  </si>
  <si>
    <r>
      <t>Change in SO</t>
    </r>
    <r>
      <rPr>
        <vertAlign val="subscript"/>
        <sz val="9"/>
        <color theme="1"/>
        <rFont val="Calibri"/>
        <family val="2"/>
        <scheme val="minor"/>
      </rPr>
      <t>2</t>
    </r>
    <r>
      <rPr>
        <sz val="9"/>
        <color theme="1"/>
        <rFont val="Calibri"/>
        <family val="2"/>
        <scheme val="minor"/>
      </rPr>
      <t xml:space="preserve">
(metric tons)</t>
    </r>
  </si>
  <si>
    <r>
      <t>Change in SO</t>
    </r>
    <r>
      <rPr>
        <vertAlign val="subscript"/>
        <sz val="9"/>
        <color theme="1"/>
        <rFont val="Calibri"/>
        <family val="2"/>
        <scheme val="minor"/>
      </rPr>
      <t>2</t>
    </r>
    <r>
      <rPr>
        <sz val="9"/>
        <color theme="1"/>
        <rFont val="Calibri"/>
        <family val="2"/>
        <scheme val="minor"/>
      </rPr>
      <t xml:space="preserve">
($)</t>
    </r>
  </si>
  <si>
    <t>Yearly Emissions Savings - Carbon in Current Dollars ($)</t>
  </si>
  <si>
    <t xml:space="preserve">Vehicle occupancy ratios were obtained from Benefit-Cost Analysis Guidance for Discretionary Grant Programs: March 2022: https://www.transportation.gov/sites/dot.gov/files/2022-03/Benefit%20Cost%20Analysis%20Guidance%202022%20%28Revised%29.pdf </t>
  </si>
  <si>
    <t>Change in VMT Equivalents</t>
  </si>
  <si>
    <t>Inflation from year 2008 dollars to year 2020 $</t>
  </si>
  <si>
    <t>SE Ramp</t>
  </si>
  <si>
    <t>NE Ramp</t>
  </si>
  <si>
    <t>NW Ramp</t>
  </si>
  <si>
    <t>This analysis assumed that construction would take place over a two-year period and be completed in 2024. Initial capital costs were discounted back to year 2020 dollars to determine present value.</t>
  </si>
  <si>
    <r>
      <t xml:space="preserve">Remaining capital value factors were calculated using a 7 percent discount rate. These were calculated by following guidance provided in </t>
    </r>
    <r>
      <rPr>
        <i/>
        <sz val="11"/>
        <color theme="1"/>
        <rFont val="Calibri"/>
        <family val="2"/>
        <scheme val="minor"/>
      </rPr>
      <t>Recommended remaining capital value factors for use in benefit-cost analysis in SFY 2022</t>
    </r>
    <r>
      <rPr>
        <sz val="11"/>
        <color theme="1"/>
        <rFont val="Calibri"/>
        <family val="2"/>
        <scheme val="minor"/>
      </rPr>
      <t xml:space="preserve">, Minnesota Department of Transportation, Office of Transportation System Management, July 2021 (http://www.dot.state.mn.us/planning/program/appendix_a.html) (values were adjusted to reflect a 7% discount rate). The equation used to calculate remaining capital factors for each cost category is shown below:
RCV = A*(B-C)/B
where:
A = (1+r)^n
B = ((1+r)^L-1)/(r(1+r)^L)
C = ((1+r)^n-1)/(r(1+r)^n)
and: n = analysis period, r = discount rate, L = service life
</t>
    </r>
  </si>
  <si>
    <t>Changes in VMT equivalents between the No Build and Build Alternatives were estimated based on the change in vehicle idling. It was assumed that time vehicles spend idling would produce wear and tear on the vehicle similar to time moving. The change in intersection delay between No Build and Build conditions was obtained from microsimulation modeling and converted to equivalents of vehicle-miles traveled (VMT) by applying fuel consumption for idling vehicles to average miles per gallon for passenger cars. Similar methods to determine annual travel time changes were applied to determine annual changes in VMT equivalents.</t>
  </si>
  <si>
    <t>The safety benefit was quantified for years 2025 to 2054 using crash cost assumptions for the KABCO scale and are consistent with values and methodologies published in the Benefit Cost Analysis Guidance for Discretionary Grant Programs, dated March 2022.</t>
  </si>
  <si>
    <t>Changes in emissions are expected to be impacted by the time vehicles spend idling at each of the project intersections. The change in intersection delay between No Build and Build conditions was obtained from travel time analysis and converted to equivalents of vehicle-miles traveled (VMT) by applying fuel consumption for idling vehicles to average miles per gallon for passenger cars. The change in VMT equivalents was then applied to emission rates by vehicle type. Average emission rates per vehicle type were obtained from the Environmental Protection Agency’s Motor Vehicle Emission Simulator (MOVES) version 3. Emission rates per vehicle type are provided in the attached BCA Workbook.</t>
  </si>
  <si>
    <t>Routine annual roadway maintenance costs associated with maintaining the additional roadway infrastructure under the Build Alternative were considered in the BCA. An annual maintenance cost of $8,100 per lane mile, which derived from maintenance reports for similar facility types within the Twin Cities metro area, was applied to the length of the new interchange pavement. This maintenance cost included costs associated with striping, snow plowing, minor repairs, and shoulder maintenance. An annual cost of $2,000 was also assumed for inspections of the new bridge in the Build Alternative based on recommendations from the MnDOT Bridge Office.</t>
  </si>
  <si>
    <t>User travel time benefits were valued in accordance with the Benefit-Cost Analysis Guidance for Discretionary Grant Programs - March 2022 (Revised). The recommended values for travel time were provided in year 2020 dollars.</t>
  </si>
  <si>
    <t>Vehicle operational costs  were valued in accordance with the Benefit-Cost Analysis Guidance for Discretionary Grant Programs - March 2022 (Revised). The recommended values for travel time were provided in year 2020 dollars.</t>
  </si>
  <si>
    <t>Table 1 - Additional Road Length per Ramp (feet)</t>
  </si>
  <si>
    <t>https://www.census.gov/data/tables/2008/demo/age-and-sex/2008-age-sex-composition.html</t>
  </si>
  <si>
    <t>Currently, nutrient runoff in the project area feeds downstream to the Tibbets Brook, which is listed by the Minnesota Pollution Control Agency (MPCA) to hold excessive levels of E.coli bacteria and phosphorus levels. The project will incorporate sedimentation, filtration, plant uptake, and groundwater recharge methods to control nutrient runoff. 
Benefits from addressing nutrient runoff into the Mississippi River St. Cloud Watershed were derived by determining pollution costs per person and applying the rates to number of people impacted. National annual cost of water pollution from nutrients (https://www.sciencedaily.com/releases/2008/11/081112124418.htm) was divided by the US population (Table 1 from https://www.census.gov/data/tables/2008/demo/age-and-sex/2008-age-sex-composition.html) to determine an average water pollution cost per person. This cost was then applied to the population of the City of Elk River (https://www.census.gov/quickfacts/fact/table/elkrivercityminnesota/IPE120219), which is directly downstream from the runoff coming from the US 169 and CSAH 4 project area, to determine an estimate of potential water quality cost savings if nutrient runoff is to be mitigated.
It is likely that additional individuals will be impacted by the reduction in nutrient runoff from the project area, as the Tibbet Brook flows into the drinking water intake for the Twin Cities, which contains more than 3 million residents. However, the water quality will likely be somewhat diluted from other sources by the time it reaches the Twin Cities. Thus, benefits to users outside of the City of Elk River were not monetized as part of the BCA but are likely to be realized. It was also assumed that these additional unquantified benefits may be offset from residual amounts of nutrient runoff remaining after the project improvements are incorporated, rather than a full elimination of nutrient pollution in the  Tibbets Brook and subsequently, the City of Elk River.</t>
  </si>
  <si>
    <t>Cost of water pollution was inflated from year 2008 dollars to year 2020 dollars using GDP price deflators provided in the USDOT Benefit-Cost Analysis Guidance for Discretionary Grant Programs, March 2022 (Revised).</t>
  </si>
  <si>
    <t>Emission costs were obtained from Benefit-Cost Analysis Guidance for Discretionary Grant Programs - March 2022 (Revised).</t>
  </si>
  <si>
    <t>Safety benefits were monetized using the Interactive Highway Safety Design Manual program (IHSDM-HSM Predictive Method - 2019 Release, v 15.0.0). IHSDM is a tool developed by the U.S. Department of Transportation – Federal Highway Administration (US DOT – FHWA) and is intended to help justify the need for proposed roadway designs and modifications by predicting crashes based on existing or proposed roadway geometry and traffic volumes. Results from the IHSDM Analysis are provided in the Appendix.
The data used in this analysis included existing and forecasted annual average daily traffic (AADT) projections, geometric and operational design elements, and site-specific crash distributions provided by MnDOT. This safety analysis predicted the total number of crashes in accordance with methods outlined in the Highway Safety Manual (HSM) for each year between 2025 to 2054 by severity on the KABCO scale. The safety benefit was then quantified for years 2025 to 2054 using crash cost assumptions for the KABCO scale and are consistent with values and methodologies published in the Benefit Cost Analysis Guidance for Discretionary Grant Programs, dated March 2022 (Revised).
It should be noted that annual crashes in the IHSDM analysis were estimated for years 2026 to 2055, as shown in the Appendix. Applying these crashes to the period from 2025 to 2054 can be considered conservative considering traffic volumes will likely be lower during timeframe.</t>
  </si>
  <si>
    <t>https://www.transportation.gov/sites/dot.gov/files/2022-03/Benefit%20Cost%20Analysis%20Guidance%202022%20%28Revised%29.pdf</t>
  </si>
  <si>
    <r>
      <t>Change in C0</t>
    </r>
    <r>
      <rPr>
        <vertAlign val="subscript"/>
        <sz val="9"/>
        <color theme="1"/>
        <rFont val="Calibri"/>
        <family val="2"/>
        <scheme val="minor"/>
      </rPr>
      <t>2</t>
    </r>
    <r>
      <rPr>
        <sz val="9"/>
        <color theme="1"/>
        <rFont val="Calibri"/>
        <family val="2"/>
        <scheme val="minor"/>
      </rPr>
      <t xml:space="preserve"> (metric tons)</t>
    </r>
  </si>
  <si>
    <r>
      <t>CO</t>
    </r>
    <r>
      <rPr>
        <b/>
        <vertAlign val="subscript"/>
        <sz val="11"/>
        <color theme="1"/>
        <rFont val="Calibri"/>
        <family val="2"/>
        <scheme val="minor"/>
      </rPr>
      <t>2</t>
    </r>
    <r>
      <rPr>
        <b/>
        <sz val="11"/>
        <color theme="1"/>
        <rFont val="Calibri"/>
        <family val="2"/>
        <scheme val="minor"/>
      </rPr>
      <t xml:space="preserve"> Savings Estimations</t>
    </r>
  </si>
  <si>
    <r>
      <t>NO</t>
    </r>
    <r>
      <rPr>
        <b/>
        <vertAlign val="subscript"/>
        <sz val="11"/>
        <color theme="1"/>
        <rFont val="Calibri"/>
        <family val="2"/>
        <scheme val="minor"/>
      </rPr>
      <t>X</t>
    </r>
  </si>
  <si>
    <r>
      <t>SO</t>
    </r>
    <r>
      <rPr>
        <b/>
        <vertAlign val="subscript"/>
        <sz val="11"/>
        <color theme="1"/>
        <rFont val="Calibri"/>
        <family val="2"/>
        <scheme val="minor"/>
      </rPr>
      <t>2</t>
    </r>
  </si>
  <si>
    <r>
      <t>PM</t>
    </r>
    <r>
      <rPr>
        <b/>
        <vertAlign val="subscript"/>
        <sz val="11"/>
        <color theme="1"/>
        <rFont val="Calibri"/>
        <family val="2"/>
        <scheme val="minor"/>
      </rPr>
      <t>2.5</t>
    </r>
  </si>
  <si>
    <r>
      <t>CO</t>
    </r>
    <r>
      <rPr>
        <b/>
        <vertAlign val="subscript"/>
        <sz val="11"/>
        <color theme="1"/>
        <rFont val="Calibri"/>
        <family val="2"/>
        <scheme val="minor"/>
      </rPr>
      <t>2</t>
    </r>
  </si>
  <si>
    <t>Table 3 - Average Gallons of Fuel Consumed Per Hour Idle</t>
  </si>
  <si>
    <t>Table 4 - Average MPG for VMT Equivalent</t>
  </si>
  <si>
    <t>Table 5 - VMT Equivalent</t>
  </si>
  <si>
    <t>Table 7 - Annual  VMT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</si>
</sst>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quot;$&quot;#,##0\ ;\(&quot;$&quot;#,##0\)"/>
    <numFmt numFmtId="167" formatCode="0.00000"/>
    <numFmt numFmtId="168" formatCode="#,##0_);\(#,##0_)"/>
    <numFmt numFmtId="169" formatCode="_(* #,##0_);_(* \(#,##0\);_(* &quot;-&quot;??_);_(@_)"/>
    <numFmt numFmtId="171" formatCode="&quot;$&quot;#,##0.00"/>
    <numFmt numFmtId="172" formatCode="0.0000"/>
    <numFmt numFmtId="173" formatCode="0.000"/>
    <numFmt numFmtId="174" formatCode="_(* #,##0.0000_);_(* \(#,##0.0000\);_(* &quot;-&quot;??_);_(@_)"/>
    <numFmt numFmtId="175" formatCode="0.0%"/>
    <numFmt numFmtId="176" formatCode="0.0"/>
    <numFmt numFmtId="177" formatCode="#,##0.000"/>
    <numFmt numFmtId="178" formatCode="&quot;$&quot;#,##0.0"/>
    <numFmt numFmtId="179" formatCode="m/dd/yyyy;@"/>
    <numFmt numFmtId="180" formatCode="0_);\(0\)"/>
  </numFmts>
  <fonts count="51" x14ac:knownFonts="1">
    <font>
      <sz val="11"/>
      <color theme="1"/>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name val="Arial"/>
      <family val="2"/>
    </font>
    <font>
      <b/>
      <sz val="9"/>
      <name val="Calibri"/>
      <family val="2"/>
      <scheme val="minor"/>
    </font>
    <font>
      <b/>
      <sz val="9"/>
      <color indexed="16"/>
      <name val="Calibri"/>
      <family val="2"/>
      <scheme val="minor"/>
    </font>
    <font>
      <sz val="9"/>
      <name val="Calibri"/>
      <family val="2"/>
      <scheme val="minor"/>
    </font>
    <font>
      <b/>
      <i/>
      <sz val="9"/>
      <name val="Calibri"/>
      <family val="2"/>
      <scheme val="minor"/>
    </font>
    <font>
      <b/>
      <sz val="12"/>
      <color theme="1"/>
      <name val="Calibri"/>
      <family val="2"/>
      <scheme val="minor"/>
    </font>
    <font>
      <sz val="11"/>
      <color theme="0" tint="-0.249977111117893"/>
      <name val="Calibri"/>
      <family val="2"/>
      <scheme val="minor"/>
    </font>
    <font>
      <sz val="9"/>
      <color theme="0" tint="-0.249977111117893"/>
      <name val="Calibri"/>
      <family val="2"/>
      <scheme val="minor"/>
    </font>
    <font>
      <sz val="11"/>
      <name val="Arial Narrow"/>
      <family val="2"/>
    </font>
    <font>
      <b/>
      <sz val="11"/>
      <name val="Calibri"/>
      <family val="2"/>
      <scheme val="minor"/>
    </font>
    <font>
      <b/>
      <sz val="18"/>
      <color theme="1"/>
      <name val="Calibri"/>
      <family val="2"/>
      <scheme val="minor"/>
    </font>
    <font>
      <sz val="9"/>
      <name val="Arial"/>
      <family val="2"/>
    </font>
    <font>
      <i/>
      <sz val="9"/>
      <name val="Calibri"/>
      <family val="2"/>
      <scheme val="minor"/>
    </font>
    <font>
      <b/>
      <sz val="11"/>
      <color rgb="FFFF0000"/>
      <name val="Calibri"/>
      <family val="2"/>
      <scheme val="minor"/>
    </font>
    <font>
      <vertAlign val="superscript"/>
      <sz val="9"/>
      <name val="Calibri"/>
      <family val="2"/>
      <scheme val="minor"/>
    </font>
    <font>
      <b/>
      <u/>
      <sz val="11"/>
      <name val="Calibri"/>
      <family val="2"/>
      <scheme val="minor"/>
    </font>
    <font>
      <b/>
      <sz val="18"/>
      <color rgb="FFFF0000"/>
      <name val="Calibri"/>
      <family val="2"/>
      <scheme val="minor"/>
    </font>
    <font>
      <sz val="9"/>
      <color rgb="FFFF0000"/>
      <name val="Calibri"/>
      <family val="2"/>
      <scheme val="minor"/>
    </font>
    <font>
      <i/>
      <sz val="11"/>
      <color theme="1"/>
      <name val="Calibri"/>
      <family val="2"/>
      <scheme val="minor"/>
    </font>
    <font>
      <u/>
      <sz val="11"/>
      <color theme="10"/>
      <name val="Calibri"/>
      <family val="2"/>
      <scheme val="minor"/>
    </font>
    <font>
      <b/>
      <sz val="11"/>
      <color rgb="FF000000"/>
      <name val="Calibri"/>
      <family val="2"/>
    </font>
    <font>
      <sz val="11"/>
      <color rgb="FF000000"/>
      <name val="Calibri"/>
      <family val="2"/>
    </font>
    <font>
      <sz val="22"/>
      <color theme="1"/>
      <name val="Calibri"/>
      <family val="2"/>
      <scheme val="minor"/>
    </font>
    <font>
      <sz val="9"/>
      <color theme="1"/>
      <name val="Franklin Gothic Medium"/>
      <family val="2"/>
    </font>
    <font>
      <sz val="9"/>
      <color theme="1"/>
      <name val="Garamond"/>
      <family val="1"/>
    </font>
    <font>
      <sz val="11"/>
      <color theme="0" tint="-0.499984740745262"/>
      <name val="Calibri"/>
      <family val="2"/>
      <scheme val="minor"/>
    </font>
    <font>
      <vertAlign val="subscript"/>
      <sz val="9"/>
      <color theme="1"/>
      <name val="Calibri"/>
      <family val="2"/>
      <scheme val="minor"/>
    </font>
    <font>
      <sz val="10"/>
      <name val="Arial"/>
      <family val="2"/>
    </font>
    <font>
      <sz val="12"/>
      <name val="Arial"/>
      <family val="2"/>
    </font>
    <font>
      <u/>
      <sz val="10"/>
      <color indexed="12"/>
      <name val="Arial"/>
      <family val="2"/>
    </font>
    <font>
      <u/>
      <sz val="12"/>
      <color indexed="12"/>
      <name val="Arial"/>
      <family val="2"/>
    </font>
    <font>
      <b/>
      <sz val="12"/>
      <name val="Arial"/>
      <family val="2"/>
    </font>
    <font>
      <sz val="8"/>
      <name val="Times New Roman"/>
      <family val="1"/>
    </font>
    <font>
      <sz val="7"/>
      <color rgb="FF000000"/>
      <name val="Calibri"/>
      <family val="2"/>
    </font>
    <font>
      <b/>
      <sz val="8"/>
      <name val="Arial"/>
      <family val="2"/>
    </font>
    <font>
      <sz val="8"/>
      <name val="Arial"/>
      <family val="2"/>
    </font>
    <font>
      <sz val="8"/>
      <color rgb="FF000000"/>
      <name val="Arial"/>
      <family val="2"/>
    </font>
    <font>
      <sz val="6.5"/>
      <name val="Arial"/>
      <family val="2"/>
    </font>
    <font>
      <vertAlign val="superscript"/>
      <sz val="6.5"/>
      <name val="Arial"/>
      <family val="2"/>
    </font>
    <font>
      <vertAlign val="superscript"/>
      <sz val="6.5"/>
      <name val="Times New Roman"/>
      <family val="1"/>
    </font>
    <font>
      <sz val="6.5"/>
      <name val="Times New Roman"/>
      <family val="1"/>
    </font>
    <font>
      <sz val="5.5"/>
      <name val="Arial"/>
      <family val="2"/>
    </font>
    <font>
      <sz val="5.5"/>
      <name val="Times New Roman"/>
      <family val="1"/>
    </font>
    <font>
      <b/>
      <vertAlign val="subscript"/>
      <sz val="11"/>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rgb="FF006938"/>
      </patternFill>
    </fill>
    <fill>
      <patternFill patternType="solid">
        <fgColor rgb="FFD9D9D9"/>
      </patternFill>
    </fill>
    <fill>
      <patternFill patternType="solid">
        <fgColor rgb="FFCFAEE7"/>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41">
    <xf numFmtId="0" fontId="0" fillId="0" borderId="0"/>
    <xf numFmtId="44"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3" fontId="7" fillId="0" borderId="0" applyFont="0" applyFill="0" applyBorder="0" applyAlignment="0" applyProtection="0"/>
    <xf numFmtId="166" fontId="7" fillId="0" borderId="0" applyFont="0" applyFill="0" applyBorder="0" applyAlignment="0" applyProtection="0"/>
    <xf numFmtId="0" fontId="7" fillId="0" borderId="0" applyFont="0" applyFill="0" applyBorder="0" applyAlignment="0" applyProtection="0"/>
    <xf numFmtId="2" fontId="7" fillId="0" borderId="0" applyFont="0" applyFill="0" applyBorder="0" applyAlignment="0" applyProtection="0"/>
    <xf numFmtId="0" fontId="1" fillId="0" borderId="0"/>
    <xf numFmtId="0" fontId="15" fillId="0" borderId="0"/>
    <xf numFmtId="9" fontId="1"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9" fontId="1" fillId="0" borderId="0" applyFont="0" applyFill="0" applyBorder="0" applyAlignment="0" applyProtection="0"/>
    <xf numFmtId="0" fontId="26" fillId="0" borderId="0" applyNumberFormat="0" applyFill="0" applyBorder="0" applyAlignment="0" applyProtection="0"/>
    <xf numFmtId="0" fontId="34" fillId="0" borderId="0"/>
    <xf numFmtId="0" fontId="36" fillId="0" borderId="0" applyNumberFormat="0" applyFill="0" applyBorder="0" applyAlignment="0" applyProtection="0">
      <alignment vertical="top"/>
      <protection locked="0"/>
    </xf>
  </cellStyleXfs>
  <cellXfs count="565">
    <xf numFmtId="0" fontId="0" fillId="0" borderId="0" xfId="0"/>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0" xfId="0" applyFont="1"/>
    <xf numFmtId="0" fontId="3" fillId="0" borderId="0" xfId="0" applyFont="1"/>
    <xf numFmtId="164" fontId="2" fillId="0" borderId="0" xfId="0" applyNumberFormat="1" applyFont="1" applyAlignment="1">
      <alignment horizontal="center"/>
    </xf>
    <xf numFmtId="1" fontId="2" fillId="0" borderId="8" xfId="0" applyNumberFormat="1" applyFont="1" applyBorder="1" applyAlignment="1">
      <alignment horizontal="center"/>
    </xf>
    <xf numFmtId="1" fontId="2" fillId="0" borderId="10" xfId="0" applyNumberFormat="1" applyFont="1" applyBorder="1" applyAlignment="1">
      <alignment horizontal="center"/>
    </xf>
    <xf numFmtId="164" fontId="2" fillId="0" borderId="19" xfId="0" applyNumberFormat="1" applyFont="1" applyBorder="1" applyAlignment="1">
      <alignment horizontal="center"/>
    </xf>
    <xf numFmtId="164" fontId="2" fillId="0" borderId="20" xfId="0" applyNumberFormat="1" applyFont="1" applyBorder="1" applyAlignment="1">
      <alignment horizontal="center"/>
    </xf>
    <xf numFmtId="164" fontId="2" fillId="0" borderId="2" xfId="0" applyNumberFormat="1" applyFont="1" applyBorder="1" applyAlignment="1">
      <alignment horizontal="center"/>
    </xf>
    <xf numFmtId="0" fontId="5" fillId="0" borderId="0" xfId="0" applyFont="1"/>
    <xf numFmtId="0" fontId="0" fillId="0" borderId="0" xfId="0" applyAlignment="1">
      <alignment horizontal="right"/>
    </xf>
    <xf numFmtId="165" fontId="10" fillId="0" borderId="22" xfId="1" applyNumberFormat="1" applyFont="1" applyFill="1" applyBorder="1" applyAlignment="1">
      <alignment horizontal="center"/>
    </xf>
    <xf numFmtId="165" fontId="10" fillId="0" borderId="23" xfId="1" applyNumberFormat="1" applyFont="1" applyFill="1" applyBorder="1" applyAlignment="1">
      <alignment horizontal="center"/>
    </xf>
    <xf numFmtId="165" fontId="10" fillId="0" borderId="24" xfId="1" applyNumberFormat="1" applyFont="1" applyFill="1" applyBorder="1" applyAlignment="1">
      <alignment horizontal="center"/>
    </xf>
    <xf numFmtId="0" fontId="8" fillId="0" borderId="0" xfId="0" applyFont="1" applyFill="1" applyBorder="1" applyAlignment="1">
      <alignment horizontal="left"/>
    </xf>
    <xf numFmtId="165" fontId="10" fillId="0" borderId="25" xfId="1" applyNumberFormat="1" applyFont="1" applyFill="1" applyBorder="1" applyAlignment="1">
      <alignment horizontal="center"/>
    </xf>
    <xf numFmtId="0" fontId="2" fillId="0" borderId="13" xfId="0" applyFont="1" applyBorder="1" applyAlignment="1">
      <alignment horizontal="center" vertical="center" wrapText="1"/>
    </xf>
    <xf numFmtId="164" fontId="2" fillId="0" borderId="18" xfId="0" applyNumberFormat="1" applyFont="1" applyBorder="1" applyAlignment="1">
      <alignment horizontal="center" vertical="center"/>
    </xf>
    <xf numFmtId="0" fontId="0" fillId="0" borderId="0" xfId="0" applyAlignment="1">
      <alignment horizontal="center"/>
    </xf>
    <xf numFmtId="10" fontId="0" fillId="0" borderId="0" xfId="0" applyNumberFormat="1"/>
    <xf numFmtId="8" fontId="2" fillId="0" borderId="6" xfId="0" applyNumberFormat="1" applyFont="1" applyBorder="1" applyAlignment="1">
      <alignment horizontal="center" vertical="center" wrapText="1"/>
    </xf>
    <xf numFmtId="164" fontId="2" fillId="0" borderId="0" xfId="0" applyNumberFormat="1" applyFont="1" applyBorder="1" applyAlignment="1">
      <alignment horizontal="center"/>
    </xf>
    <xf numFmtId="165" fontId="2" fillId="0" borderId="0" xfId="0" applyNumberFormat="1" applyFont="1"/>
    <xf numFmtId="164" fontId="2" fillId="0" borderId="10" xfId="0" applyNumberFormat="1" applyFont="1" applyBorder="1" applyAlignment="1">
      <alignment horizontal="center"/>
    </xf>
    <xf numFmtId="0" fontId="2" fillId="0" borderId="0" xfId="0" applyFont="1" applyBorder="1" applyAlignment="1">
      <alignment horizontal="center"/>
    </xf>
    <xf numFmtId="1" fontId="2" fillId="0" borderId="0" xfId="0" applyNumberFormat="1" applyFont="1" applyBorder="1" applyAlignment="1">
      <alignment horizontal="center"/>
    </xf>
    <xf numFmtId="0" fontId="12" fillId="0" borderId="0" xfId="0" applyFont="1" applyBorder="1" applyAlignment="1">
      <alignment horizontal="center"/>
    </xf>
    <xf numFmtId="0" fontId="12" fillId="0" borderId="0" xfId="0" applyFont="1" applyAlignment="1">
      <alignment horizontal="center"/>
    </xf>
    <xf numFmtId="0" fontId="13" fillId="0" borderId="0" xfId="0" applyFont="1"/>
    <xf numFmtId="164" fontId="14" fillId="0" borderId="0" xfId="0" applyNumberFormat="1" applyFont="1" applyFill="1" applyBorder="1" applyAlignment="1">
      <alignment horizontal="center"/>
    </xf>
    <xf numFmtId="0" fontId="0" fillId="0" borderId="39" xfId="0" applyBorder="1"/>
    <xf numFmtId="0" fontId="5" fillId="2" borderId="42" xfId="0" applyFont="1" applyFill="1" applyBorder="1"/>
    <xf numFmtId="0" fontId="5" fillId="2" borderId="41" xfId="0" applyFont="1" applyFill="1" applyBorder="1"/>
    <xf numFmtId="9" fontId="5" fillId="2" borderId="37" xfId="0" applyNumberFormat="1" applyFont="1" applyFill="1" applyBorder="1" applyAlignment="1">
      <alignment horizontal="center"/>
    </xf>
    <xf numFmtId="0" fontId="0" fillId="0" borderId="0" xfId="0" applyFill="1"/>
    <xf numFmtId="0" fontId="5" fillId="0" borderId="26" xfId="0" applyFont="1" applyFill="1" applyBorder="1"/>
    <xf numFmtId="0" fontId="0" fillId="0" borderId="0" xfId="0" applyFill="1" applyAlignment="1"/>
    <xf numFmtId="0" fontId="5" fillId="0" borderId="0" xfId="0" applyFont="1" applyFill="1"/>
    <xf numFmtId="0" fontId="2" fillId="0" borderId="14" xfId="0" applyFont="1" applyFill="1" applyBorder="1" applyAlignment="1">
      <alignment horizontal="center"/>
    </xf>
    <xf numFmtId="0" fontId="2" fillId="0" borderId="15" xfId="0" applyFont="1" applyFill="1" applyBorder="1" applyAlignment="1">
      <alignment horizontal="center"/>
    </xf>
    <xf numFmtId="0" fontId="2" fillId="0" borderId="0" xfId="0" applyFont="1" applyFill="1"/>
    <xf numFmtId="0" fontId="0" fillId="0" borderId="0" xfId="0" applyFill="1" applyAlignment="1">
      <alignment horizontal="right"/>
    </xf>
    <xf numFmtId="0" fontId="0" fillId="0" borderId="0" xfId="0" applyFill="1" applyBorder="1"/>
    <xf numFmtId="0" fontId="0" fillId="0" borderId="0" xfId="0" applyFill="1" applyBorder="1" applyAlignment="1">
      <alignment horizontal="center"/>
    </xf>
    <xf numFmtId="0" fontId="0" fillId="0" borderId="0" xfId="0" applyFill="1" applyAlignment="1">
      <alignment vertical="top" wrapText="1"/>
    </xf>
    <xf numFmtId="0" fontId="5" fillId="0" borderId="0" xfId="0" applyFont="1" applyFill="1" applyBorder="1"/>
    <xf numFmtId="0" fontId="0" fillId="0" borderId="0" xfId="0" applyBorder="1"/>
    <xf numFmtId="1" fontId="0" fillId="0" borderId="0" xfId="0" applyNumberFormat="1" applyFill="1" applyBorder="1"/>
    <xf numFmtId="0" fontId="0" fillId="0" borderId="0" xfId="0" applyFont="1" applyFill="1"/>
    <xf numFmtId="0" fontId="0" fillId="0" borderId="0" xfId="0" applyBorder="1" applyAlignment="1">
      <alignment horizontal="center"/>
    </xf>
    <xf numFmtId="165" fontId="10" fillId="0" borderId="0" xfId="1" applyNumberFormat="1" applyFont="1" applyFill="1" applyBorder="1" applyAlignment="1">
      <alignment horizontal="center"/>
    </xf>
    <xf numFmtId="0" fontId="17" fillId="0" borderId="0" xfId="0" applyFont="1"/>
    <xf numFmtId="168" fontId="19" fillId="0" borderId="0" xfId="2" applyNumberFormat="1" applyFont="1" applyFill="1" applyBorder="1" applyAlignment="1">
      <alignment horizontal="left" vertical="center"/>
    </xf>
    <xf numFmtId="0" fontId="10" fillId="0" borderId="0" xfId="2" applyFont="1" applyFill="1" applyBorder="1" applyAlignment="1">
      <alignment horizontal="left"/>
    </xf>
    <xf numFmtId="0" fontId="10" fillId="0" borderId="0" xfId="2" applyFont="1" applyFill="1" applyBorder="1" applyAlignment="1">
      <alignment horizontal="left" vertical="center"/>
    </xf>
    <xf numFmtId="167" fontId="10" fillId="0" borderId="0" xfId="2" applyNumberFormat="1" applyFont="1" applyFill="1" applyBorder="1" applyAlignment="1">
      <alignment horizontal="left"/>
    </xf>
    <xf numFmtId="0" fontId="8" fillId="0" borderId="0" xfId="2" applyFont="1" applyFill="1" applyBorder="1" applyAlignment="1">
      <alignment horizontal="left"/>
    </xf>
    <xf numFmtId="0" fontId="2" fillId="0" borderId="45" xfId="0" applyFont="1" applyFill="1" applyBorder="1" applyAlignment="1">
      <alignment horizontal="center"/>
    </xf>
    <xf numFmtId="6" fontId="2" fillId="0" borderId="0" xfId="0" applyNumberFormat="1" applyFont="1" applyFill="1" applyBorder="1" applyAlignment="1">
      <alignment horizontal="right" indent="1"/>
    </xf>
    <xf numFmtId="0" fontId="18" fillId="0" borderId="0" xfId="0" applyFont="1" applyFill="1" applyAlignment="1">
      <alignment horizontal="right"/>
    </xf>
    <xf numFmtId="0" fontId="20" fillId="0" borderId="0" xfId="0" applyFont="1" applyAlignment="1">
      <alignment horizontal="center"/>
    </xf>
    <xf numFmtId="164" fontId="2" fillId="0" borderId="13" xfId="0" applyNumberFormat="1" applyFont="1" applyBorder="1" applyAlignment="1">
      <alignment horizontal="right" vertical="center" wrapText="1" indent="1"/>
    </xf>
    <xf numFmtId="164" fontId="2" fillId="0" borderId="34" xfId="0" applyNumberFormat="1" applyFont="1" applyBorder="1" applyAlignment="1">
      <alignment horizontal="right" vertical="center" wrapText="1" indent="1"/>
    </xf>
    <xf numFmtId="0" fontId="9" fillId="0" borderId="22" xfId="0" applyFont="1" applyFill="1" applyBorder="1" applyAlignment="1">
      <alignment horizontal="center" vertical="center"/>
    </xf>
    <xf numFmtId="0" fontId="9" fillId="0" borderId="24" xfId="0" applyFont="1" applyFill="1" applyBorder="1" applyAlignment="1">
      <alignment horizontal="center" vertical="center"/>
    </xf>
    <xf numFmtId="0" fontId="8" fillId="0" borderId="24" xfId="2" applyFont="1" applyFill="1" applyBorder="1" applyAlignment="1">
      <alignment horizontal="center" vertical="center"/>
    </xf>
    <xf numFmtId="165" fontId="10" fillId="0" borderId="46" xfId="1" applyNumberFormat="1" applyFont="1" applyFill="1" applyBorder="1" applyAlignment="1">
      <alignment horizontal="center"/>
    </xf>
    <xf numFmtId="165" fontId="10" fillId="0" borderId="28" xfId="1" applyNumberFormat="1" applyFont="1" applyFill="1" applyBorder="1" applyAlignment="1">
      <alignment horizontal="center"/>
    </xf>
    <xf numFmtId="49" fontId="0" fillId="0" borderId="24" xfId="0" applyNumberFormat="1" applyBorder="1" applyAlignment="1">
      <alignment horizontal="center"/>
    </xf>
    <xf numFmtId="0" fontId="8" fillId="0" borderId="0" xfId="2" applyFont="1" applyFill="1" applyBorder="1" applyAlignment="1">
      <alignment horizontal="left" vertical="center"/>
    </xf>
    <xf numFmtId="0" fontId="10" fillId="0" borderId="26" xfId="2" applyFont="1" applyFill="1" applyBorder="1" applyAlignment="1">
      <alignment horizontal="left" vertical="center"/>
    </xf>
    <xf numFmtId="0" fontId="11" fillId="0" borderId="0" xfId="2" applyFont="1" applyFill="1" applyBorder="1" applyAlignment="1">
      <alignment horizontal="left"/>
    </xf>
    <xf numFmtId="0" fontId="8" fillId="0" borderId="26" xfId="2" applyFont="1" applyFill="1" applyBorder="1" applyAlignment="1">
      <alignment horizontal="center" vertical="center"/>
    </xf>
    <xf numFmtId="0" fontId="5" fillId="0" borderId="26" xfId="0" applyFont="1" applyFill="1" applyBorder="1" applyAlignment="1">
      <alignment horizontal="center"/>
    </xf>
    <xf numFmtId="0" fontId="0" fillId="0" borderId="0" xfId="0" applyFill="1" applyAlignment="1">
      <alignment vertical="top"/>
    </xf>
    <xf numFmtId="0" fontId="0" fillId="0" borderId="0" xfId="0" applyFill="1" applyAlignment="1">
      <alignment horizontal="left" vertical="top"/>
    </xf>
    <xf numFmtId="0" fontId="20" fillId="0" borderId="0" xfId="0" applyFont="1" applyFill="1" applyAlignment="1">
      <alignment horizontal="center"/>
    </xf>
    <xf numFmtId="0" fontId="0" fillId="0" borderId="0" xfId="0" applyFill="1" applyBorder="1" applyAlignment="1"/>
    <xf numFmtId="0" fontId="5" fillId="0" borderId="0" xfId="0" applyFont="1" applyFill="1" applyBorder="1" applyAlignment="1">
      <alignment horizontal="center"/>
    </xf>
    <xf numFmtId="2" fontId="0" fillId="0" borderId="0" xfId="0" applyNumberFormat="1" applyFill="1" applyBorder="1" applyAlignment="1">
      <alignment horizontal="center"/>
    </xf>
    <xf numFmtId="0" fontId="4" fillId="0" borderId="0" xfId="0" applyFont="1" applyFill="1"/>
    <xf numFmtId="0" fontId="0" fillId="0" borderId="0" xfId="0" applyFont="1" applyFill="1" applyAlignment="1">
      <alignment vertical="top" wrapText="1"/>
    </xf>
    <xf numFmtId="0" fontId="10" fillId="0" borderId="0" xfId="2" applyFont="1" applyFill="1" applyBorder="1" applyAlignment="1">
      <alignment horizontal="right"/>
    </xf>
    <xf numFmtId="0" fontId="6" fillId="0" borderId="0" xfId="2" applyFont="1" applyFill="1" applyBorder="1" applyAlignment="1">
      <alignment vertical="top" wrapText="1"/>
    </xf>
    <xf numFmtId="0" fontId="6" fillId="0" borderId="0" xfId="2" applyFont="1" applyFill="1" applyBorder="1" applyAlignment="1">
      <alignment horizontal="center" vertical="top" wrapText="1"/>
    </xf>
    <xf numFmtId="0" fontId="24" fillId="0" borderId="0" xfId="2" applyFont="1" applyFill="1" applyBorder="1" applyAlignment="1">
      <alignment horizontal="left"/>
    </xf>
    <xf numFmtId="0" fontId="10" fillId="0" borderId="0" xfId="2" applyFont="1" applyFill="1" applyBorder="1" applyAlignment="1">
      <alignment horizontal="right" vertical="center"/>
    </xf>
    <xf numFmtId="0" fontId="4" fillId="0" borderId="0" xfId="0" applyFont="1"/>
    <xf numFmtId="0" fontId="0" fillId="0" borderId="26" xfId="0" applyFill="1" applyBorder="1" applyAlignment="1">
      <alignment horizontal="left"/>
    </xf>
    <xf numFmtId="10" fontId="10" fillId="0" borderId="0" xfId="2" applyNumberFormat="1" applyFont="1" applyFill="1" applyBorder="1" applyAlignment="1">
      <alignment horizontal="center" vertical="center"/>
    </xf>
    <xf numFmtId="173" fontId="0" fillId="0" borderId="0" xfId="0" applyNumberFormat="1" applyFill="1" applyBorder="1" applyAlignment="1">
      <alignment horizontal="center"/>
    </xf>
    <xf numFmtId="0" fontId="0" fillId="0" borderId="0" xfId="0" applyFont="1" applyFill="1" applyBorder="1"/>
    <xf numFmtId="0" fontId="0" fillId="0" borderId="0" xfId="0" applyFont="1" applyFill="1" applyBorder="1" applyAlignment="1">
      <alignment horizontal="center"/>
    </xf>
    <xf numFmtId="164" fontId="0" fillId="0" borderId="0" xfId="0" applyNumberFormat="1" applyFont="1" applyFill="1" applyBorder="1" applyAlignment="1">
      <alignment horizontal="center"/>
    </xf>
    <xf numFmtId="0" fontId="0" fillId="0" borderId="0" xfId="0" applyFill="1" applyAlignment="1">
      <alignment horizontal="center"/>
    </xf>
    <xf numFmtId="0" fontId="5" fillId="0" borderId="0" xfId="0" applyFont="1" applyFill="1" applyBorder="1" applyAlignment="1">
      <alignment horizontal="left"/>
    </xf>
    <xf numFmtId="39" fontId="0" fillId="0" borderId="0" xfId="0" applyNumberFormat="1" applyBorder="1"/>
    <xf numFmtId="39" fontId="0" fillId="0" borderId="0" xfId="0" applyNumberFormat="1"/>
    <xf numFmtId="0" fontId="0" fillId="0" borderId="0" xfId="0" applyAlignment="1">
      <alignment vertical="top" wrapText="1"/>
    </xf>
    <xf numFmtId="0" fontId="0" fillId="0" borderId="0" xfId="0" applyBorder="1" applyAlignment="1">
      <alignment vertical="top" wrapText="1"/>
    </xf>
    <xf numFmtId="0" fontId="0" fillId="0" borderId="0" xfId="0" applyAlignment="1">
      <alignment horizontal="left"/>
    </xf>
    <xf numFmtId="37" fontId="2" fillId="0" borderId="0" xfId="0" applyNumberFormat="1" applyFont="1"/>
    <xf numFmtId="0" fontId="0" fillId="0" borderId="0" xfId="0" applyFont="1" applyFill="1" applyAlignment="1">
      <alignment horizontal="center"/>
    </xf>
    <xf numFmtId="0" fontId="0" fillId="0" borderId="0" xfId="0" applyFill="1" applyBorder="1" applyAlignment="1">
      <alignment horizontal="left"/>
    </xf>
    <xf numFmtId="0" fontId="0" fillId="0" borderId="0" xfId="0" applyFill="1" applyBorder="1" applyAlignment="1">
      <alignment horizontal="center" vertical="top" wrapText="1"/>
    </xf>
    <xf numFmtId="169" fontId="0" fillId="0" borderId="0" xfId="0" applyNumberFormat="1" applyFill="1" applyBorder="1" applyAlignment="1">
      <alignment horizontal="center" vertical="top" wrapText="1"/>
    </xf>
    <xf numFmtId="44" fontId="0" fillId="0" borderId="0" xfId="1" applyFont="1" applyFill="1" applyBorder="1"/>
    <xf numFmtId="43" fontId="0" fillId="0" borderId="0" xfId="0" applyNumberFormat="1" applyFill="1" applyBorder="1" applyAlignment="1">
      <alignment horizontal="center"/>
    </xf>
    <xf numFmtId="169" fontId="0" fillId="0" borderId="0" xfId="0" applyNumberFormat="1" applyFill="1" applyBorder="1" applyAlignment="1">
      <alignment horizontal="center"/>
    </xf>
    <xf numFmtId="0" fontId="0" fillId="0" borderId="26" xfId="0" applyFont="1" applyFill="1" applyBorder="1" applyAlignment="1"/>
    <xf numFmtId="43" fontId="0" fillId="0" borderId="0" xfId="0" applyNumberFormat="1"/>
    <xf numFmtId="3" fontId="0" fillId="0" borderId="0" xfId="137" applyNumberFormat="1" applyFont="1" applyFill="1" applyBorder="1" applyAlignment="1">
      <alignment horizontal="center"/>
    </xf>
    <xf numFmtId="171" fontId="0" fillId="0" borderId="0" xfId="1" applyNumberFormat="1" applyFont="1" applyFill="1" applyBorder="1" applyAlignment="1">
      <alignment horizontal="center"/>
    </xf>
    <xf numFmtId="1" fontId="0" fillId="0" borderId="0" xfId="0" applyNumberFormat="1"/>
    <xf numFmtId="172" fontId="0" fillId="0" borderId="0" xfId="0" applyNumberFormat="1" applyFill="1" applyBorder="1" applyAlignment="1">
      <alignment horizontal="center"/>
    </xf>
    <xf numFmtId="174" fontId="0" fillId="0" borderId="0" xfId="0" applyNumberFormat="1" applyFill="1" applyBorder="1"/>
    <xf numFmtId="164" fontId="0" fillId="0" borderId="0" xfId="0" applyNumberFormat="1" applyFill="1" applyBorder="1"/>
    <xf numFmtId="6" fontId="2" fillId="0" borderId="47" xfId="0" applyNumberFormat="1" applyFont="1" applyFill="1" applyBorder="1" applyAlignment="1">
      <alignment horizontal="right" indent="1"/>
    </xf>
    <xf numFmtId="0" fontId="5" fillId="0" borderId="0" xfId="0" applyFont="1" applyAlignment="1">
      <alignment horizontal="right"/>
    </xf>
    <xf numFmtId="0" fontId="3" fillId="0" borderId="11" xfId="0" applyFont="1" applyBorder="1" applyAlignment="1">
      <alignment horizontal="center"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0"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xf numFmtId="6" fontId="3" fillId="0" borderId="0" xfId="0" applyNumberFormat="1" applyFont="1" applyFill="1" applyAlignment="1">
      <alignment horizontal="right"/>
    </xf>
    <xf numFmtId="164" fontId="0" fillId="2" borderId="44" xfId="0" applyNumberFormat="1" applyFill="1" applyBorder="1" applyAlignment="1">
      <alignment horizontal="center"/>
    </xf>
    <xf numFmtId="164" fontId="0" fillId="2" borderId="40" xfId="0" applyNumberFormat="1" applyFill="1" applyBorder="1" applyAlignment="1">
      <alignment horizontal="center"/>
    </xf>
    <xf numFmtId="0" fontId="8" fillId="3" borderId="0" xfId="2" applyFont="1" applyFill="1" applyBorder="1" applyAlignment="1">
      <alignment horizontal="left" vertical="center"/>
    </xf>
    <xf numFmtId="0" fontId="2" fillId="0" borderId="5"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5" fillId="0" borderId="26" xfId="0" applyFont="1" applyBorder="1"/>
    <xf numFmtId="0" fontId="5" fillId="0" borderId="26" xfId="0" applyFont="1" applyBorder="1" applyAlignment="1">
      <alignment horizontal="center"/>
    </xf>
    <xf numFmtId="0" fontId="5" fillId="0" borderId="26" xfId="0" applyFont="1" applyBorder="1" applyAlignment="1">
      <alignment horizontal="center" vertical="center"/>
    </xf>
    <xf numFmtId="37" fontId="0" fillId="0" borderId="26" xfId="136" applyNumberFormat="1" applyFont="1" applyFill="1" applyBorder="1" applyAlignment="1">
      <alignment horizontal="center"/>
    </xf>
    <xf numFmtId="6" fontId="2" fillId="0" borderId="6" xfId="0" applyNumberFormat="1" applyFont="1" applyBorder="1" applyAlignment="1">
      <alignment horizontal="center" vertical="center" wrapText="1"/>
    </xf>
    <xf numFmtId="6" fontId="2" fillId="0" borderId="0" xfId="0" applyNumberFormat="1" applyFont="1" applyAlignment="1">
      <alignment horizontal="center" vertical="center" wrapText="1"/>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left"/>
    </xf>
    <xf numFmtId="0" fontId="11" fillId="0" borderId="0" xfId="0" applyFont="1" applyAlignment="1">
      <alignment horizontal="left"/>
    </xf>
    <xf numFmtId="0" fontId="8" fillId="0" borderId="24" xfId="4" applyFont="1" applyBorder="1" applyAlignment="1">
      <alignment horizontal="center" vertical="center"/>
    </xf>
    <xf numFmtId="2" fontId="10" fillId="0" borderId="22" xfId="0" applyNumberFormat="1" applyFont="1" applyBorder="1" applyAlignment="1">
      <alignment horizontal="center"/>
    </xf>
    <xf numFmtId="2" fontId="10" fillId="0" borderId="24" xfId="0" applyNumberFormat="1" applyFont="1" applyBorder="1" applyAlignment="1">
      <alignment horizontal="center"/>
    </xf>
    <xf numFmtId="165" fontId="2" fillId="0" borderId="0" xfId="0" applyNumberFormat="1" applyFont="1" applyAlignment="1">
      <alignment horizontal="center"/>
    </xf>
    <xf numFmtId="2" fontId="10" fillId="0" borderId="25" xfId="0" applyNumberFormat="1" applyFont="1" applyBorder="1" applyAlignment="1">
      <alignment horizontal="center"/>
    </xf>
    <xf numFmtId="0" fontId="2" fillId="0" borderId="26" xfId="0" applyFont="1" applyBorder="1"/>
    <xf numFmtId="164" fontId="2" fillId="0" borderId="26" xfId="0" applyNumberFormat="1" applyFont="1" applyBorder="1"/>
    <xf numFmtId="0" fontId="0" fillId="0" borderId="0" xfId="0" applyAlignment="1">
      <alignment wrapText="1"/>
    </xf>
    <xf numFmtId="0" fontId="0" fillId="0" borderId="0" xfId="0" applyAlignment="1">
      <alignment horizontal="left" wrapText="1"/>
    </xf>
    <xf numFmtId="0" fontId="2" fillId="0" borderId="5" xfId="0" applyFont="1" applyBorder="1" applyAlignment="1">
      <alignment horizontal="center" vertical="center" wrapText="1"/>
    </xf>
    <xf numFmtId="171" fontId="10" fillId="0" borderId="0" xfId="2" applyNumberFormat="1" applyFont="1" applyFill="1" applyBorder="1" applyAlignment="1">
      <alignment horizontal="left" vertical="center"/>
    </xf>
    <xf numFmtId="0" fontId="26" fillId="0" borderId="0" xfId="138" applyFill="1"/>
    <xf numFmtId="0" fontId="5" fillId="0" borderId="27" xfId="0" applyFont="1" applyBorder="1" applyAlignment="1">
      <alignment horizontal="left"/>
    </xf>
    <xf numFmtId="6" fontId="2" fillId="0" borderId="26" xfId="0" applyNumberFormat="1" applyFont="1" applyBorder="1" applyAlignment="1">
      <alignment horizontal="center"/>
    </xf>
    <xf numFmtId="6" fontId="2" fillId="0" borderId="19" xfId="0" applyNumberFormat="1" applyFont="1" applyBorder="1" applyAlignment="1">
      <alignment horizontal="center"/>
    </xf>
    <xf numFmtId="0" fontId="0" fillId="0" borderId="26" xfId="0" applyBorder="1" applyAlignment="1">
      <alignment horizontal="center" vertical="center"/>
    </xf>
    <xf numFmtId="0" fontId="24" fillId="0" borderId="0" xfId="0" applyFont="1"/>
    <xf numFmtId="6" fontId="3" fillId="0" borderId="0" xfId="0" applyNumberFormat="1" applyFont="1"/>
    <xf numFmtId="0" fontId="0" fillId="0" borderId="0" xfId="0" applyAlignment="1">
      <alignment vertical="top"/>
    </xf>
    <xf numFmtId="6" fontId="2" fillId="0" borderId="44" xfId="0" applyNumberFormat="1" applyFont="1" applyBorder="1" applyAlignment="1">
      <alignment horizontal="center"/>
    </xf>
    <xf numFmtId="6" fontId="2" fillId="0" borderId="14" xfId="0" applyNumberFormat="1" applyFont="1" applyBorder="1" applyAlignment="1">
      <alignment horizontal="center"/>
    </xf>
    <xf numFmtId="6" fontId="2" fillId="0" borderId="43" xfId="0" applyNumberFormat="1" applyFont="1" applyBorder="1" applyAlignment="1">
      <alignment horizontal="right" indent="1"/>
    </xf>
    <xf numFmtId="6" fontId="2" fillId="0" borderId="44" xfId="0" applyNumberFormat="1" applyFont="1" applyBorder="1" applyAlignment="1">
      <alignment horizontal="right" indent="1"/>
    </xf>
    <xf numFmtId="3" fontId="0" fillId="0" borderId="0" xfId="0" applyNumberFormat="1"/>
    <xf numFmtId="6" fontId="2" fillId="0" borderId="0" xfId="0" applyNumberFormat="1" applyFont="1" applyAlignment="1">
      <alignment horizontal="right" indent="1"/>
    </xf>
    <xf numFmtId="0" fontId="0" fillId="0" borderId="0" xfId="0" applyAlignment="1">
      <alignment horizontal="left" vertical="top"/>
    </xf>
    <xf numFmtId="0" fontId="10" fillId="0" borderId="26" xfId="2" applyFont="1" applyBorder="1" applyAlignment="1">
      <alignment horizontal="left" vertical="center"/>
    </xf>
    <xf numFmtId="171" fontId="10" fillId="0" borderId="26" xfId="2" applyNumberFormat="1" applyFont="1" applyBorder="1" applyAlignment="1">
      <alignment horizontal="left" vertical="center"/>
    </xf>
    <xf numFmtId="164" fontId="2" fillId="0" borderId="5" xfId="0" applyNumberFormat="1" applyFont="1" applyBorder="1" applyAlignment="1">
      <alignment horizontal="right" vertical="center" wrapText="1" indent="1"/>
    </xf>
    <xf numFmtId="6" fontId="2" fillId="0" borderId="43" xfId="0" applyNumberFormat="1" applyFont="1" applyFill="1" applyBorder="1" applyAlignment="1">
      <alignment horizontal="right" indent="1"/>
    </xf>
    <xf numFmtId="6" fontId="2" fillId="0" borderId="14" xfId="0" applyNumberFormat="1" applyFont="1" applyFill="1" applyBorder="1" applyAlignment="1">
      <alignment horizontal="right" indent="1"/>
    </xf>
    <xf numFmtId="6" fontId="2" fillId="0" borderId="36" xfId="0" applyNumberFormat="1" applyFont="1" applyFill="1" applyBorder="1" applyAlignment="1">
      <alignment horizontal="right" indent="1"/>
    </xf>
    <xf numFmtId="6" fontId="2" fillId="0" borderId="15" xfId="0" applyNumberFormat="1" applyFont="1" applyFill="1" applyBorder="1" applyAlignment="1">
      <alignment horizontal="right" inden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xf>
    <xf numFmtId="0" fontId="2" fillId="0" borderId="9" xfId="0" applyFont="1" applyFill="1" applyBorder="1" applyAlignment="1">
      <alignment horizontal="center"/>
    </xf>
    <xf numFmtId="6" fontId="2" fillId="0" borderId="45" xfId="0" applyNumberFormat="1" applyFont="1" applyFill="1" applyBorder="1" applyAlignment="1">
      <alignment horizontal="right" indent="1"/>
    </xf>
    <xf numFmtId="6" fontId="2" fillId="0" borderId="12" xfId="0" applyNumberFormat="1" applyFont="1" applyFill="1" applyBorder="1" applyAlignment="1">
      <alignment horizontal="right" indent="1"/>
    </xf>
    <xf numFmtId="171" fontId="0" fillId="0" borderId="26" xfId="0" applyNumberFormat="1" applyFont="1" applyFill="1" applyBorder="1" applyAlignment="1">
      <alignment horizontal="center"/>
    </xf>
    <xf numFmtId="175" fontId="0" fillId="0" borderId="26" xfId="137" applyNumberFormat="1" applyFont="1" applyFill="1" applyBorder="1" applyAlignment="1">
      <alignment horizontal="center"/>
    </xf>
    <xf numFmtId="6" fontId="2" fillId="0" borderId="18" xfId="0" applyNumberFormat="1" applyFont="1" applyFill="1" applyBorder="1" applyAlignment="1">
      <alignment horizontal="right"/>
    </xf>
    <xf numFmtId="6" fontId="2" fillId="0" borderId="19" xfId="0" applyNumberFormat="1" applyFont="1" applyFill="1" applyBorder="1" applyAlignment="1">
      <alignment horizontal="right"/>
    </xf>
    <xf numFmtId="6" fontId="2" fillId="0" borderId="20" xfId="0" applyNumberFormat="1" applyFont="1" applyFill="1" applyBorder="1" applyAlignment="1">
      <alignment horizontal="right"/>
    </xf>
    <xf numFmtId="0" fontId="23" fillId="0" borderId="0" xfId="2" applyFont="1" applyFill="1" applyBorder="1" applyAlignment="1"/>
    <xf numFmtId="6" fontId="2" fillId="0" borderId="42" xfId="0" applyNumberFormat="1" applyFont="1" applyFill="1" applyBorder="1" applyAlignment="1">
      <alignment horizontal="right" indent="1"/>
    </xf>
    <xf numFmtId="6" fontId="2" fillId="0" borderId="7" xfId="0" applyNumberFormat="1" applyFont="1" applyFill="1" applyBorder="1" applyAlignment="1">
      <alignment horizontal="right" indent="1"/>
    </xf>
    <xf numFmtId="6" fontId="2" fillId="0" borderId="9" xfId="0" applyNumberFormat="1" applyFont="1" applyFill="1" applyBorder="1" applyAlignment="1">
      <alignment horizontal="right" indent="1"/>
    </xf>
    <xf numFmtId="0" fontId="2" fillId="0" borderId="13" xfId="0" applyFont="1" applyFill="1" applyBorder="1" applyAlignment="1">
      <alignment horizontal="center"/>
    </xf>
    <xf numFmtId="6" fontId="2" fillId="0" borderId="13" xfId="0" applyNumberFormat="1" applyFont="1" applyFill="1" applyBorder="1" applyAlignment="1">
      <alignment horizontal="right"/>
    </xf>
    <xf numFmtId="6" fontId="2" fillId="0" borderId="45" xfId="0" applyNumberFormat="1" applyFont="1" applyFill="1" applyBorder="1" applyAlignment="1">
      <alignment horizontal="right"/>
    </xf>
    <xf numFmtId="6" fontId="0" fillId="0" borderId="0" xfId="0" applyNumberFormat="1" applyBorder="1"/>
    <xf numFmtId="164" fontId="2" fillId="0" borderId="13" xfId="0" applyNumberFormat="1" applyFont="1" applyFill="1" applyBorder="1" applyAlignment="1">
      <alignment horizontal="center"/>
    </xf>
    <xf numFmtId="164" fontId="2" fillId="0" borderId="14" xfId="0" applyNumberFormat="1" applyFont="1" applyFill="1" applyBorder="1" applyAlignment="1">
      <alignment horizontal="center"/>
    </xf>
    <xf numFmtId="164" fontId="2" fillId="0" borderId="15" xfId="0" applyNumberFormat="1" applyFont="1" applyFill="1" applyBorder="1" applyAlignment="1">
      <alignment horizontal="center"/>
    </xf>
    <xf numFmtId="0" fontId="0" fillId="0" borderId="0" xfId="0" applyFill="1" applyBorder="1" applyAlignment="1">
      <alignment horizontal="center"/>
    </xf>
    <xf numFmtId="0" fontId="0" fillId="0" borderId="26" xfId="0" applyFont="1" applyFill="1" applyBorder="1" applyAlignment="1">
      <alignment horizontal="center"/>
    </xf>
    <xf numFmtId="0" fontId="8" fillId="0" borderId="22" xfId="0" applyFont="1" applyFill="1" applyBorder="1" applyAlignment="1">
      <alignment horizontal="center" vertical="center"/>
    </xf>
    <xf numFmtId="0" fontId="8" fillId="0" borderId="24" xfId="0" applyFont="1" applyFill="1" applyBorder="1" applyAlignment="1">
      <alignment horizontal="center" vertical="center"/>
    </xf>
    <xf numFmtId="0" fontId="10" fillId="0" borderId="22" xfId="1" applyNumberFormat="1" applyFont="1" applyFill="1" applyBorder="1" applyAlignment="1">
      <alignment horizontal="center"/>
    </xf>
    <xf numFmtId="0" fontId="10" fillId="0" borderId="24" xfId="1" applyNumberFormat="1" applyFont="1" applyFill="1" applyBorder="1" applyAlignment="1">
      <alignment horizontal="center"/>
    </xf>
    <xf numFmtId="0" fontId="10" fillId="0" borderId="25" xfId="1" applyNumberFormat="1" applyFont="1" applyFill="1" applyBorder="1" applyAlignment="1">
      <alignment horizontal="center"/>
    </xf>
    <xf numFmtId="6" fontId="2" fillId="0" borderId="34" xfId="0" applyNumberFormat="1" applyFont="1" applyFill="1" applyBorder="1" applyAlignment="1">
      <alignment horizontal="right" indent="1"/>
    </xf>
    <xf numFmtId="164" fontId="2" fillId="0" borderId="45" xfId="0" applyNumberFormat="1" applyFont="1" applyFill="1" applyBorder="1" applyAlignment="1">
      <alignment horizontal="center"/>
    </xf>
    <xf numFmtId="0" fontId="2" fillId="0" borderId="0" xfId="0" applyFont="1" applyBorder="1" applyAlignment="1">
      <alignment horizontal="center" vertical="center"/>
    </xf>
    <xf numFmtId="6" fontId="2" fillId="0" borderId="0" xfId="0" applyNumberFormat="1" applyFont="1" applyBorder="1" applyAlignment="1">
      <alignment horizontal="right" indent="1"/>
    </xf>
    <xf numFmtId="37" fontId="2" fillId="0" borderId="43" xfId="1" applyNumberFormat="1" applyFont="1" applyBorder="1" applyAlignment="1">
      <alignment horizontal="right" indent="1"/>
    </xf>
    <xf numFmtId="6" fontId="2" fillId="0" borderId="26" xfId="136" applyNumberFormat="1" applyFont="1" applyFill="1" applyBorder="1" applyAlignment="1">
      <alignment horizontal="right"/>
    </xf>
    <xf numFmtId="37" fontId="2" fillId="0" borderId="53" xfId="136" applyNumberFormat="1" applyFont="1" applyFill="1" applyBorder="1" applyAlignment="1">
      <alignment horizontal="center"/>
    </xf>
    <xf numFmtId="37" fontId="2" fillId="0" borderId="19" xfId="136" applyNumberFormat="1" applyFont="1" applyFill="1" applyBorder="1" applyAlignment="1">
      <alignment horizontal="center"/>
    </xf>
    <xf numFmtId="37" fontId="2" fillId="0" borderId="35" xfId="136" applyNumberFormat="1" applyFont="1" applyFill="1" applyBorder="1" applyAlignment="1">
      <alignment horizontal="center"/>
    </xf>
    <xf numFmtId="37" fontId="2" fillId="0" borderId="20" xfId="136" applyNumberFormat="1" applyFont="1" applyFill="1" applyBorder="1" applyAlignment="1">
      <alignment horizontal="center"/>
    </xf>
    <xf numFmtId="37" fontId="2" fillId="0" borderId="0" xfId="0" applyNumberFormat="1" applyFont="1" applyBorder="1"/>
    <xf numFmtId="37" fontId="2" fillId="0" borderId="18" xfId="136" applyNumberFormat="1" applyFont="1" applyFill="1" applyBorder="1" applyAlignment="1">
      <alignment horizontal="center"/>
    </xf>
    <xf numFmtId="6" fontId="2" fillId="0" borderId="34" xfId="136" applyNumberFormat="1" applyFont="1" applyFill="1" applyBorder="1" applyAlignment="1">
      <alignment horizontal="right"/>
    </xf>
    <xf numFmtId="6" fontId="2" fillId="0" borderId="51" xfId="136" applyNumberFormat="1" applyFont="1" applyFill="1" applyBorder="1" applyAlignment="1">
      <alignment horizontal="right"/>
    </xf>
    <xf numFmtId="6" fontId="2" fillId="0" borderId="53" xfId="136" applyNumberFormat="1" applyFont="1" applyFill="1" applyBorder="1" applyAlignment="1">
      <alignment horizontal="right"/>
    </xf>
    <xf numFmtId="6" fontId="2" fillId="0" borderId="35" xfId="136" applyNumberFormat="1" applyFont="1" applyFill="1" applyBorder="1" applyAlignment="1">
      <alignment horizontal="right"/>
    </xf>
    <xf numFmtId="6" fontId="2" fillId="0" borderId="52" xfId="136" applyNumberFormat="1" applyFont="1" applyFill="1" applyBorder="1" applyAlignment="1">
      <alignment horizontal="right"/>
    </xf>
    <xf numFmtId="6" fontId="2" fillId="0" borderId="34" xfId="0" applyNumberFormat="1" applyFont="1" applyBorder="1" applyAlignment="1">
      <alignment horizontal="right" indent="1"/>
    </xf>
    <xf numFmtId="6" fontId="2" fillId="0" borderId="18" xfId="0" applyNumberFormat="1" applyFont="1" applyBorder="1" applyAlignment="1">
      <alignment horizontal="right" indent="1"/>
    </xf>
    <xf numFmtId="6" fontId="2" fillId="0" borderId="36" xfId="0" applyNumberFormat="1" applyFont="1" applyBorder="1" applyAlignment="1">
      <alignment horizontal="right" indent="1"/>
    </xf>
    <xf numFmtId="6" fontId="2" fillId="0" borderId="17" xfId="0" applyNumberFormat="1" applyFont="1" applyBorder="1" applyAlignment="1">
      <alignment horizontal="right" indent="1"/>
    </xf>
    <xf numFmtId="0" fontId="0" fillId="0" borderId="34" xfId="0" applyBorder="1"/>
    <xf numFmtId="0" fontId="8" fillId="0" borderId="56" xfId="0" applyFont="1" applyFill="1" applyBorder="1" applyAlignment="1">
      <alignment horizontal="center" vertical="center"/>
    </xf>
    <xf numFmtId="0" fontId="8" fillId="0" borderId="43" xfId="0" applyFont="1" applyFill="1" applyBorder="1" applyAlignment="1">
      <alignment horizontal="center" vertical="center"/>
    </xf>
    <xf numFmtId="0" fontId="0" fillId="0" borderId="18" xfId="0" applyBorder="1"/>
    <xf numFmtId="0" fontId="0" fillId="0" borderId="53" xfId="0" applyBorder="1"/>
    <xf numFmtId="2" fontId="0" fillId="0" borderId="19" xfId="0" applyNumberFormat="1" applyBorder="1"/>
    <xf numFmtId="0" fontId="0" fillId="0" borderId="35" xfId="0" applyBorder="1"/>
    <xf numFmtId="2" fontId="0" fillId="0" borderId="20" xfId="0" applyNumberFormat="1" applyBorder="1"/>
    <xf numFmtId="0" fontId="16" fillId="0" borderId="1" xfId="0" applyFont="1" applyBorder="1" applyAlignment="1">
      <alignment horizontal="left"/>
    </xf>
    <xf numFmtId="164" fontId="8" fillId="0" borderId="2" xfId="0" applyNumberFormat="1" applyFont="1" applyBorder="1" applyAlignment="1">
      <alignment horizontal="center"/>
    </xf>
    <xf numFmtId="0" fontId="8" fillId="0" borderId="54" xfId="0" applyFont="1" applyBorder="1" applyAlignment="1">
      <alignment horizontal="center" vertical="center"/>
    </xf>
    <xf numFmtId="0" fontId="8" fillId="0" borderId="56" xfId="0" applyFont="1" applyBorder="1" applyAlignment="1">
      <alignment horizontal="center" vertical="center"/>
    </xf>
    <xf numFmtId="0" fontId="8" fillId="0" borderId="43" xfId="0" applyFont="1" applyBorder="1" applyAlignment="1">
      <alignment horizontal="center" vertical="center"/>
    </xf>
    <xf numFmtId="0" fontId="10" fillId="0" borderId="53" xfId="0" applyFont="1" applyBorder="1" applyAlignment="1">
      <alignment vertical="center"/>
    </xf>
    <xf numFmtId="0" fontId="8" fillId="0" borderId="3" xfId="0" applyFont="1" applyBorder="1" applyAlignment="1">
      <alignment horizontal="left"/>
    </xf>
    <xf numFmtId="0" fontId="8" fillId="0" borderId="4" xfId="0" applyFont="1" applyBorder="1" applyAlignment="1">
      <alignment horizontal="center"/>
    </xf>
    <xf numFmtId="164" fontId="8" fillId="0" borderId="4" xfId="0" applyNumberFormat="1" applyFont="1" applyBorder="1" applyAlignment="1">
      <alignment horizontal="center"/>
    </xf>
    <xf numFmtId="165" fontId="10" fillId="0" borderId="58" xfId="1" applyNumberFormat="1" applyFont="1" applyFill="1" applyBorder="1" applyAlignment="1">
      <alignment horizontal="center"/>
    </xf>
    <xf numFmtId="0" fontId="5" fillId="0" borderId="1" xfId="0" applyFont="1" applyBorder="1"/>
    <xf numFmtId="0" fontId="0" fillId="0" borderId="2" xfId="0" applyBorder="1"/>
    <xf numFmtId="0" fontId="5" fillId="0" borderId="51" xfId="0" applyFont="1" applyBorder="1" applyAlignment="1">
      <alignment horizontal="center"/>
    </xf>
    <xf numFmtId="165" fontId="9" fillId="0" borderId="58" xfId="1" applyNumberFormat="1" applyFont="1" applyFill="1" applyBorder="1" applyAlignment="1" applyProtection="1">
      <alignment vertical="center"/>
    </xf>
    <xf numFmtId="0" fontId="8" fillId="0" borderId="54" xfId="0" applyFont="1" applyFill="1" applyBorder="1" applyAlignment="1">
      <alignment horizontal="center" vertical="center"/>
    </xf>
    <xf numFmtId="0" fontId="10" fillId="0" borderId="7" xfId="0" applyFont="1" applyFill="1" applyBorder="1" applyAlignment="1">
      <alignment vertical="center"/>
    </xf>
    <xf numFmtId="0" fontId="8" fillId="0" borderId="35" xfId="0" applyFont="1" applyFill="1" applyBorder="1" applyAlignment="1">
      <alignment horizontal="left"/>
    </xf>
    <xf numFmtId="169" fontId="0" fillId="0" borderId="0" xfId="136" applyNumberFormat="1" applyFont="1" applyFill="1" applyBorder="1"/>
    <xf numFmtId="43" fontId="0" fillId="0" borderId="0" xfId="0" applyNumberFormat="1" applyFill="1"/>
    <xf numFmtId="175" fontId="0" fillId="0" borderId="0" xfId="137" applyNumberFormat="1" applyFont="1" applyFill="1" applyBorder="1"/>
    <xf numFmtId="2" fontId="0" fillId="0" borderId="26" xfId="137" applyNumberFormat="1" applyFont="1" applyFill="1" applyBorder="1" applyAlignment="1">
      <alignment horizontal="center"/>
    </xf>
    <xf numFmtId="171" fontId="0" fillId="0" borderId="26" xfId="1" applyNumberFormat="1" applyFont="1" applyFill="1" applyBorder="1" applyAlignment="1">
      <alignment horizontal="center"/>
    </xf>
    <xf numFmtId="0" fontId="29" fillId="0" borderId="0" xfId="0" applyFont="1" applyFill="1" applyAlignment="1">
      <alignment vertical="center" wrapText="1"/>
    </xf>
    <xf numFmtId="6" fontId="2" fillId="0" borderId="52" xfId="0" applyNumberFormat="1" applyFont="1" applyBorder="1" applyAlignment="1">
      <alignment horizontal="center"/>
    </xf>
    <xf numFmtId="6" fontId="2" fillId="0" borderId="20" xfId="0" applyNumberFormat="1" applyFont="1" applyBorder="1" applyAlignment="1">
      <alignment horizontal="center"/>
    </xf>
    <xf numFmtId="6" fontId="2" fillId="0" borderId="15" xfId="0" applyNumberFormat="1" applyFont="1" applyBorder="1" applyAlignment="1">
      <alignment horizontal="center"/>
    </xf>
    <xf numFmtId="6" fontId="2" fillId="0" borderId="59" xfId="0" applyNumberFormat="1" applyFont="1" applyBorder="1" applyAlignment="1">
      <alignment horizontal="center"/>
    </xf>
    <xf numFmtId="6" fontId="2" fillId="0" borderId="60" xfId="0" applyNumberFormat="1" applyFont="1" applyBorder="1" applyAlignment="1">
      <alignment horizontal="center"/>
    </xf>
    <xf numFmtId="0" fontId="5" fillId="2" borderId="61" xfId="0" applyFont="1" applyFill="1" applyBorder="1"/>
    <xf numFmtId="0" fontId="5" fillId="2" borderId="35" xfId="0" applyFont="1" applyFill="1" applyBorder="1"/>
    <xf numFmtId="2" fontId="0" fillId="0" borderId="62" xfId="0" applyNumberFormat="1" applyFill="1" applyBorder="1" applyAlignment="1">
      <alignment horizontal="center"/>
    </xf>
    <xf numFmtId="164" fontId="0" fillId="0" borderId="20" xfId="0" applyNumberFormat="1" applyFill="1" applyBorder="1" applyAlignment="1">
      <alignment horizontal="center"/>
    </xf>
    <xf numFmtId="6" fontId="2" fillId="0" borderId="12" xfId="0" applyNumberFormat="1" applyFont="1" applyFill="1" applyBorder="1" applyAlignment="1">
      <alignment horizontal="right"/>
    </xf>
    <xf numFmtId="0" fontId="0" fillId="0" borderId="26" xfId="0" applyBorder="1" applyAlignment="1">
      <alignment horizontal="center"/>
    </xf>
    <xf numFmtId="176" fontId="2" fillId="0" borderId="42" xfId="0" applyNumberFormat="1" applyFont="1" applyBorder="1" applyAlignment="1">
      <alignment horizontal="center"/>
    </xf>
    <xf numFmtId="6" fontId="2" fillId="0" borderId="43" xfId="0" applyNumberFormat="1" applyFont="1" applyBorder="1" applyAlignment="1">
      <alignment horizontal="center"/>
    </xf>
    <xf numFmtId="176" fontId="2" fillId="0" borderId="9" xfId="0" applyNumberFormat="1" applyFont="1" applyBorder="1" applyAlignment="1">
      <alignment horizontal="center"/>
    </xf>
    <xf numFmtId="6" fontId="2" fillId="0" borderId="35" xfId="0" applyNumberFormat="1" applyFont="1" applyBorder="1" applyAlignment="1">
      <alignment horizontal="center"/>
    </xf>
    <xf numFmtId="6" fontId="2" fillId="0" borderId="0" xfId="0" applyNumberFormat="1" applyFont="1" applyAlignment="1">
      <alignment horizontal="center"/>
    </xf>
    <xf numFmtId="0" fontId="0" fillId="0" borderId="49" xfId="0" applyBorder="1" applyAlignment="1"/>
    <xf numFmtId="0" fontId="0" fillId="0" borderId="0" xfId="0" applyFill="1" applyAlignment="1">
      <alignment horizontal="left" vertical="top" wrapText="1"/>
    </xf>
    <xf numFmtId="0" fontId="0" fillId="0" borderId="0" xfId="0" applyAlignment="1">
      <alignment horizontal="left" vertical="top" wrapText="1"/>
    </xf>
    <xf numFmtId="0" fontId="5" fillId="0" borderId="0" xfId="0" applyFont="1" applyBorder="1" applyAlignment="1">
      <alignment horizontal="center" vertical="center" textRotation="90" wrapText="1"/>
    </xf>
    <xf numFmtId="0" fontId="2" fillId="0" borderId="0" xfId="0" applyFont="1" applyBorder="1"/>
    <xf numFmtId="0" fontId="5" fillId="0" borderId="0" xfId="0" applyFont="1" applyBorder="1" applyAlignment="1">
      <alignment horizontal="center"/>
    </xf>
    <xf numFmtId="164" fontId="0" fillId="0" borderId="0" xfId="0" applyNumberFormat="1" applyBorder="1"/>
    <xf numFmtId="3" fontId="2" fillId="0" borderId="13" xfId="0" applyNumberFormat="1" applyFont="1" applyBorder="1" applyAlignment="1">
      <alignment horizontal="center"/>
    </xf>
    <xf numFmtId="3" fontId="2" fillId="0" borderId="14" xfId="0" applyNumberFormat="1" applyFont="1" applyBorder="1" applyAlignment="1">
      <alignment horizontal="center"/>
    </xf>
    <xf numFmtId="3" fontId="2" fillId="0" borderId="15" xfId="0" applyNumberFormat="1" applyFont="1" applyBorder="1" applyAlignment="1">
      <alignment horizontal="center"/>
    </xf>
    <xf numFmtId="177" fontId="2" fillId="0" borderId="53" xfId="0" applyNumberFormat="1" applyFont="1" applyBorder="1" applyAlignment="1">
      <alignment horizontal="center"/>
    </xf>
    <xf numFmtId="177" fontId="2" fillId="0" borderId="26" xfId="0" applyNumberFormat="1" applyFont="1" applyBorder="1" applyAlignment="1">
      <alignment horizontal="center"/>
    </xf>
    <xf numFmtId="177" fontId="2" fillId="0" borderId="19" xfId="0" applyNumberFormat="1" applyFont="1" applyBorder="1" applyAlignment="1">
      <alignment horizontal="center"/>
    </xf>
    <xf numFmtId="177" fontId="2" fillId="0" borderId="35" xfId="0" applyNumberFormat="1" applyFont="1" applyBorder="1" applyAlignment="1">
      <alignment horizontal="center"/>
    </xf>
    <xf numFmtId="177" fontId="2" fillId="0" borderId="52" xfId="0" applyNumberFormat="1" applyFont="1" applyBorder="1" applyAlignment="1">
      <alignment horizontal="center"/>
    </xf>
    <xf numFmtId="177" fontId="2" fillId="0" borderId="20" xfId="0" applyNumberFormat="1" applyFont="1" applyBorder="1" applyAlignment="1">
      <alignment horizontal="center"/>
    </xf>
    <xf numFmtId="176" fontId="2" fillId="0" borderId="5" xfId="0" applyNumberFormat="1" applyFont="1" applyBorder="1" applyAlignment="1">
      <alignment horizontal="center"/>
    </xf>
    <xf numFmtId="6" fontId="2" fillId="0" borderId="34" xfId="0" applyNumberFormat="1" applyFont="1" applyBorder="1" applyAlignment="1">
      <alignment horizontal="center"/>
    </xf>
    <xf numFmtId="6" fontId="2" fillId="0" borderId="18" xfId="0" applyNumberFormat="1" applyFont="1" applyBorder="1" applyAlignment="1">
      <alignment horizontal="center"/>
    </xf>
    <xf numFmtId="177" fontId="2" fillId="0" borderId="34" xfId="0" applyNumberFormat="1" applyFont="1" applyBorder="1" applyAlignment="1">
      <alignment horizontal="center"/>
    </xf>
    <xf numFmtId="177" fontId="2" fillId="0" borderId="51" xfId="0" applyNumberFormat="1" applyFont="1" applyBorder="1" applyAlignment="1">
      <alignment horizontal="center"/>
    </xf>
    <xf numFmtId="177" fontId="2" fillId="0" borderId="18" xfId="0" applyNumberFormat="1" applyFont="1" applyBorder="1" applyAlignment="1">
      <alignment horizontal="center"/>
    </xf>
    <xf numFmtId="6" fontId="2" fillId="0" borderId="57" xfId="0" applyNumberFormat="1" applyFont="1" applyBorder="1" applyAlignment="1">
      <alignment horizontal="center"/>
    </xf>
    <xf numFmtId="6" fontId="2" fillId="0" borderId="51" xfId="0" applyNumberFormat="1" applyFont="1" applyBorder="1" applyAlignment="1">
      <alignment horizontal="center"/>
    </xf>
    <xf numFmtId="6" fontId="2" fillId="0" borderId="13" xfId="0" applyNumberFormat="1" applyFont="1" applyBorder="1" applyAlignment="1">
      <alignment horizontal="center"/>
    </xf>
    <xf numFmtId="6" fontId="2" fillId="0" borderId="6" xfId="0" applyNumberFormat="1" applyFont="1" applyBorder="1" applyAlignment="1">
      <alignment horizontal="center"/>
    </xf>
    <xf numFmtId="6" fontId="2" fillId="0" borderId="8" xfId="0" applyNumberFormat="1" applyFont="1" applyBorder="1" applyAlignment="1">
      <alignment horizontal="center"/>
    </xf>
    <xf numFmtId="6" fontId="2" fillId="0" borderId="10" xfId="0" applyNumberFormat="1" applyFont="1" applyBorder="1" applyAlignment="1">
      <alignment horizontal="center"/>
    </xf>
    <xf numFmtId="6" fontId="2" fillId="0" borderId="53" xfId="0" applyNumberFormat="1" applyFont="1" applyBorder="1" applyAlignment="1">
      <alignment horizontal="center"/>
    </xf>
    <xf numFmtId="3" fontId="0" fillId="0" borderId="26" xfId="0" applyNumberFormat="1" applyFill="1" applyBorder="1" applyAlignment="1">
      <alignment horizontal="center"/>
    </xf>
    <xf numFmtId="37" fontId="0" fillId="0" borderId="26" xfId="0" applyNumberFormat="1" applyFont="1" applyFill="1" applyBorder="1" applyAlignment="1">
      <alignment horizontal="center"/>
    </xf>
    <xf numFmtId="0" fontId="0" fillId="0" borderId="26" xfId="0" applyFont="1" applyFill="1" applyBorder="1" applyAlignment="1">
      <alignment horizontal="center"/>
    </xf>
    <xf numFmtId="37" fontId="2" fillId="0" borderId="15" xfId="1" applyNumberFormat="1" applyFont="1" applyBorder="1" applyAlignment="1">
      <alignment horizontal="right" indent="1"/>
    </xf>
    <xf numFmtId="37" fontId="2" fillId="0" borderId="34" xfId="136" applyNumberFormat="1" applyFont="1" applyFill="1" applyBorder="1" applyAlignment="1">
      <alignment horizontal="center"/>
    </xf>
    <xf numFmtId="6" fontId="2" fillId="0" borderId="47" xfId="0" applyNumberFormat="1" applyFont="1" applyBorder="1" applyAlignment="1">
      <alignment horizontal="right" indent="1"/>
    </xf>
    <xf numFmtId="164" fontId="2" fillId="0" borderId="8" xfId="0" applyNumberFormat="1" applyFont="1" applyBorder="1" applyAlignment="1">
      <alignment horizontal="center"/>
    </xf>
    <xf numFmtId="0" fontId="3" fillId="0" borderId="0" xfId="0" applyFont="1" applyBorder="1" applyAlignment="1">
      <alignment horizontal="center" wrapText="1"/>
    </xf>
    <xf numFmtId="0" fontId="0" fillId="0" borderId="26" xfId="0" applyBorder="1"/>
    <xf numFmtId="0" fontId="0" fillId="0" borderId="65" xfId="0" applyBorder="1"/>
    <xf numFmtId="164" fontId="0" fillId="0" borderId="25" xfId="0" applyNumberFormat="1" applyBorder="1"/>
    <xf numFmtId="164" fontId="0" fillId="0" borderId="28" xfId="0" applyNumberFormat="1" applyBorder="1"/>
    <xf numFmtId="0" fontId="0" fillId="0" borderId="66" xfId="0" applyBorder="1"/>
    <xf numFmtId="164" fontId="0" fillId="0" borderId="22" xfId="0" applyNumberFormat="1" applyBorder="1"/>
    <xf numFmtId="164" fontId="0" fillId="0" borderId="46" xfId="0" applyNumberFormat="1" applyBorder="1"/>
    <xf numFmtId="0" fontId="2" fillId="0" borderId="13" xfId="0" applyFont="1" applyBorder="1" applyAlignment="1">
      <alignment horizontal="center" vertical="center" wrapText="1"/>
    </xf>
    <xf numFmtId="6" fontId="32" fillId="0" borderId="0" xfId="0" applyNumberFormat="1" applyFont="1"/>
    <xf numFmtId="0" fontId="2" fillId="0" borderId="45" xfId="0" applyFont="1" applyBorder="1" applyAlignment="1">
      <alignment horizontal="center"/>
    </xf>
    <xf numFmtId="164" fontId="2" fillId="0" borderId="44" xfId="0" applyNumberFormat="1" applyFont="1" applyBorder="1" applyAlignment="1">
      <alignment horizontal="center"/>
    </xf>
    <xf numFmtId="1" fontId="2" fillId="0" borderId="27" xfId="0" applyNumberFormat="1" applyFont="1" applyBorder="1" applyAlignment="1">
      <alignment horizontal="center"/>
    </xf>
    <xf numFmtId="164" fontId="2" fillId="0" borderId="27" xfId="0" applyNumberFormat="1" applyFont="1" applyBorder="1" applyAlignment="1">
      <alignment horizontal="center"/>
    </xf>
    <xf numFmtId="164" fontId="2" fillId="0" borderId="6"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Font="1" applyBorder="1" applyAlignment="1">
      <alignment horizontal="center" vertical="center" wrapText="1"/>
    </xf>
    <xf numFmtId="164" fontId="2" fillId="0" borderId="53" xfId="0" applyNumberFormat="1" applyFont="1" applyBorder="1" applyAlignment="1">
      <alignment horizontal="right" vertical="center" wrapText="1" indent="1"/>
    </xf>
    <xf numFmtId="164" fontId="2" fillId="0" borderId="7" xfId="0" applyNumberFormat="1" applyFont="1" applyBorder="1" applyAlignment="1">
      <alignment horizontal="right" vertical="center" wrapText="1" indent="1"/>
    </xf>
    <xf numFmtId="6" fontId="2" fillId="0" borderId="14" xfId="0" applyNumberFormat="1" applyFont="1" applyFill="1" applyBorder="1" applyAlignment="1">
      <alignment horizontal="right"/>
    </xf>
    <xf numFmtId="0" fontId="2" fillId="0" borderId="15" xfId="0" applyFont="1" applyBorder="1" applyAlignment="1">
      <alignment horizontal="center" vertical="center" wrapText="1"/>
    </xf>
    <xf numFmtId="0" fontId="2" fillId="0" borderId="9" xfId="0" applyFont="1" applyBorder="1" applyAlignment="1">
      <alignment horizontal="center" vertical="center" wrapText="1"/>
    </xf>
    <xf numFmtId="164" fontId="2" fillId="0" borderId="35" xfId="0" applyNumberFormat="1" applyFont="1" applyBorder="1" applyAlignment="1">
      <alignment horizontal="right" vertical="center" wrapText="1" indent="1"/>
    </xf>
    <xf numFmtId="164" fontId="2" fillId="0" borderId="9" xfId="0" applyNumberFormat="1" applyFont="1" applyBorder="1" applyAlignment="1">
      <alignment horizontal="right" vertical="center" wrapText="1" indent="1"/>
    </xf>
    <xf numFmtId="6" fontId="2" fillId="0" borderId="15" xfId="0" applyNumberFormat="1" applyFont="1" applyFill="1" applyBorder="1" applyAlignment="1">
      <alignment horizontal="right"/>
    </xf>
    <xf numFmtId="164" fontId="2" fillId="0" borderId="14" xfId="0" applyNumberFormat="1" applyFont="1" applyBorder="1" applyAlignment="1">
      <alignment horizontal="right" vertical="center" wrapText="1" indent="1"/>
    </xf>
    <xf numFmtId="164" fontId="2" fillId="0" borderId="15" xfId="0" applyNumberFormat="1" applyFont="1" applyBorder="1" applyAlignment="1">
      <alignment horizontal="right" vertical="center" wrapText="1" indent="1"/>
    </xf>
    <xf numFmtId="178" fontId="0" fillId="2" borderId="44" xfId="0" applyNumberFormat="1" applyFill="1" applyBorder="1" applyAlignment="1">
      <alignment horizontal="center"/>
    </xf>
    <xf numFmtId="178" fontId="0" fillId="0" borderId="20" xfId="0" applyNumberFormat="1" applyFill="1" applyBorder="1" applyAlignment="1">
      <alignment horizontal="center"/>
    </xf>
    <xf numFmtId="176" fontId="0" fillId="0" borderId="62" xfId="0" applyNumberFormat="1" applyFill="1" applyBorder="1" applyAlignment="1">
      <alignment horizontal="center"/>
    </xf>
    <xf numFmtId="178" fontId="0" fillId="2" borderId="40" xfId="0" applyNumberFormat="1" applyFill="1" applyBorder="1" applyAlignment="1">
      <alignment horizontal="center"/>
    </xf>
    <xf numFmtId="0" fontId="0" fillId="0" borderId="0" xfId="0" applyAlignment="1">
      <alignment horizontal="center" wrapText="1"/>
    </xf>
    <xf numFmtId="3" fontId="0" fillId="0" borderId="26" xfId="0" applyNumberFormat="1" applyBorder="1"/>
    <xf numFmtId="3" fontId="5" fillId="0" borderId="26" xfId="0" applyNumberFormat="1" applyFont="1" applyBorder="1"/>
    <xf numFmtId="0" fontId="0" fillId="0" borderId="38" xfId="0" applyBorder="1"/>
    <xf numFmtId="0" fontId="0" fillId="0" borderId="16" xfId="0" applyFill="1" applyBorder="1" applyAlignment="1">
      <alignment horizontal="center"/>
    </xf>
    <xf numFmtId="1" fontId="0" fillId="0" borderId="19" xfId="0" applyNumberFormat="1" applyFill="1" applyBorder="1" applyAlignment="1">
      <alignment horizontal="center"/>
    </xf>
    <xf numFmtId="1" fontId="0" fillId="0" borderId="20" xfId="0" applyNumberFormat="1" applyFill="1" applyBorder="1" applyAlignment="1">
      <alignment horizontal="center"/>
    </xf>
    <xf numFmtId="0" fontId="0" fillId="0" borderId="26" xfId="0" applyBorder="1" applyAlignment="1">
      <alignment horizontal="center"/>
    </xf>
    <xf numFmtId="0" fontId="5" fillId="0" borderId="26" xfId="0" applyFont="1" applyBorder="1" applyAlignment="1">
      <alignment horizontal="center" vertical="center"/>
    </xf>
    <xf numFmtId="164" fontId="0" fillId="0" borderId="0" xfId="0" applyNumberFormat="1"/>
    <xf numFmtId="0" fontId="0" fillId="0" borderId="0" xfId="0" applyFont="1" applyFill="1" applyAlignment="1">
      <alignment horizontal="left" vertical="top" wrapText="1"/>
    </xf>
    <xf numFmtId="0" fontId="6" fillId="0" borderId="0" xfId="0" applyFont="1" applyAlignment="1">
      <alignment horizontal="center" vertical="center"/>
    </xf>
    <xf numFmtId="0" fontId="6" fillId="0" borderId="0" xfId="0" applyFont="1" applyAlignment="1">
      <alignment horizontal="center"/>
    </xf>
    <xf numFmtId="0" fontId="16" fillId="0" borderId="0" xfId="0" applyFont="1" applyAlignment="1">
      <alignment horizontal="center"/>
    </xf>
    <xf numFmtId="172" fontId="0" fillId="0" borderId="26" xfId="0" applyNumberFormat="1" applyBorder="1" applyAlignment="1">
      <alignment horizontal="center" vertical="center"/>
    </xf>
    <xf numFmtId="6" fontId="0" fillId="0" borderId="26" xfId="0" applyNumberFormat="1" applyBorder="1"/>
    <xf numFmtId="172" fontId="0" fillId="0" borderId="26" xfId="0" applyNumberFormat="1" applyFill="1" applyBorder="1" applyAlignment="1">
      <alignment horizontal="center" vertical="center"/>
    </xf>
    <xf numFmtId="0" fontId="5" fillId="0" borderId="26" xfId="0" applyFont="1" applyBorder="1" applyAlignment="1">
      <alignment vertical="center"/>
    </xf>
    <xf numFmtId="0" fontId="8" fillId="0" borderId="0" xfId="2" applyFont="1" applyFill="1" applyBorder="1" applyAlignment="1">
      <alignment horizontal="center" vertical="center"/>
    </xf>
    <xf numFmtId="172" fontId="0" fillId="0" borderId="26" xfId="0" applyNumberFormat="1" applyBorder="1"/>
    <xf numFmtId="0" fontId="0" fillId="4" borderId="26" xfId="0" applyFill="1" applyBorder="1" applyAlignment="1">
      <alignment horizontal="center" vertical="center"/>
    </xf>
    <xf numFmtId="6" fontId="0" fillId="4" borderId="26" xfId="0" applyNumberFormat="1" applyFill="1" applyBorder="1"/>
    <xf numFmtId="6" fontId="0" fillId="0" borderId="0" xfId="0" applyNumberFormat="1"/>
    <xf numFmtId="6" fontId="5" fillId="0" borderId="0" xfId="0" applyNumberFormat="1" applyFont="1"/>
    <xf numFmtId="0" fontId="2" fillId="0" borderId="36"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17" xfId="0" applyFont="1" applyFill="1" applyBorder="1" applyAlignment="1">
      <alignment horizontal="center" vertical="center" wrapText="1"/>
    </xf>
    <xf numFmtId="173" fontId="2" fillId="0" borderId="43" xfId="0" applyNumberFormat="1" applyFont="1" applyFill="1" applyBorder="1" applyAlignment="1">
      <alignment horizontal="center"/>
    </xf>
    <xf numFmtId="173" fontId="2" fillId="0" borderId="25" xfId="0" applyNumberFormat="1" applyFont="1" applyFill="1" applyBorder="1" applyAlignment="1">
      <alignment horizontal="center"/>
    </xf>
    <xf numFmtId="173" fontId="2" fillId="0" borderId="44" xfId="0" applyNumberFormat="1" applyFont="1" applyFill="1" applyBorder="1" applyAlignment="1">
      <alignment horizontal="center"/>
    </xf>
    <xf numFmtId="173" fontId="2" fillId="0" borderId="53" xfId="0" applyNumberFormat="1" applyFont="1" applyFill="1" applyBorder="1" applyAlignment="1">
      <alignment horizontal="center"/>
    </xf>
    <xf numFmtId="173" fontId="2" fillId="0" borderId="26" xfId="0" applyNumberFormat="1" applyFont="1" applyFill="1" applyBorder="1" applyAlignment="1">
      <alignment horizontal="center"/>
    </xf>
    <xf numFmtId="173" fontId="2" fillId="0" borderId="19" xfId="0" applyNumberFormat="1" applyFont="1" applyFill="1" applyBorder="1" applyAlignment="1">
      <alignment horizontal="center"/>
    </xf>
    <xf numFmtId="173" fontId="2" fillId="0" borderId="35" xfId="0" applyNumberFormat="1" applyFont="1" applyFill="1" applyBorder="1" applyAlignment="1">
      <alignment horizontal="center"/>
    </xf>
    <xf numFmtId="173" fontId="2" fillId="0" borderId="52" xfId="0" applyNumberFormat="1" applyFont="1" applyFill="1" applyBorder="1" applyAlignment="1">
      <alignment horizontal="center"/>
    </xf>
    <xf numFmtId="173" fontId="2" fillId="0" borderId="20" xfId="0" applyNumberFormat="1" applyFont="1" applyFill="1" applyBorder="1" applyAlignment="1">
      <alignment horizontal="center"/>
    </xf>
    <xf numFmtId="164" fontId="2" fillId="0" borderId="13" xfId="0" applyNumberFormat="1" applyFont="1" applyFill="1" applyBorder="1" applyAlignment="1">
      <alignment horizontal="right"/>
    </xf>
    <xf numFmtId="164" fontId="2" fillId="0" borderId="14" xfId="0" applyNumberFormat="1" applyFont="1" applyFill="1" applyBorder="1" applyAlignment="1">
      <alignment horizontal="right"/>
    </xf>
    <xf numFmtId="164" fontId="2" fillId="0" borderId="15" xfId="0" applyNumberFormat="1" applyFont="1" applyFill="1" applyBorder="1" applyAlignment="1">
      <alignment horizontal="right"/>
    </xf>
    <xf numFmtId="0" fontId="0" fillId="0" borderId="59" xfId="0" applyFill="1" applyBorder="1"/>
    <xf numFmtId="1" fontId="0" fillId="0" borderId="26" xfId="0" applyNumberFormat="1" applyFill="1" applyBorder="1"/>
    <xf numFmtId="9" fontId="0" fillId="0" borderId="21" xfId="137" applyFont="1" applyFill="1" applyBorder="1"/>
    <xf numFmtId="0" fontId="0" fillId="0" borderId="66" xfId="0" applyFill="1" applyBorder="1"/>
    <xf numFmtId="178" fontId="0" fillId="0" borderId="22" xfId="0" applyNumberFormat="1" applyFill="1" applyBorder="1"/>
    <xf numFmtId="9" fontId="0" fillId="0" borderId="46" xfId="137" applyFont="1" applyFill="1" applyBorder="1"/>
    <xf numFmtId="0" fontId="0" fillId="0" borderId="65" xfId="0" applyFill="1" applyBorder="1" applyAlignment="1">
      <alignment wrapText="1"/>
    </xf>
    <xf numFmtId="0" fontId="0" fillId="0" borderId="25" xfId="0" applyFill="1" applyBorder="1" applyAlignment="1">
      <alignment horizontal="center" wrapText="1"/>
    </xf>
    <xf numFmtId="0" fontId="0" fillId="0" borderId="28" xfId="0" applyFill="1" applyBorder="1" applyAlignment="1">
      <alignment horizontal="center" wrapText="1"/>
    </xf>
    <xf numFmtId="0" fontId="2" fillId="0" borderId="13" xfId="0" applyFont="1" applyBorder="1" applyAlignment="1">
      <alignment horizontal="center" vertical="center" wrapText="1"/>
    </xf>
    <xf numFmtId="0" fontId="30" fillId="0" borderId="0" xfId="0" applyFont="1" applyBorder="1" applyAlignment="1">
      <alignment horizontal="center" vertical="center" wrapText="1"/>
    </xf>
    <xf numFmtId="164" fontId="31" fillId="0" borderId="0" xfId="0" applyNumberFormat="1" applyFont="1" applyBorder="1" applyAlignment="1">
      <alignment horizontal="right" vertical="center" wrapText="1"/>
    </xf>
    <xf numFmtId="9" fontId="31" fillId="0" borderId="0" xfId="137" applyFont="1" applyBorder="1" applyAlignment="1">
      <alignment vertical="center" wrapText="1"/>
    </xf>
    <xf numFmtId="164" fontId="31" fillId="0" borderId="0" xfId="0" applyNumberFormat="1" applyFont="1" applyBorder="1" applyAlignment="1">
      <alignment vertical="center" wrapText="1"/>
    </xf>
    <xf numFmtId="0" fontId="27" fillId="0" borderId="0" xfId="0" applyFont="1" applyBorder="1" applyAlignment="1">
      <alignment horizontal="center" vertical="center"/>
    </xf>
    <xf numFmtId="0" fontId="28" fillId="0" borderId="0" xfId="0" applyFont="1" applyBorder="1" applyAlignment="1">
      <alignment horizontal="center" vertical="center"/>
    </xf>
    <xf numFmtId="0" fontId="0" fillId="0" borderId="26" xfId="0" applyBorder="1" applyAlignment="1">
      <alignment horizontal="center"/>
    </xf>
    <xf numFmtId="0" fontId="0" fillId="0" borderId="0" xfId="0" applyAlignment="1">
      <alignment horizontal="left" vertical="top" wrapText="1"/>
    </xf>
    <xf numFmtId="0" fontId="0" fillId="0" borderId="23" xfId="0" applyBorder="1" applyAlignment="1">
      <alignment horizontal="left" vertical="top" wrapText="1"/>
    </xf>
    <xf numFmtId="0" fontId="2" fillId="0" borderId="63" xfId="0" applyFont="1" applyBorder="1" applyAlignment="1">
      <alignment horizontal="center" vertical="center" wrapText="1"/>
    </xf>
    <xf numFmtId="171" fontId="0" fillId="0" borderId="26" xfId="0" applyNumberFormat="1" applyBorder="1"/>
    <xf numFmtId="164" fontId="0" fillId="0" borderId="26" xfId="0" applyNumberFormat="1" applyBorder="1"/>
    <xf numFmtId="3" fontId="6" fillId="0" borderId="26" xfId="139" applyNumberFormat="1" applyFont="1" applyFill="1" applyBorder="1" applyAlignment="1">
      <alignment wrapText="1"/>
    </xf>
    <xf numFmtId="0" fontId="26" fillId="0" borderId="0" xfId="138"/>
    <xf numFmtId="164" fontId="2" fillId="0" borderId="6" xfId="0" applyNumberFormat="1" applyFont="1" applyBorder="1" applyAlignment="1">
      <alignment horizontal="right" vertical="center" wrapText="1"/>
    </xf>
    <xf numFmtId="164" fontId="2" fillId="0" borderId="18" xfId="0" applyNumberFormat="1" applyFont="1" applyBorder="1" applyAlignment="1">
      <alignment horizontal="right" vertical="center"/>
    </xf>
    <xf numFmtId="164" fontId="2" fillId="0" borderId="27" xfId="0" applyNumberFormat="1" applyFont="1" applyBorder="1" applyAlignment="1">
      <alignment horizontal="right"/>
    </xf>
    <xf numFmtId="164" fontId="2" fillId="0" borderId="44" xfId="0" applyNumberFormat="1" applyFont="1" applyBorder="1" applyAlignment="1">
      <alignment horizontal="right"/>
    </xf>
    <xf numFmtId="164" fontId="2" fillId="0" borderId="8" xfId="0" applyNumberFormat="1" applyFont="1" applyBorder="1" applyAlignment="1">
      <alignment horizontal="right"/>
    </xf>
    <xf numFmtId="164" fontId="2" fillId="0" borderId="19" xfId="0" applyNumberFormat="1" applyFont="1" applyBorder="1" applyAlignment="1">
      <alignment horizontal="right"/>
    </xf>
    <xf numFmtId="164" fontId="2" fillId="0" borderId="10" xfId="0" applyNumberFormat="1" applyFont="1" applyBorder="1" applyAlignment="1">
      <alignment horizontal="right"/>
    </xf>
    <xf numFmtId="164" fontId="2" fillId="0" borderId="20" xfId="0" applyNumberFormat="1" applyFont="1" applyBorder="1" applyAlignment="1">
      <alignment horizontal="right"/>
    </xf>
    <xf numFmtId="164" fontId="2" fillId="0" borderId="0" xfId="0" applyNumberFormat="1" applyFont="1" applyAlignment="1">
      <alignment horizontal="right"/>
    </xf>
    <xf numFmtId="0" fontId="0" fillId="0" borderId="26" xfId="0" applyBorder="1" applyAlignment="1">
      <alignment horizontal="center"/>
    </xf>
    <xf numFmtId="0" fontId="0" fillId="0" borderId="0" xfId="0" applyAlignment="1">
      <alignment horizontal="left" vertical="top" wrapText="1"/>
    </xf>
    <xf numFmtId="2" fontId="0" fillId="0" borderId="26" xfId="0" applyNumberFormat="1" applyBorder="1" applyAlignment="1">
      <alignment horizontal="center"/>
    </xf>
    <xf numFmtId="0" fontId="5" fillId="0" borderId="21" xfId="0" applyFont="1" applyBorder="1" applyAlignment="1">
      <alignment horizontal="center"/>
    </xf>
    <xf numFmtId="0" fontId="0" fillId="0" borderId="21" xfId="0" applyBorder="1" applyAlignment="1">
      <alignment horizontal="center"/>
    </xf>
    <xf numFmtId="3" fontId="0" fillId="0" borderId="26" xfId="0" applyNumberFormat="1" applyBorder="1" applyAlignment="1">
      <alignment horizontal="center"/>
    </xf>
    <xf numFmtId="0" fontId="0" fillId="0" borderId="0" xfId="0" applyBorder="1" applyAlignment="1">
      <alignment horizontal="left" vertical="top" wrapText="1"/>
    </xf>
    <xf numFmtId="0" fontId="0" fillId="0" borderId="23" xfId="0" applyBorder="1" applyAlignment="1">
      <alignment horizontal="left" vertical="top"/>
    </xf>
    <xf numFmtId="0" fontId="35" fillId="0" borderId="0" xfId="6" applyFont="1"/>
    <xf numFmtId="0" fontId="7" fillId="0" borderId="0" xfId="6"/>
    <xf numFmtId="0" fontId="37" fillId="0" borderId="0" xfId="140" applyFont="1" applyAlignment="1" applyProtection="1"/>
    <xf numFmtId="0" fontId="38" fillId="0" borderId="0" xfId="6" applyFont="1"/>
    <xf numFmtId="0" fontId="35" fillId="0" borderId="0" xfId="6" applyFont="1" applyAlignment="1">
      <alignment horizontal="center"/>
    </xf>
    <xf numFmtId="3" fontId="35" fillId="0" borderId="0" xfId="6" applyNumberFormat="1" applyFont="1" applyAlignment="1">
      <alignment horizontal="center"/>
    </xf>
    <xf numFmtId="2" fontId="35" fillId="0" borderId="0" xfId="6" applyNumberFormat="1" applyFont="1" applyAlignment="1">
      <alignment horizontal="center"/>
    </xf>
    <xf numFmtId="16" fontId="35" fillId="0" borderId="0" xfId="6" quotePrefix="1" applyNumberFormat="1" applyFont="1" applyAlignment="1">
      <alignment horizontal="center"/>
    </xf>
    <xf numFmtId="0" fontId="35" fillId="0" borderId="0" xfId="6" applyFont="1" applyAlignment="1">
      <alignment vertical="center"/>
    </xf>
    <xf numFmtId="0" fontId="26" fillId="0" borderId="0" xfId="138" applyAlignment="1" applyProtection="1"/>
    <xf numFmtId="0" fontId="0" fillId="0" borderId="69" xfId="0" applyFont="1" applyFill="1" applyBorder="1" applyAlignment="1">
      <alignment horizontal="center"/>
    </xf>
    <xf numFmtId="37" fontId="0" fillId="0" borderId="69" xfId="0" applyNumberFormat="1" applyFont="1" applyFill="1" applyBorder="1" applyAlignment="1">
      <alignment horizontal="center"/>
    </xf>
    <xf numFmtId="179" fontId="40" fillId="0" borderId="0" xfId="0" applyNumberFormat="1" applyFont="1" applyAlignment="1">
      <alignment horizontal="left" vertical="top" shrinkToFit="1"/>
    </xf>
    <xf numFmtId="0" fontId="41" fillId="6" borderId="73" xfId="0" applyFont="1" applyFill="1" applyBorder="1" applyAlignment="1">
      <alignment horizontal="right" vertical="top" wrapText="1" indent="2"/>
    </xf>
    <xf numFmtId="0" fontId="0" fillId="6" borderId="73" xfId="0" applyFill="1" applyBorder="1" applyAlignment="1">
      <alignment horizontal="center" vertical="top" wrapText="1"/>
    </xf>
    <xf numFmtId="0" fontId="0" fillId="0" borderId="73" xfId="0" applyBorder="1" applyAlignment="1">
      <alignment horizontal="left" wrapText="1"/>
    </xf>
    <xf numFmtId="0" fontId="0" fillId="0" borderId="73" xfId="0" applyBorder="1" applyAlignment="1">
      <alignment horizontal="left" vertical="top" wrapText="1"/>
    </xf>
    <xf numFmtId="0" fontId="42" fillId="0" borderId="73" xfId="0" applyFont="1" applyBorder="1" applyAlignment="1">
      <alignment horizontal="center" vertical="top" wrapText="1"/>
    </xf>
    <xf numFmtId="3" fontId="43" fillId="0" borderId="73" xfId="0" applyNumberFormat="1" applyFont="1" applyBorder="1" applyAlignment="1">
      <alignment horizontal="center" vertical="top" shrinkToFit="1"/>
    </xf>
    <xf numFmtId="0" fontId="0" fillId="0" borderId="73" xfId="0" applyBorder="1" applyAlignment="1">
      <alignment horizontal="center" vertical="top" wrapText="1"/>
    </xf>
    <xf numFmtId="180" fontId="43" fillId="0" borderId="73" xfId="0" applyNumberFormat="1" applyFont="1" applyBorder="1" applyAlignment="1">
      <alignment horizontal="right" vertical="top" indent="1" shrinkToFit="1"/>
    </xf>
    <xf numFmtId="1" fontId="43" fillId="0" borderId="73" xfId="0" applyNumberFormat="1" applyFont="1" applyBorder="1" applyAlignment="1">
      <alignment horizontal="center" vertical="top" shrinkToFit="1"/>
    </xf>
    <xf numFmtId="0" fontId="42" fillId="0" borderId="73" xfId="0" applyFont="1" applyBorder="1" applyAlignment="1">
      <alignment horizontal="right" vertical="top" wrapText="1" indent="1"/>
    </xf>
    <xf numFmtId="0" fontId="41" fillId="0" borderId="73" xfId="0" applyFont="1" applyBorder="1" applyAlignment="1">
      <alignment horizontal="left" vertical="top" wrapText="1"/>
    </xf>
    <xf numFmtId="0" fontId="42" fillId="0" borderId="73" xfId="0" applyFont="1" applyBorder="1" applyAlignment="1">
      <alignment horizontal="left" vertical="top" wrapText="1"/>
    </xf>
    <xf numFmtId="0" fontId="44" fillId="0" borderId="0" xfId="0" applyFont="1" applyAlignment="1">
      <alignment horizontal="left" vertical="top"/>
    </xf>
    <xf numFmtId="0" fontId="0" fillId="0" borderId="0" xfId="0" applyAlignment="1">
      <alignment horizontal="left" vertical="top" indent="5"/>
    </xf>
    <xf numFmtId="0" fontId="0" fillId="6" borderId="70" xfId="0" applyFill="1" applyBorder="1" applyAlignment="1">
      <alignment wrapText="1"/>
    </xf>
    <xf numFmtId="0" fontId="0" fillId="6" borderId="71" xfId="0" applyFill="1" applyBorder="1" applyAlignment="1">
      <alignment wrapText="1"/>
    </xf>
    <xf numFmtId="6" fontId="2" fillId="0" borderId="69" xfId="0" applyNumberFormat="1" applyFont="1" applyBorder="1" applyAlignment="1">
      <alignment horizontal="center" vertical="center" wrapText="1"/>
    </xf>
    <xf numFmtId="164" fontId="2" fillId="0" borderId="64" xfId="0" applyNumberFormat="1" applyFont="1" applyBorder="1" applyAlignment="1">
      <alignment horizontal="center" vertical="center"/>
    </xf>
    <xf numFmtId="8" fontId="2" fillId="0" borderId="69" xfId="0" applyNumberFormat="1" applyFont="1" applyBorder="1" applyAlignment="1">
      <alignment horizontal="center" vertical="center" wrapText="1"/>
    </xf>
    <xf numFmtId="164" fontId="2" fillId="0" borderId="18" xfId="0" applyNumberFormat="1" applyFont="1" applyBorder="1" applyAlignment="1">
      <alignment horizontal="center"/>
    </xf>
    <xf numFmtId="1" fontId="2" fillId="0" borderId="6" xfId="0" applyNumberFormat="1" applyFont="1" applyBorder="1" applyAlignment="1">
      <alignment horizontal="center"/>
    </xf>
    <xf numFmtId="0" fontId="10" fillId="0" borderId="26" xfId="2" applyFont="1" applyBorder="1" applyAlignment="1">
      <alignment horizontal="center" vertical="center"/>
    </xf>
    <xf numFmtId="175" fontId="10" fillId="0" borderId="26" xfId="2" applyNumberFormat="1" applyFont="1" applyBorder="1" applyAlignment="1">
      <alignment horizontal="center" vertical="center"/>
    </xf>
    <xf numFmtId="2" fontId="10" fillId="0" borderId="26" xfId="2" applyNumberFormat="1" applyFont="1" applyBorder="1" applyAlignment="1">
      <alignment horizontal="center" vertical="center"/>
    </xf>
    <xf numFmtId="0" fontId="6" fillId="0" borderId="0" xfId="0" applyFont="1" applyAlignment="1">
      <alignment horizontal="right"/>
    </xf>
    <xf numFmtId="0" fontId="16" fillId="0" borderId="0" xfId="0" applyFont="1" applyAlignment="1">
      <alignment horizontal="right"/>
    </xf>
    <xf numFmtId="0" fontId="6" fillId="0" borderId="0" xfId="0" applyFont="1" applyAlignment="1">
      <alignment horizontal="left" vertical="center" wrapText="1"/>
    </xf>
    <xf numFmtId="0" fontId="6" fillId="0" borderId="0" xfId="0" applyFont="1" applyAlignment="1">
      <alignment vertical="top" wrapText="1"/>
    </xf>
    <xf numFmtId="0" fontId="10" fillId="0" borderId="0" xfId="2" applyFont="1" applyAlignment="1">
      <alignment horizontal="left"/>
    </xf>
    <xf numFmtId="0" fontId="6" fillId="0" borderId="0" xfId="2" applyFont="1" applyAlignment="1">
      <alignment vertical="top" wrapText="1"/>
    </xf>
    <xf numFmtId="0" fontId="6" fillId="0" borderId="0" xfId="2" applyFont="1" applyAlignment="1">
      <alignment horizontal="right"/>
    </xf>
    <xf numFmtId="0" fontId="6" fillId="0" borderId="0" xfId="2" applyFont="1" applyAlignment="1">
      <alignment horizontal="left" vertical="top"/>
    </xf>
    <xf numFmtId="167" fontId="22" fillId="0" borderId="0" xfId="2" applyNumberFormat="1" applyFont="1" applyAlignment="1">
      <alignment horizontal="left" vertical="top"/>
    </xf>
    <xf numFmtId="0" fontId="10" fillId="0" borderId="0" xfId="2" applyFont="1" applyAlignment="1">
      <alignment horizontal="right"/>
    </xf>
    <xf numFmtId="0" fontId="16" fillId="0" borderId="0" xfId="2" applyFont="1"/>
    <xf numFmtId="164" fontId="0" fillId="0" borderId="26" xfId="0" applyNumberFormat="1" applyBorder="1" applyAlignment="1">
      <alignment horizontal="center"/>
    </xf>
    <xf numFmtId="0" fontId="6" fillId="0" borderId="0" xfId="0" applyFont="1" applyAlignment="1">
      <alignment horizontal="left" vertical="top" wrapText="1"/>
    </xf>
    <xf numFmtId="0" fontId="6" fillId="0" borderId="0" xfId="2" applyFont="1" applyFill="1" applyBorder="1" applyAlignment="1">
      <alignment horizontal="left" vertical="top" wrapText="1"/>
    </xf>
    <xf numFmtId="0" fontId="6" fillId="0" borderId="0" xfId="2" applyFont="1" applyAlignment="1">
      <alignment horizontal="left" vertical="top" wrapText="1"/>
    </xf>
    <xf numFmtId="0" fontId="2" fillId="2" borderId="3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31" xfId="0"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3" fillId="0" borderId="39" xfId="0" applyFont="1" applyBorder="1" applyAlignment="1">
      <alignment horizontal="center" wrapText="1"/>
    </xf>
    <xf numFmtId="0" fontId="3" fillId="0" borderId="29" xfId="0" applyFont="1" applyBorder="1" applyAlignment="1">
      <alignment horizontal="center" wrapText="1"/>
    </xf>
    <xf numFmtId="0" fontId="3" fillId="0" borderId="50" xfId="0" applyFont="1" applyBorder="1" applyAlignment="1">
      <alignment horizontal="center" wrapText="1"/>
    </xf>
    <xf numFmtId="0" fontId="5" fillId="0" borderId="21" xfId="0" applyFont="1" applyFill="1" applyBorder="1" applyAlignment="1">
      <alignment horizontal="center" vertical="top" wrapText="1"/>
    </xf>
    <xf numFmtId="0" fontId="5" fillId="0" borderId="59" xfId="0" applyFont="1" applyFill="1" applyBorder="1" applyAlignment="1">
      <alignment horizontal="center" vertical="top" wrapText="1"/>
    </xf>
    <xf numFmtId="0" fontId="0" fillId="0" borderId="0" xfId="0" applyFill="1" applyAlignment="1">
      <alignment horizontal="left" vertical="top" wrapText="1"/>
    </xf>
    <xf numFmtId="0" fontId="0" fillId="0" borderId="0" xfId="0" applyAlignment="1">
      <alignment horizontal="left" vertical="top" wrapText="1"/>
    </xf>
    <xf numFmtId="0" fontId="0" fillId="0" borderId="26" xfId="0" applyBorder="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5" fillId="0" borderId="0" xfId="0" applyFont="1" applyFill="1" applyBorder="1" applyAlignment="1">
      <alignment horizontal="left"/>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7"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5" fillId="0" borderId="39" xfId="0" applyFont="1" applyBorder="1" applyAlignment="1">
      <alignment horizontal="center" vertical="center"/>
    </xf>
    <xf numFmtId="0" fontId="5" fillId="0" borderId="50" xfId="0" applyFont="1" applyBorder="1" applyAlignment="1">
      <alignment horizontal="center" vertical="center"/>
    </xf>
    <xf numFmtId="0" fontId="5" fillId="0" borderId="29" xfId="0" applyFont="1" applyBorder="1" applyAlignment="1">
      <alignment horizontal="center" vertical="center"/>
    </xf>
    <xf numFmtId="0" fontId="2" fillId="0" borderId="3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18" xfId="0" applyFont="1" applyBorder="1" applyAlignment="1">
      <alignment horizontal="center" vertical="center"/>
    </xf>
    <xf numFmtId="0" fontId="2" fillId="0" borderId="64" xfId="0" applyFont="1" applyBorder="1" applyAlignment="1">
      <alignment horizontal="center" vertical="center"/>
    </xf>
    <xf numFmtId="0" fontId="5" fillId="0" borderId="1" xfId="0" applyFont="1" applyBorder="1" applyAlignment="1">
      <alignment horizontal="center"/>
    </xf>
    <xf numFmtId="0" fontId="5" fillId="0" borderId="33" xfId="0" applyFont="1" applyBorder="1" applyAlignment="1">
      <alignment horizontal="center"/>
    </xf>
    <xf numFmtId="0" fontId="5" fillId="0" borderId="39" xfId="0" applyFont="1" applyBorder="1" applyAlignment="1">
      <alignment horizontal="center"/>
    </xf>
    <xf numFmtId="0" fontId="5" fillId="0" borderId="50" xfId="0" applyFont="1" applyBorder="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49" fontId="2" fillId="0" borderId="16"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0" fontId="5" fillId="0" borderId="21" xfId="0" applyFont="1" applyBorder="1" applyAlignment="1">
      <alignment horizontal="center"/>
    </xf>
    <xf numFmtId="0" fontId="5" fillId="0" borderId="59" xfId="0" applyFont="1" applyBorder="1" applyAlignment="1">
      <alignment horizont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48" xfId="0" applyFont="1" applyBorder="1" applyAlignment="1">
      <alignment horizontal="center"/>
    </xf>
    <xf numFmtId="0" fontId="5" fillId="0" borderId="57" xfId="0" applyFont="1" applyBorder="1" applyAlignment="1">
      <alignment horizontal="center"/>
    </xf>
    <xf numFmtId="0" fontId="0" fillId="0" borderId="70" xfId="0" applyBorder="1" applyAlignment="1">
      <alignment horizontal="left" wrapText="1"/>
    </xf>
    <xf numFmtId="0" fontId="0" fillId="0" borderId="72" xfId="0" applyBorder="1" applyAlignment="1">
      <alignment horizontal="left" wrapText="1"/>
    </xf>
    <xf numFmtId="0" fontId="0" fillId="0" borderId="70" xfId="0" applyBorder="1" applyAlignment="1">
      <alignment horizontal="left" vertical="top" wrapText="1"/>
    </xf>
    <xf numFmtId="0" fontId="0" fillId="0" borderId="72" xfId="0" applyBorder="1" applyAlignment="1">
      <alignment horizontal="left" vertical="top" wrapText="1"/>
    </xf>
    <xf numFmtId="0" fontId="0" fillId="5" borderId="0" xfId="0" applyFill="1" applyAlignment="1">
      <alignment horizontal="left" wrapText="1"/>
    </xf>
    <xf numFmtId="0" fontId="0" fillId="6" borderId="70" xfId="0" applyFill="1" applyBorder="1" applyAlignment="1">
      <alignment horizontal="left" wrapText="1"/>
    </xf>
    <xf numFmtId="0" fontId="0" fillId="6" borderId="71" xfId="0" applyFill="1" applyBorder="1" applyAlignment="1">
      <alignment horizontal="left" wrapText="1"/>
    </xf>
    <xf numFmtId="0" fontId="0" fillId="6" borderId="72" xfId="0" applyFill="1" applyBorder="1" applyAlignment="1">
      <alignment horizontal="left" wrapText="1"/>
    </xf>
    <xf numFmtId="0" fontId="41" fillId="6" borderId="70" xfId="0" applyFont="1" applyFill="1" applyBorder="1" applyAlignment="1">
      <alignment horizontal="center" vertical="top" wrapText="1"/>
    </xf>
    <xf numFmtId="0" fontId="41" fillId="6" borderId="72" xfId="0" applyFont="1" applyFill="1" applyBorder="1" applyAlignment="1">
      <alignment horizontal="center" vertical="top" wrapText="1"/>
    </xf>
    <xf numFmtId="9" fontId="43" fillId="0" borderId="70" xfId="0" applyNumberFormat="1" applyFont="1" applyBorder="1" applyAlignment="1">
      <alignment horizontal="center" vertical="top" shrinkToFit="1"/>
    </xf>
    <xf numFmtId="9" fontId="43" fillId="0" borderId="72" xfId="0" applyNumberFormat="1" applyFont="1" applyBorder="1" applyAlignment="1">
      <alignment horizontal="center" vertical="top" shrinkToFit="1"/>
    </xf>
    <xf numFmtId="0" fontId="0" fillId="0" borderId="70" xfId="0" applyBorder="1" applyAlignment="1">
      <alignment horizontal="right" vertical="top" wrapText="1"/>
    </xf>
    <xf numFmtId="0" fontId="0" fillId="0" borderId="71" xfId="0" applyBorder="1" applyAlignment="1">
      <alignment horizontal="right" vertical="top" wrapText="1"/>
    </xf>
    <xf numFmtId="0" fontId="0" fillId="0" borderId="72" xfId="0" applyBorder="1" applyAlignment="1">
      <alignment horizontal="right" vertical="top" wrapText="1"/>
    </xf>
    <xf numFmtId="0" fontId="0" fillId="7" borderId="70" xfId="0" applyFill="1" applyBorder="1" applyAlignment="1">
      <alignment horizontal="left" vertical="top" wrapText="1" indent="33"/>
    </xf>
    <xf numFmtId="0" fontId="0" fillId="7" borderId="71" xfId="0" applyFill="1" applyBorder="1" applyAlignment="1">
      <alignment horizontal="left" vertical="top" wrapText="1" indent="33"/>
    </xf>
    <xf numFmtId="0" fontId="0" fillId="7" borderId="72" xfId="0" applyFill="1" applyBorder="1" applyAlignment="1">
      <alignment horizontal="left" vertical="top" wrapText="1" indent="33"/>
    </xf>
  </cellXfs>
  <cellStyles count="141">
    <cellStyle name="Comma" xfId="136" builtinId="3"/>
    <cellStyle name="Comma 2" xfId="7" xr:uid="{00000000-0005-0000-0000-000001000000}"/>
    <cellStyle name="Comma 47 2" xfId="17" xr:uid="{00000000-0005-0000-0000-000002000000}"/>
    <cellStyle name="Comma 47 3" xfId="18" xr:uid="{00000000-0005-0000-0000-000003000000}"/>
    <cellStyle name="Comma 47 4" xfId="19" xr:uid="{00000000-0005-0000-0000-000004000000}"/>
    <cellStyle name="Comma0" xfId="8" xr:uid="{00000000-0005-0000-0000-000005000000}"/>
    <cellStyle name="Currency" xfId="1" builtinId="4"/>
    <cellStyle name="Currency 2" xfId="16" xr:uid="{00000000-0005-0000-0000-000007000000}"/>
    <cellStyle name="Currency0" xfId="9" xr:uid="{00000000-0005-0000-0000-000008000000}"/>
    <cellStyle name="Date" xfId="10" xr:uid="{00000000-0005-0000-0000-000009000000}"/>
    <cellStyle name="Fixed" xfId="11" xr:uid="{00000000-0005-0000-0000-00000A000000}"/>
    <cellStyle name="Hyperlink" xfId="138" builtinId="8"/>
    <cellStyle name="Hyperlink 2" xfId="140" xr:uid="{827561D3-238C-480C-8B92-C974DC89A392}"/>
    <cellStyle name="Normal" xfId="0" builtinId="0"/>
    <cellStyle name="Normal 11" xfId="20" xr:uid="{00000000-0005-0000-0000-00000D000000}"/>
    <cellStyle name="Normal 11 2" xfId="21" xr:uid="{00000000-0005-0000-0000-00000E000000}"/>
    <cellStyle name="Normal 11 3" xfId="22" xr:uid="{00000000-0005-0000-0000-00000F000000}"/>
    <cellStyle name="Normal 11 4" xfId="23" xr:uid="{00000000-0005-0000-0000-000010000000}"/>
    <cellStyle name="Normal 11 5" xfId="24" xr:uid="{00000000-0005-0000-0000-000011000000}"/>
    <cellStyle name="Normal 12" xfId="25" xr:uid="{00000000-0005-0000-0000-000012000000}"/>
    <cellStyle name="Normal 12 2" xfId="26" xr:uid="{00000000-0005-0000-0000-000013000000}"/>
    <cellStyle name="Normal 12 3" xfId="27" xr:uid="{00000000-0005-0000-0000-000014000000}"/>
    <cellStyle name="Normal 12 4" xfId="28" xr:uid="{00000000-0005-0000-0000-000015000000}"/>
    <cellStyle name="Normal 12 5" xfId="29" xr:uid="{00000000-0005-0000-0000-000016000000}"/>
    <cellStyle name="Normal 13" xfId="30" xr:uid="{00000000-0005-0000-0000-000017000000}"/>
    <cellStyle name="Normal 13 2" xfId="31" xr:uid="{00000000-0005-0000-0000-000018000000}"/>
    <cellStyle name="Normal 13 3" xfId="32" xr:uid="{00000000-0005-0000-0000-000019000000}"/>
    <cellStyle name="Normal 13 4" xfId="33" xr:uid="{00000000-0005-0000-0000-00001A000000}"/>
    <cellStyle name="Normal 13 5" xfId="34" xr:uid="{00000000-0005-0000-0000-00001B000000}"/>
    <cellStyle name="Normal 14" xfId="35" xr:uid="{00000000-0005-0000-0000-00001C000000}"/>
    <cellStyle name="Normal 14 2" xfId="36" xr:uid="{00000000-0005-0000-0000-00001D000000}"/>
    <cellStyle name="Normal 14 3" xfId="37" xr:uid="{00000000-0005-0000-0000-00001E000000}"/>
    <cellStyle name="Normal 14 4" xfId="38" xr:uid="{00000000-0005-0000-0000-00001F000000}"/>
    <cellStyle name="Normal 14 5" xfId="39" xr:uid="{00000000-0005-0000-0000-000020000000}"/>
    <cellStyle name="Normal 15" xfId="40" xr:uid="{00000000-0005-0000-0000-000021000000}"/>
    <cellStyle name="Normal 15 2" xfId="41" xr:uid="{00000000-0005-0000-0000-000022000000}"/>
    <cellStyle name="Normal 15 3" xfId="42" xr:uid="{00000000-0005-0000-0000-000023000000}"/>
    <cellStyle name="Normal 15 4" xfId="43" xr:uid="{00000000-0005-0000-0000-000024000000}"/>
    <cellStyle name="Normal 15 5" xfId="44" xr:uid="{00000000-0005-0000-0000-000025000000}"/>
    <cellStyle name="Normal 16" xfId="2" xr:uid="{00000000-0005-0000-0000-000026000000}"/>
    <cellStyle name="Normal 16 2" xfId="45" xr:uid="{00000000-0005-0000-0000-000027000000}"/>
    <cellStyle name="Normal 16 3" xfId="46" xr:uid="{00000000-0005-0000-0000-000028000000}"/>
    <cellStyle name="Normal 16 4" xfId="47" xr:uid="{00000000-0005-0000-0000-000029000000}"/>
    <cellStyle name="Normal 16 5" xfId="48" xr:uid="{00000000-0005-0000-0000-00002A000000}"/>
    <cellStyle name="Normal 17" xfId="4" xr:uid="{00000000-0005-0000-0000-00002B000000}"/>
    <cellStyle name="Normal 17 2" xfId="49" xr:uid="{00000000-0005-0000-0000-00002C000000}"/>
    <cellStyle name="Normal 17 3" xfId="50" xr:uid="{00000000-0005-0000-0000-00002D000000}"/>
    <cellStyle name="Normal 17 4" xfId="51" xr:uid="{00000000-0005-0000-0000-00002E000000}"/>
    <cellStyle name="Normal 17 5" xfId="52" xr:uid="{00000000-0005-0000-0000-00002F000000}"/>
    <cellStyle name="Normal 18" xfId="3" xr:uid="{00000000-0005-0000-0000-000030000000}"/>
    <cellStyle name="Normal 18 2" xfId="53" xr:uid="{00000000-0005-0000-0000-000031000000}"/>
    <cellStyle name="Normal 18 3" xfId="54" xr:uid="{00000000-0005-0000-0000-000032000000}"/>
    <cellStyle name="Normal 18 4" xfId="55" xr:uid="{00000000-0005-0000-0000-000033000000}"/>
    <cellStyle name="Normal 18 5" xfId="56" xr:uid="{00000000-0005-0000-0000-000034000000}"/>
    <cellStyle name="Normal 19" xfId="5" xr:uid="{00000000-0005-0000-0000-000035000000}"/>
    <cellStyle name="Normal 19 2" xfId="57" xr:uid="{00000000-0005-0000-0000-000036000000}"/>
    <cellStyle name="Normal 19 3" xfId="58" xr:uid="{00000000-0005-0000-0000-000037000000}"/>
    <cellStyle name="Normal 19 4" xfId="59" xr:uid="{00000000-0005-0000-0000-000038000000}"/>
    <cellStyle name="Normal 19 5" xfId="60" xr:uid="{00000000-0005-0000-0000-000039000000}"/>
    <cellStyle name="Normal 2" xfId="6" xr:uid="{00000000-0005-0000-0000-00003A000000}"/>
    <cellStyle name="Normal 2 2" xfId="61" xr:uid="{00000000-0005-0000-0000-00003B000000}"/>
    <cellStyle name="Normal 2 3" xfId="62" xr:uid="{00000000-0005-0000-0000-00003C000000}"/>
    <cellStyle name="Normal 2 4" xfId="63" xr:uid="{00000000-0005-0000-0000-00003D000000}"/>
    <cellStyle name="Normal 2 5" xfId="64" xr:uid="{00000000-0005-0000-0000-00003E000000}"/>
    <cellStyle name="Normal 20" xfId="65" xr:uid="{00000000-0005-0000-0000-00003F000000}"/>
    <cellStyle name="Normal 20 2" xfId="66" xr:uid="{00000000-0005-0000-0000-000040000000}"/>
    <cellStyle name="Normal 20 3" xfId="67" xr:uid="{00000000-0005-0000-0000-000041000000}"/>
    <cellStyle name="Normal 20 4" xfId="68" xr:uid="{00000000-0005-0000-0000-000042000000}"/>
    <cellStyle name="Normal 20 5" xfId="69" xr:uid="{00000000-0005-0000-0000-000043000000}"/>
    <cellStyle name="Normal 21" xfId="70" xr:uid="{00000000-0005-0000-0000-000044000000}"/>
    <cellStyle name="Normal 21 2" xfId="71" xr:uid="{00000000-0005-0000-0000-000045000000}"/>
    <cellStyle name="Normal 21 3" xfId="72" xr:uid="{00000000-0005-0000-0000-000046000000}"/>
    <cellStyle name="Normal 21 4" xfId="73" xr:uid="{00000000-0005-0000-0000-000047000000}"/>
    <cellStyle name="Normal 21 5" xfId="74" xr:uid="{00000000-0005-0000-0000-000048000000}"/>
    <cellStyle name="Normal 23" xfId="75" xr:uid="{00000000-0005-0000-0000-000049000000}"/>
    <cellStyle name="Normal 23 2" xfId="76" xr:uid="{00000000-0005-0000-0000-00004A000000}"/>
    <cellStyle name="Normal 23 3" xfId="77" xr:uid="{00000000-0005-0000-0000-00004B000000}"/>
    <cellStyle name="Normal 23 4" xfId="78" xr:uid="{00000000-0005-0000-0000-00004C000000}"/>
    <cellStyle name="Normal 23 5" xfId="79" xr:uid="{00000000-0005-0000-0000-00004D000000}"/>
    <cellStyle name="Normal 24" xfId="80" xr:uid="{00000000-0005-0000-0000-00004E000000}"/>
    <cellStyle name="Normal 24 2" xfId="81" xr:uid="{00000000-0005-0000-0000-00004F000000}"/>
    <cellStyle name="Normal 24 3" xfId="82" xr:uid="{00000000-0005-0000-0000-000050000000}"/>
    <cellStyle name="Normal 24 4" xfId="83" xr:uid="{00000000-0005-0000-0000-000051000000}"/>
    <cellStyle name="Normal 24 5" xfId="84" xr:uid="{00000000-0005-0000-0000-000052000000}"/>
    <cellStyle name="Normal 25" xfId="85" xr:uid="{00000000-0005-0000-0000-000053000000}"/>
    <cellStyle name="Normal 25 2" xfId="86" xr:uid="{00000000-0005-0000-0000-000054000000}"/>
    <cellStyle name="Normal 25 3" xfId="87" xr:uid="{00000000-0005-0000-0000-000055000000}"/>
    <cellStyle name="Normal 25 4" xfId="88" xr:uid="{00000000-0005-0000-0000-000056000000}"/>
    <cellStyle name="Normal 25 5" xfId="89" xr:uid="{00000000-0005-0000-0000-000057000000}"/>
    <cellStyle name="Normal 26" xfId="90" xr:uid="{00000000-0005-0000-0000-000058000000}"/>
    <cellStyle name="Normal 26 2" xfId="91" xr:uid="{00000000-0005-0000-0000-000059000000}"/>
    <cellStyle name="Normal 26 3" xfId="92" xr:uid="{00000000-0005-0000-0000-00005A000000}"/>
    <cellStyle name="Normal 26 4" xfId="93" xr:uid="{00000000-0005-0000-0000-00005B000000}"/>
    <cellStyle name="Normal 26 5" xfId="94" xr:uid="{00000000-0005-0000-0000-00005C000000}"/>
    <cellStyle name="Normal 27" xfId="95" xr:uid="{00000000-0005-0000-0000-00005D000000}"/>
    <cellStyle name="Normal 27 2" xfId="96" xr:uid="{00000000-0005-0000-0000-00005E000000}"/>
    <cellStyle name="Normal 27 3" xfId="97" xr:uid="{00000000-0005-0000-0000-00005F000000}"/>
    <cellStyle name="Normal 27 4" xfId="98" xr:uid="{00000000-0005-0000-0000-000060000000}"/>
    <cellStyle name="Normal 27 5" xfId="99" xr:uid="{00000000-0005-0000-0000-000061000000}"/>
    <cellStyle name="Normal 28 2" xfId="100" xr:uid="{00000000-0005-0000-0000-000062000000}"/>
    <cellStyle name="Normal 28 3" xfId="101" xr:uid="{00000000-0005-0000-0000-000063000000}"/>
    <cellStyle name="Normal 28 4" xfId="102" xr:uid="{00000000-0005-0000-0000-000064000000}"/>
    <cellStyle name="Normal 29" xfId="103" xr:uid="{00000000-0005-0000-0000-000065000000}"/>
    <cellStyle name="Normal 3" xfId="12" xr:uid="{00000000-0005-0000-0000-000066000000}"/>
    <cellStyle name="Normal 3 2" xfId="104" xr:uid="{00000000-0005-0000-0000-000067000000}"/>
    <cellStyle name="Normal 3 3" xfId="105" xr:uid="{00000000-0005-0000-0000-000068000000}"/>
    <cellStyle name="Normal 3 4" xfId="106" xr:uid="{00000000-0005-0000-0000-000069000000}"/>
    <cellStyle name="Normal 3 5" xfId="107" xr:uid="{00000000-0005-0000-0000-00006A000000}"/>
    <cellStyle name="Normal 30" xfId="108" xr:uid="{00000000-0005-0000-0000-00006B000000}"/>
    <cellStyle name="Normal 32" xfId="109" xr:uid="{00000000-0005-0000-0000-00006C000000}"/>
    <cellStyle name="Normal 4" xfId="13" xr:uid="{00000000-0005-0000-0000-00006D000000}"/>
    <cellStyle name="Normal 4 2" xfId="110" xr:uid="{00000000-0005-0000-0000-00006E000000}"/>
    <cellStyle name="Normal 4 3" xfId="111" xr:uid="{00000000-0005-0000-0000-00006F000000}"/>
    <cellStyle name="Normal 4 4" xfId="112" xr:uid="{00000000-0005-0000-0000-000070000000}"/>
    <cellStyle name="Normal 4 5" xfId="113" xr:uid="{00000000-0005-0000-0000-000071000000}"/>
    <cellStyle name="Normal 5" xfId="139" xr:uid="{800F61AB-3829-4A8A-A3A9-0D3639B5EA4F}"/>
    <cellStyle name="Normal 5 2" xfId="114" xr:uid="{00000000-0005-0000-0000-000072000000}"/>
    <cellStyle name="Normal 5 3" xfId="115" xr:uid="{00000000-0005-0000-0000-000073000000}"/>
    <cellStyle name="Normal 5 4" xfId="116" xr:uid="{00000000-0005-0000-0000-000074000000}"/>
    <cellStyle name="Normal 5 5" xfId="117" xr:uid="{00000000-0005-0000-0000-000075000000}"/>
    <cellStyle name="Normal 6" xfId="118" xr:uid="{00000000-0005-0000-0000-000076000000}"/>
    <cellStyle name="Normal 6 2" xfId="119" xr:uid="{00000000-0005-0000-0000-000077000000}"/>
    <cellStyle name="Normal 6 3" xfId="120" xr:uid="{00000000-0005-0000-0000-000078000000}"/>
    <cellStyle name="Normal 6 4" xfId="121" xr:uid="{00000000-0005-0000-0000-000079000000}"/>
    <cellStyle name="Normal 6 5" xfId="122" xr:uid="{00000000-0005-0000-0000-00007A000000}"/>
    <cellStyle name="Normal 7 2" xfId="123" xr:uid="{00000000-0005-0000-0000-00007B000000}"/>
    <cellStyle name="Normal 7 3" xfId="124" xr:uid="{00000000-0005-0000-0000-00007C000000}"/>
    <cellStyle name="Normal 7 4" xfId="125" xr:uid="{00000000-0005-0000-0000-00007D000000}"/>
    <cellStyle name="Normal 7 5" xfId="126" xr:uid="{00000000-0005-0000-0000-00007E000000}"/>
    <cellStyle name="Normal 8 2" xfId="127" xr:uid="{00000000-0005-0000-0000-00007F000000}"/>
    <cellStyle name="Normal 8 3" xfId="128" xr:uid="{00000000-0005-0000-0000-000080000000}"/>
    <cellStyle name="Normal 8 4" xfId="129" xr:uid="{00000000-0005-0000-0000-000081000000}"/>
    <cellStyle name="Normal 8 5" xfId="130" xr:uid="{00000000-0005-0000-0000-000082000000}"/>
    <cellStyle name="Normal 9" xfId="131" xr:uid="{00000000-0005-0000-0000-000083000000}"/>
    <cellStyle name="Normal 9 2" xfId="132" xr:uid="{00000000-0005-0000-0000-000084000000}"/>
    <cellStyle name="Normal 9 3" xfId="133" xr:uid="{00000000-0005-0000-0000-000085000000}"/>
    <cellStyle name="Normal 9 4" xfId="134" xr:uid="{00000000-0005-0000-0000-000086000000}"/>
    <cellStyle name="Normal 9 5" xfId="135" xr:uid="{00000000-0005-0000-0000-000087000000}"/>
    <cellStyle name="Percent" xfId="137" builtinId="5"/>
    <cellStyle name="Percent 2" xfId="14" xr:uid="{00000000-0005-0000-0000-000089000000}"/>
    <cellStyle name="Percent 3" xfId="15" xr:uid="{00000000-0005-0000-0000-00008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Hourly</a:t>
            </a:r>
            <a:r>
              <a:rPr lang="en-US" sz="1100" baseline="0"/>
              <a:t> Travel Times by Scenario</a:t>
            </a:r>
            <a:endParaRPr lang="en-US"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803444789855544E-2"/>
          <c:y val="9.884128368504369E-2"/>
          <c:w val="0.8716016377621516"/>
          <c:h val="0.70207085898282817"/>
        </c:manualLayout>
      </c:layout>
      <c:scatterChart>
        <c:scatterStyle val="lineMarker"/>
        <c:varyColors val="0"/>
        <c:ser>
          <c:idx val="0"/>
          <c:order val="0"/>
          <c:tx>
            <c:v>Existing Year No Build</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Lit>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Lit>
          </c:xVal>
          <c:yVal>
            <c:numLit>
              <c:formatCode>General</c:formatCode>
              <c:ptCount val="24"/>
              <c:pt idx="0">
                <c:v>46.964194297859095</c:v>
              </c:pt>
              <c:pt idx="1">
                <c:v>46.002230623662165</c:v>
              </c:pt>
              <c:pt idx="2">
                <c:v>46.598182642539818</c:v>
              </c:pt>
              <c:pt idx="3">
                <c:v>49.771081584818404</c:v>
              </c:pt>
              <c:pt idx="4">
                <c:v>65.482113400481381</c:v>
              </c:pt>
              <c:pt idx="5">
                <c:v>125.35686612376126</c:v>
              </c:pt>
              <c:pt idx="6">
                <c:v>166.18125050065527</c:v>
              </c:pt>
              <c:pt idx="7">
                <c:v>165</c:v>
              </c:pt>
              <c:pt idx="8">
                <c:v>119.0059166191388</c:v>
              </c:pt>
              <c:pt idx="9">
                <c:v>100.3902878743566</c:v>
              </c:pt>
              <c:pt idx="10">
                <c:v>95.256124404518701</c:v>
              </c:pt>
              <c:pt idx="11">
                <c:v>100.3</c:v>
              </c:pt>
              <c:pt idx="12">
                <c:v>108.66985971797637</c:v>
              </c:pt>
              <c:pt idx="13">
                <c:v>111.36308037318845</c:v>
              </c:pt>
              <c:pt idx="14">
                <c:v>139.79751873281432</c:v>
              </c:pt>
              <c:pt idx="15">
                <c:v>177.36229235079935</c:v>
              </c:pt>
              <c:pt idx="16">
                <c:v>199.9</c:v>
              </c:pt>
              <c:pt idx="17">
                <c:v>186.16855670189443</c:v>
              </c:pt>
              <c:pt idx="18">
                <c:v>123.28603753014607</c:v>
              </c:pt>
              <c:pt idx="19">
                <c:v>89.83870564829742</c:v>
              </c:pt>
              <c:pt idx="20">
                <c:v>72.859726758070565</c:v>
              </c:pt>
              <c:pt idx="21">
                <c:v>61.524645829976038</c:v>
              </c:pt>
              <c:pt idx="22">
                <c:v>54.71175797231421</c:v>
              </c:pt>
              <c:pt idx="23">
                <c:v>49.296026529735833</c:v>
              </c:pt>
            </c:numLit>
          </c:yVal>
          <c:smooth val="0"/>
          <c:extLst>
            <c:ext xmlns:c16="http://schemas.microsoft.com/office/drawing/2014/chart" uri="{C3380CC4-5D6E-409C-BE32-E72D297353CC}">
              <c16:uniqueId val="{00000000-BAAE-402F-BBE3-8CE0647432E4}"/>
            </c:ext>
          </c:extLst>
        </c:ser>
        <c:ser>
          <c:idx val="1"/>
          <c:order val="1"/>
          <c:tx>
            <c:v>Existing Year Build</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Lit>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Lit>
          </c:xVal>
          <c:yVal>
            <c:numLit>
              <c:formatCode>General</c:formatCode>
              <c:ptCount val="24"/>
              <c:pt idx="0">
                <c:v>46.435059535919429</c:v>
              </c:pt>
              <c:pt idx="1">
                <c:v>45.556310219387626</c:v>
              </c:pt>
              <c:pt idx="2">
                <c:v>46.10087412261052</c:v>
              </c:pt>
              <c:pt idx="3">
                <c:v>48.991347440540778</c:v>
              </c:pt>
              <c:pt idx="4">
                <c:v>63.111919714285399</c:v>
              </c:pt>
              <c:pt idx="5">
                <c:v>114.93959269912204</c:v>
              </c:pt>
              <c:pt idx="6">
                <c:v>149.10675474804381</c:v>
              </c:pt>
              <c:pt idx="7">
                <c:v>149.19999999999999</c:v>
              </c:pt>
              <c:pt idx="8">
                <c:v>109.55313314357439</c:v>
              </c:pt>
              <c:pt idx="9">
                <c:v>93.631867899767897</c:v>
              </c:pt>
              <c:pt idx="10">
                <c:v>89.202383503006303</c:v>
              </c:pt>
              <c:pt idx="11">
                <c:v>93</c:v>
              </c:pt>
              <c:pt idx="12">
                <c:v>100.73883108082482</c:v>
              </c:pt>
              <c:pt idx="13">
                <c:v>103.04150689687545</c:v>
              </c:pt>
              <c:pt idx="14">
                <c:v>127.11099791544051</c:v>
              </c:pt>
              <c:pt idx="15">
                <c:v>158.34486219035676</c:v>
              </c:pt>
              <c:pt idx="16">
                <c:v>176.6</c:v>
              </c:pt>
              <c:pt idx="17">
                <c:v>165.58926835980284</c:v>
              </c:pt>
              <c:pt idx="18">
                <c:v>113.18560754511518</c:v>
              </c:pt>
              <c:pt idx="19">
                <c:v>84.508560513909217</c:v>
              </c:pt>
              <c:pt idx="20">
                <c:v>69.648884900618953</c:v>
              </c:pt>
              <c:pt idx="21">
                <c:v>59.582374488933482</c:v>
              </c:pt>
              <c:pt idx="22">
                <c:v>53.464450632022064</c:v>
              </c:pt>
              <c:pt idx="23">
                <c:v>48.559501258418805</c:v>
              </c:pt>
            </c:numLit>
          </c:yVal>
          <c:smooth val="0"/>
          <c:extLst>
            <c:ext xmlns:c16="http://schemas.microsoft.com/office/drawing/2014/chart" uri="{C3380CC4-5D6E-409C-BE32-E72D297353CC}">
              <c16:uniqueId val="{00000001-BAAE-402F-BBE3-8CE0647432E4}"/>
            </c:ext>
          </c:extLst>
        </c:ser>
        <c:ser>
          <c:idx val="2"/>
          <c:order val="2"/>
          <c:tx>
            <c:v>2040 No Build</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Lit>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Lit>
          </c:xVal>
          <c:yVal>
            <c:numLit>
              <c:formatCode>General</c:formatCode>
              <c:ptCount val="24"/>
              <c:pt idx="0">
                <c:v>59.717639158483983</c:v>
              </c:pt>
              <c:pt idx="1">
                <c:v>58.402543455193708</c:v>
              </c:pt>
              <c:pt idx="2">
                <c:v>59.217022941357214</c:v>
              </c:pt>
              <c:pt idx="3">
                <c:v>63.566491049413742</c:v>
              </c:pt>
              <c:pt idx="4">
                <c:v>85.393776755996939</c:v>
              </c:pt>
              <c:pt idx="5">
                <c:v>171.74306992990375</c:v>
              </c:pt>
              <c:pt idx="6">
                <c:v>232.60300858842538</c:v>
              </c:pt>
              <c:pt idx="7">
                <c:v>229.2</c:v>
              </c:pt>
              <c:pt idx="8">
                <c:v>162.39928458498025</c:v>
              </c:pt>
              <c:pt idx="9">
                <c:v>135.23661316200671</c:v>
              </c:pt>
              <c:pt idx="10">
                <c:v>127.80954860263954</c:v>
              </c:pt>
              <c:pt idx="11">
                <c:v>134.80000000000001</c:v>
              </c:pt>
              <c:pt idx="12">
                <c:v>147.27418835232939</c:v>
              </c:pt>
              <c:pt idx="13">
                <c:v>151.20514479091526</c:v>
              </c:pt>
              <c:pt idx="14">
                <c:v>193.12041686579701</c:v>
              </c:pt>
              <c:pt idx="15">
                <c:v>249.48427887532182</c:v>
              </c:pt>
              <c:pt idx="16">
                <c:v>286.39999999999998</c:v>
              </c:pt>
              <c:pt idx="17">
                <c:v>262.83740454070215</c:v>
              </c:pt>
              <c:pt idx="18">
                <c:v>168.69233571474476</c:v>
              </c:pt>
              <c:pt idx="19">
                <c:v>120.00568435318695</c:v>
              </c:pt>
              <c:pt idx="20">
                <c:v>95.788584021289196</c:v>
              </c:pt>
              <c:pt idx="21">
                <c:v>79.853816463033809</c:v>
              </c:pt>
              <c:pt idx="22">
                <c:v>70.380893120983259</c:v>
              </c:pt>
              <c:pt idx="23">
                <c:v>62.913901238474899</c:v>
              </c:pt>
            </c:numLit>
          </c:yVal>
          <c:smooth val="0"/>
          <c:extLst>
            <c:ext xmlns:c16="http://schemas.microsoft.com/office/drawing/2014/chart" uri="{C3380CC4-5D6E-409C-BE32-E72D297353CC}">
              <c16:uniqueId val="{00000002-BAAE-402F-BBE3-8CE0647432E4}"/>
            </c:ext>
          </c:extLst>
        </c:ser>
        <c:ser>
          <c:idx val="3"/>
          <c:order val="3"/>
          <c:tx>
            <c:v>2040 Build</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Lit>
              <c:ptCount val="24"/>
              <c:pt idx="0">
                <c:v>00:00</c:v>
              </c:pt>
              <c:pt idx="1">
                <c:v>01:00</c:v>
              </c:pt>
              <c:pt idx="2">
                <c:v>02:00</c:v>
              </c:pt>
              <c:pt idx="3">
                <c:v>03:00</c:v>
              </c:pt>
              <c:pt idx="4">
                <c:v>04:00</c:v>
              </c:pt>
              <c:pt idx="5">
                <c:v>05:00</c:v>
              </c:pt>
              <c:pt idx="6">
                <c:v>06:00</c:v>
              </c:pt>
              <c:pt idx="7">
                <c:v>07:00</c:v>
              </c:pt>
              <c:pt idx="8">
                <c:v>08:00</c:v>
              </c:pt>
              <c:pt idx="9">
                <c:v>09:00</c:v>
              </c:pt>
              <c:pt idx="10">
                <c:v>10:00</c:v>
              </c:pt>
              <c:pt idx="11">
                <c:v>11:00</c:v>
              </c:pt>
              <c:pt idx="12">
                <c:v>12:00</c:v>
              </c:pt>
              <c:pt idx="13">
                <c:v>13:00</c:v>
              </c:pt>
              <c:pt idx="14">
                <c:v>14:00</c:v>
              </c:pt>
              <c:pt idx="15">
                <c:v>15:00</c:v>
              </c:pt>
              <c:pt idx="16">
                <c:v>16:00</c:v>
              </c:pt>
              <c:pt idx="17">
                <c:v>17:00</c:v>
              </c:pt>
              <c:pt idx="18">
                <c:v>18:00</c:v>
              </c:pt>
              <c:pt idx="19">
                <c:v>19:00</c:v>
              </c:pt>
              <c:pt idx="20">
                <c:v>20:00</c:v>
              </c:pt>
              <c:pt idx="21">
                <c:v>21:00</c:v>
              </c:pt>
              <c:pt idx="22">
                <c:v>22:00</c:v>
              </c:pt>
              <c:pt idx="23">
                <c:v>23:00</c:v>
              </c:pt>
            </c:strLit>
          </c:xVal>
          <c:yVal>
            <c:numLit>
              <c:formatCode>General</c:formatCode>
              <c:ptCount val="24"/>
              <c:pt idx="0">
                <c:v>59.10598489826792</c:v>
              </c:pt>
              <c:pt idx="1">
                <c:v>57.917111348373325</c:v>
              </c:pt>
              <c:pt idx="2">
                <c:v>58.653690376418005</c:v>
              </c:pt>
              <c:pt idx="3">
                <c:v>62.572468516034213</c:v>
              </c:pt>
              <c:pt idx="4">
                <c:v>81.914840358270951</c:v>
              </c:pt>
              <c:pt idx="5">
                <c:v>154.97449679575919</c:v>
              </c:pt>
              <c:pt idx="6">
                <c:v>204.39394929957709</c:v>
              </c:pt>
              <c:pt idx="7">
                <c:v>202.5</c:v>
              </c:pt>
              <c:pt idx="8">
                <c:v>147.26217297063857</c:v>
              </c:pt>
              <c:pt idx="9">
                <c:v>124.61134427010651</c:v>
              </c:pt>
              <c:pt idx="10">
                <c:v>118.35137760483569</c:v>
              </c:pt>
              <c:pt idx="11">
                <c:v>123.9</c:v>
              </c:pt>
              <c:pt idx="12">
                <c:v>134.69429758192661</c:v>
              </c:pt>
              <c:pt idx="13">
                <c:v>137.97106768017562</c:v>
              </c:pt>
              <c:pt idx="14">
                <c:v>172.48472020435847</c:v>
              </c:pt>
              <c:pt idx="15">
                <c:v>217.88790914189934</c:v>
              </c:pt>
              <c:pt idx="16">
                <c:v>246.8</c:v>
              </c:pt>
              <c:pt idx="17">
                <c:v>228.50490588459118</c:v>
              </c:pt>
              <c:pt idx="18">
                <c:v>152.46056884533809</c:v>
              </c:pt>
              <c:pt idx="19">
                <c:v>111.73937920245815</c:v>
              </c:pt>
              <c:pt idx="20">
                <c:v>90.967117435620978</c:v>
              </c:pt>
              <c:pt idx="21">
                <c:v>77.051531649978187</c:v>
              </c:pt>
              <c:pt idx="22">
                <c:v>68.66564959705822</c:v>
              </c:pt>
              <c:pt idx="23">
                <c:v>61.986034790021321</c:v>
              </c:pt>
            </c:numLit>
          </c:yVal>
          <c:smooth val="0"/>
          <c:extLst>
            <c:ext xmlns:c16="http://schemas.microsoft.com/office/drawing/2014/chart" uri="{C3380CC4-5D6E-409C-BE32-E72D297353CC}">
              <c16:uniqueId val="{00000003-BAAE-402F-BBE3-8CE0647432E4}"/>
            </c:ext>
          </c:extLst>
        </c:ser>
        <c:dLbls>
          <c:showLegendKey val="0"/>
          <c:showVal val="0"/>
          <c:showCatName val="0"/>
          <c:showSerName val="0"/>
          <c:showPercent val="0"/>
          <c:showBubbleSize val="0"/>
        </c:dLbls>
        <c:axId val="786863456"/>
        <c:axId val="786861488"/>
      </c:scatterChart>
      <c:valAx>
        <c:axId val="786863456"/>
        <c:scaling>
          <c:orientation val="minMax"/>
          <c:max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Hour of the Day</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61488"/>
        <c:crosses val="autoZero"/>
        <c:crossBetween val="midCat"/>
      </c:valAx>
      <c:valAx>
        <c:axId val="786861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Travel Time (hours)</a:t>
                </a:r>
              </a:p>
            </c:rich>
          </c:tx>
          <c:layout>
            <c:manualLayout>
              <c:xMode val="edge"/>
              <c:yMode val="edge"/>
              <c:x val="4.189578078148167E-3"/>
              <c:y val="0.307425029605233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6345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661147</xdr:colOff>
      <xdr:row>4</xdr:row>
      <xdr:rowOff>33617</xdr:rowOff>
    </xdr:from>
    <xdr:to>
      <xdr:col>16</xdr:col>
      <xdr:colOff>503403</xdr:colOff>
      <xdr:row>31</xdr:row>
      <xdr:rowOff>89647</xdr:rowOff>
    </xdr:to>
    <xdr:pic>
      <xdr:nvPicPr>
        <xdr:cNvPr id="2" name="Picture 1">
          <a:extLst>
            <a:ext uri="{FF2B5EF4-FFF2-40B4-BE49-F238E27FC236}">
              <a16:creationId xmlns:a16="http://schemas.microsoft.com/office/drawing/2014/main" id="{C2DDFAC6-C50A-47EB-9A6D-DA921C410F94}"/>
            </a:ext>
          </a:extLst>
        </xdr:cNvPr>
        <xdr:cNvPicPr>
          <a:picLocks noChangeAspect="1"/>
        </xdr:cNvPicPr>
      </xdr:nvPicPr>
      <xdr:blipFill>
        <a:blip xmlns:r="http://schemas.openxmlformats.org/officeDocument/2006/relationships" r:embed="rId1"/>
        <a:stretch>
          <a:fillRect/>
        </a:stretch>
      </xdr:blipFill>
      <xdr:spPr>
        <a:xfrm>
          <a:off x="8572500" y="795617"/>
          <a:ext cx="6599403" cy="5199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324972</xdr:colOff>
      <xdr:row>20</xdr:row>
      <xdr:rowOff>22412</xdr:rowOff>
    </xdr:from>
    <xdr:to>
      <xdr:col>26</xdr:col>
      <xdr:colOff>181818</xdr:colOff>
      <xdr:row>39</xdr:row>
      <xdr:rowOff>136712</xdr:rowOff>
    </xdr:to>
    <xdr:graphicFrame macro="">
      <xdr:nvGraphicFramePr>
        <xdr:cNvPr id="3" name="Chart 2">
          <a:extLst>
            <a:ext uri="{FF2B5EF4-FFF2-40B4-BE49-F238E27FC236}">
              <a16:creationId xmlns:a16="http://schemas.microsoft.com/office/drawing/2014/main" id="{DA432875-3EB6-4B07-AF35-2A41C22E3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0.33893</cdr:x>
      <cdr:y>0.09742</cdr:y>
    </cdr:from>
    <cdr:to>
      <cdr:x>0.33893</cdr:x>
      <cdr:y>0.80323</cdr:y>
    </cdr:to>
    <cdr:cxnSp macro="">
      <cdr:nvCxnSpPr>
        <cdr:cNvPr id="6" name="Straight Connector 5">
          <a:extLst xmlns:a="http://schemas.openxmlformats.org/drawingml/2006/main">
            <a:ext uri="{FF2B5EF4-FFF2-40B4-BE49-F238E27FC236}">
              <a16:creationId xmlns:a16="http://schemas.microsoft.com/office/drawing/2014/main" id="{7C176432-6B6A-4A73-8C86-461B9EF97D14}"/>
            </a:ext>
          </a:extLst>
        </cdr:cNvPr>
        <cdr:cNvCxnSpPr/>
      </cdr:nvCxnSpPr>
      <cdr:spPr>
        <a:xfrm xmlns:a="http://schemas.openxmlformats.org/drawingml/2006/main">
          <a:off x="2051798" y="368113"/>
          <a:ext cx="0" cy="266700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0.51568</cdr:x>
      <cdr:y>0.10078</cdr:y>
    </cdr:from>
    <cdr:to>
      <cdr:x>0.51568</cdr:x>
      <cdr:y>0.80659</cdr:y>
    </cdr:to>
    <cdr:cxnSp macro="">
      <cdr:nvCxnSpPr>
        <cdr:cNvPr id="7" name="Straight Connector 6">
          <a:extLst xmlns:a="http://schemas.openxmlformats.org/drawingml/2006/main">
            <a:ext uri="{FF2B5EF4-FFF2-40B4-BE49-F238E27FC236}">
              <a16:creationId xmlns:a16="http://schemas.microsoft.com/office/drawing/2014/main" id="{3A30694B-5BAE-4FD0-B6B6-CC2363E1828B}"/>
            </a:ext>
          </a:extLst>
        </cdr:cNvPr>
        <cdr:cNvCxnSpPr/>
      </cdr:nvCxnSpPr>
      <cdr:spPr>
        <a:xfrm xmlns:a="http://schemas.openxmlformats.org/drawingml/2006/main">
          <a:off x="3121773" y="380813"/>
          <a:ext cx="0" cy="266700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0.68771</cdr:x>
      <cdr:y>0.0991</cdr:y>
    </cdr:from>
    <cdr:to>
      <cdr:x>0.68771</cdr:x>
      <cdr:y>0.80491</cdr:y>
    </cdr:to>
    <cdr:cxnSp macro="">
      <cdr:nvCxnSpPr>
        <cdr:cNvPr id="8" name="Straight Connector 7">
          <a:extLst xmlns:a="http://schemas.openxmlformats.org/drawingml/2006/main">
            <a:ext uri="{FF2B5EF4-FFF2-40B4-BE49-F238E27FC236}">
              <a16:creationId xmlns:a16="http://schemas.microsoft.com/office/drawing/2014/main" id="{AFFFA664-3A68-48FF-BC76-2D456510081E}"/>
            </a:ext>
          </a:extLst>
        </cdr:cNvPr>
        <cdr:cNvCxnSpPr/>
      </cdr:nvCxnSpPr>
      <cdr:spPr>
        <a:xfrm xmlns:a="http://schemas.openxmlformats.org/drawingml/2006/main">
          <a:off x="4163173" y="374463"/>
          <a:ext cx="0" cy="2667000"/>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0.12233</cdr:x>
      <cdr:y>0.15558</cdr:y>
    </cdr:from>
    <cdr:to>
      <cdr:x>0.14279</cdr:x>
      <cdr:y>0.15624</cdr:y>
    </cdr:to>
    <cdr:cxnSp macro="">
      <cdr:nvCxnSpPr>
        <cdr:cNvPr id="9" name="Straight Connector 8">
          <a:extLst xmlns:a="http://schemas.openxmlformats.org/drawingml/2006/main">
            <a:ext uri="{FF2B5EF4-FFF2-40B4-BE49-F238E27FC236}">
              <a16:creationId xmlns:a16="http://schemas.microsoft.com/office/drawing/2014/main" id="{988B49E2-8E3D-46BB-9D21-3700EF2AD90E}"/>
            </a:ext>
          </a:extLst>
        </cdr:cNvPr>
        <cdr:cNvCxnSpPr/>
      </cdr:nvCxnSpPr>
      <cdr:spPr>
        <a:xfrm xmlns:a="http://schemas.openxmlformats.org/drawingml/2006/main" flipH="1">
          <a:off x="738595" y="583246"/>
          <a:ext cx="123563" cy="2447"/>
        </a:xfrm>
        <a:prstGeom xmlns:a="http://schemas.openxmlformats.org/drawingml/2006/main" prst="line">
          <a:avLst/>
        </a:prstGeom>
        <a:ln xmlns:a="http://schemas.openxmlformats.org/drawingml/2006/main" w="19050">
          <a:solidFill>
            <a:srgbClr val="FF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0.13626</cdr:x>
      <cdr:y>0.12054</cdr:y>
    </cdr:from>
    <cdr:to>
      <cdr:x>0.28771</cdr:x>
      <cdr:y>0.22393</cdr:y>
    </cdr:to>
    <cdr:sp macro="" textlink="">
      <cdr:nvSpPr>
        <cdr:cNvPr id="13" name="TextBox 12">
          <a:extLst xmlns:a="http://schemas.openxmlformats.org/drawingml/2006/main">
            <a:ext uri="{FF2B5EF4-FFF2-40B4-BE49-F238E27FC236}">
              <a16:creationId xmlns:a16="http://schemas.microsoft.com/office/drawing/2014/main" id="{D0B302D0-411F-43B5-9A73-B44C769E33E5}"/>
            </a:ext>
          </a:extLst>
        </cdr:cNvPr>
        <cdr:cNvSpPr txBox="1"/>
      </cdr:nvSpPr>
      <cdr:spPr>
        <a:xfrm xmlns:a="http://schemas.openxmlformats.org/drawingml/2006/main">
          <a:off x="822745" y="451867"/>
          <a:ext cx="914400" cy="3875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solidFill>
                <a:srgbClr val="FF0000"/>
              </a:solidFill>
            </a:rPr>
            <a:t>Modeled hours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fgroup.loc\DFSMapK\Trans\Grant%20Applications\2018%20Grants\BUILD\Rochester\Rochester%20TH%2052%20B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Grant%20Applications/2020%20Grants/INFRA/TH%2010%20Rum%20River/BCA/Example%20Workbook/DRAFT_BCA%20Workbook%20-%20Bas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fgroup.loc\DFSMapK\Trans\Grant%20Applications\2020%20Grants\INFRA\TH%2010%20Rum%20River\BCA\Copy%20of%20TH%2010%20Rum%20River%20BCA%20Workbook_updated%20cos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rans/Grant%20Applications/2020%20Grants/BUILD/US%2010/BCA/Example%20Workbook/DRAFT_BCA%20Workbook%20-%20Bas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Projects\09000\9228\TS\BCA\2016%20Update\Scott%20County%20BCA%20Workbook%2020160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Safety Benefits "/>
      <sheetName val="Safety Benefits - Lighting"/>
      <sheetName val="Safety Benefits - Shoulder"/>
      <sheetName val="Annualized Operations"/>
      <sheetName val="Operating Cost Savings"/>
      <sheetName val="Air Quality"/>
      <sheetName val="Capital Costs"/>
      <sheetName val="Operation and Maintenance"/>
      <sheetName val="RCV Calculator"/>
    </sheetNames>
    <sheetDataSet>
      <sheetData sheetId="0" refreshError="1">
        <row r="4">
          <cell r="D4">
            <v>2017</v>
          </cell>
        </row>
        <row r="14">
          <cell r="I14">
            <v>110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Safety Benefits"/>
      <sheetName val="Travel Time Savings (Summary)"/>
      <sheetName val="Travel Time Savings (Ferry St)"/>
      <sheetName val="Travel Time Savings (TH 10)"/>
      <sheetName val="Travel Time Savings (4th Ave)"/>
      <sheetName val="Capital Cost and RCV Calc"/>
      <sheetName val="Operation and Maintenance"/>
      <sheetName val="RCV Calculator"/>
    </sheetNames>
    <sheetDataSet>
      <sheetData sheetId="0">
        <row r="5">
          <cell r="D5">
            <v>2020</v>
          </cell>
        </row>
      </sheetData>
      <sheetData sheetId="1"/>
      <sheetData sheetId="2"/>
      <sheetData sheetId="3"/>
      <sheetData sheetId="4"/>
      <sheetData sheetId="5"/>
      <sheetData sheetId="6"/>
      <sheetData sheetId="7"/>
      <sheetData sheetId="8"/>
      <sheetData sheetId="9">
        <row r="15">
          <cell r="N15">
            <v>0.99668901533542642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Corridor"/>
      <sheetName val="User Benefits (VHT) - Nodal"/>
      <sheetName val="Operation Benefits (VMT) - Netw"/>
      <sheetName val="Operation Benefits (VMT) - Corr"/>
      <sheetName val="Safety Benefits"/>
      <sheetName val="Air Quality"/>
      <sheetName val="RCV Calc"/>
      <sheetName val="Operation and Maintenance"/>
      <sheetName val="WisDOT TT Tool Input - No Build"/>
      <sheetName val="WisDOT TT Tool Input - Build"/>
      <sheetName val="WisDOT Travel Time Tool Output"/>
      <sheetName val="GDP Defl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CA Summary"/>
      <sheetName val="Annualized Operations"/>
      <sheetName val="User Benefits (VHT) - Network"/>
      <sheetName val="User Benefits (VHT) - Nodal"/>
      <sheetName val="Operation Benefits (VMT)"/>
      <sheetName val="Safety Benefits"/>
      <sheetName val="Air Quality"/>
      <sheetName val="RCV Calc"/>
      <sheetName val="Operation and Maintenance"/>
      <sheetName val="RCV Calculato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transportation.anl.gov/pdfs/idling_worksheet.pdf" TargetMode="External"/><Relationship Id="rId1" Type="http://schemas.openxmlformats.org/officeDocument/2006/relationships/hyperlink" Target="http://energy.gov/eere/vehicles/fact-861-february-23-2015-idle-fuel-consumption-selected-gasoline-and-diesel-vehicl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sciencedaily.com/releases/2008/11/081112124418.htm" TargetMode="External"/><Relationship Id="rId2" Type="http://schemas.openxmlformats.org/officeDocument/2006/relationships/hyperlink" Target="https://www.census.gov/data/tables/2008/demo/age-and-sex/2008-age-sex-composition.html" TargetMode="External"/><Relationship Id="rId1" Type="http://schemas.openxmlformats.org/officeDocument/2006/relationships/hyperlink" Target="https://www.census.gov/quickfacts/fact/table/elkrivercityminnesota/IPE120219"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59999389629810485"/>
    <pageSetUpPr fitToPage="1"/>
  </sheetPr>
  <dimension ref="B2:S344"/>
  <sheetViews>
    <sheetView tabSelected="1" view="pageBreakPreview" zoomScale="85" zoomScaleNormal="85" zoomScaleSheetLayoutView="85" workbookViewId="0">
      <selection activeCell="E11" sqref="E11"/>
    </sheetView>
  </sheetViews>
  <sheetFormatPr defaultColWidth="10.7109375" defaultRowHeight="15" customHeight="1" x14ac:dyDescent="0.2"/>
  <cols>
    <col min="1" max="1" width="10.7109375" style="56"/>
    <col min="2" max="2" width="5.7109375" style="56" customWidth="1"/>
    <col min="3" max="3" width="39.140625" style="56" bestFit="1" customWidth="1"/>
    <col min="4" max="5" width="15.7109375" style="56" customWidth="1"/>
    <col min="6" max="6" width="10.7109375" style="56"/>
    <col min="7" max="7" width="20.7109375" style="56" bestFit="1" customWidth="1"/>
    <col min="8" max="10" width="10.7109375" style="56"/>
    <col min="11" max="11" width="14.28515625" style="56" customWidth="1"/>
    <col min="12" max="12" width="11.7109375" style="58" bestFit="1" customWidth="1"/>
    <col min="13" max="18" width="10.7109375" style="58"/>
    <col min="19" max="16384" width="10.7109375" style="56"/>
  </cols>
  <sheetData>
    <row r="2" spans="2:19" ht="15" customHeight="1" x14ac:dyDescent="0.2">
      <c r="B2" s="72"/>
      <c r="L2" s="56"/>
      <c r="M2" s="56"/>
      <c r="N2" s="56"/>
      <c r="O2" s="56"/>
      <c r="P2" s="56"/>
      <c r="Q2" s="56"/>
      <c r="R2" s="56"/>
    </row>
    <row r="3" spans="2:19" ht="15" customHeight="1" x14ac:dyDescent="0.35">
      <c r="C3" s="5" t="s">
        <v>46</v>
      </c>
      <c r="F3" s="188"/>
      <c r="L3" s="56"/>
      <c r="M3" s="56"/>
      <c r="N3" s="56"/>
      <c r="O3" s="56"/>
      <c r="P3" s="56"/>
      <c r="Q3" s="56"/>
      <c r="R3" s="56"/>
    </row>
    <row r="4" spans="2:19" ht="15" customHeight="1" x14ac:dyDescent="0.35">
      <c r="C4" s="73" t="s">
        <v>98</v>
      </c>
      <c r="D4" s="455">
        <v>2020</v>
      </c>
      <c r="F4" s="188"/>
      <c r="I4" s="59" t="s">
        <v>148</v>
      </c>
      <c r="L4" s="56"/>
      <c r="M4" s="56"/>
      <c r="N4" s="56"/>
      <c r="O4" s="56"/>
      <c r="P4" s="56"/>
      <c r="Q4" s="56"/>
      <c r="R4" s="56"/>
    </row>
    <row r="5" spans="2:19" ht="15" customHeight="1" x14ac:dyDescent="0.2">
      <c r="B5" s="57"/>
      <c r="C5" s="73" t="s">
        <v>47</v>
      </c>
      <c r="D5" s="455">
        <v>2023</v>
      </c>
      <c r="E5" s="57"/>
      <c r="G5" s="72"/>
      <c r="H5" s="57"/>
      <c r="I5" s="57"/>
      <c r="J5" s="57"/>
      <c r="K5" s="57"/>
      <c r="L5" s="57"/>
      <c r="M5" s="57"/>
      <c r="N5" s="57"/>
      <c r="P5" s="57"/>
    </row>
    <row r="6" spans="2:19" ht="15" customHeight="1" x14ac:dyDescent="0.2">
      <c r="B6" s="57"/>
      <c r="C6" s="73" t="s">
        <v>48</v>
      </c>
      <c r="D6" s="455">
        <v>2</v>
      </c>
      <c r="E6" s="57"/>
      <c r="G6" s="72"/>
      <c r="H6" s="72"/>
      <c r="I6" s="72"/>
      <c r="J6" s="72"/>
      <c r="K6" s="72"/>
      <c r="L6" s="131"/>
      <c r="M6" s="72"/>
      <c r="N6" s="57"/>
      <c r="P6" s="57"/>
    </row>
    <row r="7" spans="2:19" ht="15" customHeight="1" x14ac:dyDescent="0.2">
      <c r="B7" s="57"/>
      <c r="C7" s="73" t="s">
        <v>72</v>
      </c>
      <c r="D7" s="455">
        <v>30</v>
      </c>
      <c r="E7" s="57"/>
      <c r="G7" s="72"/>
      <c r="H7" s="57"/>
      <c r="I7" s="57"/>
      <c r="J7" s="57"/>
      <c r="K7" s="72"/>
      <c r="L7" s="57"/>
      <c r="M7" s="57"/>
      <c r="N7" s="57"/>
      <c r="O7" s="57"/>
      <c r="P7" s="57"/>
      <c r="Q7" s="57"/>
    </row>
    <row r="8" spans="2:19" ht="15" customHeight="1" x14ac:dyDescent="0.2">
      <c r="B8" s="57"/>
      <c r="C8" s="73" t="s">
        <v>49</v>
      </c>
      <c r="D8" s="455">
        <f>D5+D6</f>
        <v>2025</v>
      </c>
      <c r="E8" s="57"/>
      <c r="G8" s="59"/>
      <c r="H8" s="57"/>
      <c r="L8" s="56"/>
      <c r="M8" s="57"/>
      <c r="N8" s="57"/>
      <c r="O8" s="57"/>
      <c r="P8" s="57"/>
      <c r="Q8" s="57"/>
      <c r="R8" s="56"/>
    </row>
    <row r="9" spans="2:19" ht="15" customHeight="1" x14ac:dyDescent="0.2">
      <c r="C9" s="73" t="s">
        <v>50</v>
      </c>
      <c r="D9" s="455">
        <f>D8+D7-1</f>
        <v>2054</v>
      </c>
      <c r="E9" s="57"/>
      <c r="G9" s="72"/>
      <c r="L9" s="56"/>
      <c r="M9" s="56"/>
      <c r="N9" s="56"/>
      <c r="O9" s="56"/>
      <c r="P9" s="56"/>
      <c r="Q9" s="56"/>
      <c r="R9" s="56"/>
    </row>
    <row r="10" spans="2:19" ht="15" customHeight="1" x14ac:dyDescent="0.2">
      <c r="C10" s="73" t="s">
        <v>88</v>
      </c>
      <c r="D10" s="455">
        <v>2040</v>
      </c>
      <c r="E10" s="57"/>
      <c r="G10" s="59"/>
      <c r="L10" s="56"/>
      <c r="M10" s="56"/>
      <c r="N10" s="56"/>
      <c r="O10" s="56"/>
      <c r="P10" s="56"/>
      <c r="Q10" s="56"/>
      <c r="R10" s="56"/>
    </row>
    <row r="11" spans="2:19" ht="15" customHeight="1" x14ac:dyDescent="0.2">
      <c r="D11" s="74"/>
      <c r="F11" s="57"/>
      <c r="L11" s="56"/>
      <c r="M11" s="56"/>
      <c r="N11" s="56"/>
      <c r="O11" s="56"/>
      <c r="P11" s="56"/>
      <c r="Q11" s="56"/>
      <c r="R11" s="56"/>
    </row>
    <row r="12" spans="2:19" ht="15" customHeight="1" x14ac:dyDescent="0.2">
      <c r="C12" s="5" t="s">
        <v>51</v>
      </c>
      <c r="E12" s="57"/>
      <c r="F12" s="57"/>
      <c r="L12" s="56"/>
      <c r="M12" s="56"/>
      <c r="N12" s="56"/>
      <c r="O12" s="56"/>
      <c r="P12" s="56"/>
      <c r="Q12" s="56"/>
      <c r="R12" s="56"/>
    </row>
    <row r="13" spans="2:19" ht="15" customHeight="1" x14ac:dyDescent="0.2">
      <c r="C13" s="73"/>
      <c r="D13" s="75" t="s">
        <v>43</v>
      </c>
      <c r="E13" s="75" t="s">
        <v>44</v>
      </c>
      <c r="F13" s="57"/>
      <c r="L13" s="56"/>
      <c r="M13" s="56"/>
      <c r="N13" s="56"/>
      <c r="O13" s="56"/>
      <c r="P13" s="56"/>
      <c r="Q13" s="56"/>
      <c r="R13" s="56"/>
    </row>
    <row r="14" spans="2:19" ht="15" customHeight="1" x14ac:dyDescent="0.2">
      <c r="C14" s="73" t="s">
        <v>89</v>
      </c>
      <c r="D14" s="456">
        <f>(21200+27000-1900-2100)/(27000+21200)</f>
        <v>0.91701244813278004</v>
      </c>
      <c r="E14" s="456">
        <f>(21200+27000-1900-2100)/(27000+21200)</f>
        <v>0.91701244813278004</v>
      </c>
      <c r="F14" s="57"/>
      <c r="J14" s="92"/>
      <c r="K14" s="92"/>
      <c r="L14" s="56"/>
      <c r="M14" s="56"/>
      <c r="N14" s="56"/>
      <c r="O14" s="56"/>
      <c r="P14" s="56"/>
      <c r="Q14" s="56"/>
      <c r="R14" s="56"/>
    </row>
    <row r="15" spans="2:19" ht="15" customHeight="1" x14ac:dyDescent="0.2">
      <c r="C15" s="73" t="s">
        <v>90</v>
      </c>
      <c r="D15" s="456">
        <f>1-D14</f>
        <v>8.2987551867219955E-2</v>
      </c>
      <c r="E15" s="456">
        <f>1-E14</f>
        <v>8.2987551867219955E-2</v>
      </c>
      <c r="L15" s="56"/>
      <c r="M15" s="56"/>
      <c r="N15" s="56"/>
      <c r="O15" s="56"/>
      <c r="P15" s="56"/>
      <c r="Q15" s="56"/>
      <c r="R15" s="56"/>
    </row>
    <row r="16" spans="2:19" ht="15" customHeight="1" x14ac:dyDescent="0.2">
      <c r="C16" s="73" t="s">
        <v>91</v>
      </c>
      <c r="D16" s="455">
        <v>1.67</v>
      </c>
      <c r="E16" s="455">
        <v>1.67</v>
      </c>
      <c r="L16" s="56"/>
      <c r="M16" s="56"/>
      <c r="N16" s="56"/>
      <c r="O16" s="56"/>
      <c r="P16" s="56"/>
      <c r="Q16" s="56"/>
      <c r="R16" s="56"/>
      <c r="S16" s="57"/>
    </row>
    <row r="17" spans="2:18" ht="15" customHeight="1" x14ac:dyDescent="0.2">
      <c r="C17" s="73" t="s">
        <v>92</v>
      </c>
      <c r="D17" s="457">
        <v>1</v>
      </c>
      <c r="E17" s="457">
        <v>1</v>
      </c>
      <c r="L17" s="56"/>
      <c r="M17" s="56"/>
      <c r="N17" s="56"/>
      <c r="O17" s="56"/>
      <c r="P17" s="56"/>
      <c r="Q17" s="56"/>
      <c r="R17" s="56"/>
    </row>
    <row r="18" spans="2:18" ht="15" customHeight="1" x14ac:dyDescent="0.2">
      <c r="C18" s="57"/>
      <c r="D18" s="57"/>
      <c r="E18" s="57"/>
      <c r="L18" s="56"/>
      <c r="M18" s="56"/>
      <c r="N18" s="56"/>
      <c r="O18" s="56"/>
      <c r="P18" s="56"/>
      <c r="Q18" s="56"/>
      <c r="R18" s="56"/>
    </row>
    <row r="19" spans="2:18" ht="15" customHeight="1" x14ac:dyDescent="0.2">
      <c r="C19" s="5" t="s">
        <v>52</v>
      </c>
      <c r="D19" s="74"/>
      <c r="F19" s="57"/>
      <c r="L19" s="56"/>
      <c r="M19" s="56"/>
      <c r="N19" s="56"/>
      <c r="O19" s="56"/>
      <c r="P19" s="56"/>
      <c r="Q19" s="56"/>
      <c r="R19" s="56"/>
    </row>
    <row r="20" spans="2:18" ht="15" customHeight="1" x14ac:dyDescent="0.2">
      <c r="C20" s="73" t="s">
        <v>93</v>
      </c>
      <c r="D20" s="171">
        <v>365</v>
      </c>
      <c r="F20" s="57"/>
      <c r="L20" s="56"/>
      <c r="M20" s="56"/>
      <c r="N20" s="56"/>
      <c r="O20" s="56"/>
      <c r="P20" s="56"/>
      <c r="Q20" s="56"/>
      <c r="R20" s="56"/>
    </row>
    <row r="21" spans="2:18" ht="15" customHeight="1" x14ac:dyDescent="0.2">
      <c r="C21" s="73" t="s">
        <v>96</v>
      </c>
      <c r="D21" s="172">
        <v>17.8</v>
      </c>
      <c r="L21" s="56"/>
      <c r="M21" s="56"/>
      <c r="N21" s="56"/>
      <c r="O21" s="56"/>
      <c r="P21" s="56"/>
      <c r="Q21" s="56"/>
      <c r="R21" s="56"/>
    </row>
    <row r="22" spans="2:18" ht="15" customHeight="1" x14ac:dyDescent="0.2">
      <c r="C22" s="73" t="s">
        <v>97</v>
      </c>
      <c r="D22" s="172">
        <v>32</v>
      </c>
      <c r="L22" s="56"/>
      <c r="M22" s="56"/>
      <c r="N22" s="56"/>
      <c r="O22" s="56"/>
      <c r="P22" s="56"/>
      <c r="Q22" s="56"/>
      <c r="R22" s="56"/>
    </row>
    <row r="23" spans="2:18" ht="15" customHeight="1" x14ac:dyDescent="0.2">
      <c r="C23" s="73" t="s">
        <v>71</v>
      </c>
      <c r="D23" s="172">
        <f>(D21*D14*D16+D22*D15*D17)</f>
        <v>29.914713692946055</v>
      </c>
      <c r="F23" s="57"/>
      <c r="L23" s="56"/>
      <c r="M23" s="56"/>
      <c r="N23" s="56"/>
      <c r="O23" s="56"/>
      <c r="P23" s="56"/>
      <c r="Q23" s="56"/>
      <c r="R23" s="56"/>
    </row>
    <row r="24" spans="2:18" ht="15" customHeight="1" x14ac:dyDescent="0.2">
      <c r="C24" s="171" t="s">
        <v>109</v>
      </c>
      <c r="D24" s="172">
        <v>0.45</v>
      </c>
      <c r="L24" s="56"/>
      <c r="M24" s="56"/>
      <c r="N24" s="56"/>
      <c r="O24" s="56"/>
      <c r="P24" s="56"/>
      <c r="Q24" s="56"/>
      <c r="R24" s="56"/>
    </row>
    <row r="25" spans="2:18" ht="15" customHeight="1" x14ac:dyDescent="0.2">
      <c r="C25" s="171" t="s">
        <v>110</v>
      </c>
      <c r="D25" s="172">
        <v>0.94</v>
      </c>
      <c r="L25" s="56"/>
      <c r="M25" s="56"/>
      <c r="N25" s="56"/>
      <c r="O25" s="56"/>
      <c r="P25" s="56"/>
      <c r="Q25" s="56"/>
      <c r="R25" s="56"/>
    </row>
    <row r="26" spans="2:18" ht="15" customHeight="1" x14ac:dyDescent="0.2">
      <c r="C26" s="57"/>
      <c r="D26" s="155"/>
      <c r="F26" s="57"/>
      <c r="L26" s="56"/>
      <c r="M26" s="56"/>
      <c r="N26" s="56"/>
      <c r="O26" s="56"/>
      <c r="P26" s="56"/>
      <c r="Q26" s="56"/>
      <c r="R26" s="56"/>
    </row>
    <row r="27" spans="2:18" ht="15" customHeight="1" x14ac:dyDescent="0.2">
      <c r="L27" s="56"/>
      <c r="M27" s="56"/>
      <c r="N27" s="56"/>
      <c r="O27" s="56"/>
      <c r="P27" s="56"/>
      <c r="Q27" s="56"/>
      <c r="R27" s="56"/>
    </row>
    <row r="28" spans="2:18" ht="15" customHeight="1" x14ac:dyDescent="0.2">
      <c r="B28" s="17" t="s">
        <v>3</v>
      </c>
      <c r="C28" s="17"/>
      <c r="D28" s="17"/>
      <c r="L28" s="56"/>
      <c r="M28" s="56"/>
      <c r="N28" s="56"/>
      <c r="O28" s="56"/>
      <c r="P28" s="56"/>
      <c r="Q28" s="56"/>
      <c r="R28" s="56"/>
    </row>
    <row r="29" spans="2:18" ht="15" customHeight="1" x14ac:dyDescent="0.25">
      <c r="B29" s="458" t="s">
        <v>53</v>
      </c>
      <c r="C29" s="470" t="s">
        <v>163</v>
      </c>
      <c r="D29" s="470"/>
      <c r="E29" s="470"/>
      <c r="F29" s="470"/>
      <c r="G29" s="470"/>
      <c r="L29" s="56"/>
      <c r="M29" s="56"/>
      <c r="N29" s="56"/>
      <c r="O29" s="56"/>
      <c r="P29" s="56"/>
      <c r="Q29" s="56"/>
      <c r="R29" s="56"/>
    </row>
    <row r="30" spans="2:18" ht="15" customHeight="1" x14ac:dyDescent="0.25">
      <c r="B30" s="459"/>
      <c r="C30" s="470"/>
      <c r="D30" s="470"/>
      <c r="E30" s="470"/>
      <c r="F30" s="470"/>
      <c r="G30" s="470"/>
      <c r="L30" s="56"/>
      <c r="M30" s="56"/>
      <c r="N30" s="56"/>
      <c r="O30" s="56"/>
      <c r="P30" s="56"/>
      <c r="Q30" s="56"/>
      <c r="R30" s="56"/>
    </row>
    <row r="31" spans="2:18" ht="15" customHeight="1" x14ac:dyDescent="0.25">
      <c r="B31" s="459"/>
      <c r="C31" s="470"/>
      <c r="D31" s="470"/>
      <c r="E31" s="470"/>
      <c r="F31" s="470"/>
      <c r="G31" s="470"/>
      <c r="L31" s="56"/>
      <c r="M31" s="56"/>
      <c r="N31" s="56"/>
      <c r="O31" s="56"/>
      <c r="P31" s="56"/>
      <c r="Q31" s="56"/>
      <c r="R31" s="56"/>
    </row>
    <row r="32" spans="2:18" ht="15" customHeight="1" x14ac:dyDescent="0.25">
      <c r="B32" s="459"/>
      <c r="C32" s="460"/>
      <c r="D32" s="460"/>
      <c r="E32" s="460"/>
      <c r="F32" s="460"/>
      <c r="G32" s="460"/>
      <c r="L32" s="56"/>
      <c r="M32" s="56"/>
      <c r="N32" s="56"/>
      <c r="O32" s="56"/>
      <c r="P32" s="56"/>
      <c r="Q32" s="56"/>
      <c r="R32" s="56"/>
    </row>
    <row r="33" spans="2:18" ht="15" customHeight="1" x14ac:dyDescent="0.25">
      <c r="B33" s="458" t="s">
        <v>67</v>
      </c>
      <c r="C33" s="470" t="s">
        <v>145</v>
      </c>
      <c r="D33" s="470"/>
      <c r="E33" s="470"/>
      <c r="F33" s="470"/>
      <c r="G33" s="470"/>
      <c r="L33" s="56"/>
      <c r="M33" s="56"/>
      <c r="N33" s="56"/>
      <c r="O33" s="56"/>
      <c r="P33" s="56"/>
      <c r="Q33" s="56"/>
      <c r="R33" s="56"/>
    </row>
    <row r="34" spans="2:18" ht="15" customHeight="1" x14ac:dyDescent="0.25">
      <c r="B34" s="458"/>
      <c r="C34" s="470"/>
      <c r="D34" s="470"/>
      <c r="E34" s="470"/>
      <c r="F34" s="470"/>
      <c r="G34" s="470"/>
      <c r="L34" s="56"/>
      <c r="M34" s="56"/>
      <c r="N34" s="56"/>
      <c r="O34" s="56"/>
      <c r="P34" s="56"/>
      <c r="Q34" s="56"/>
      <c r="R34" s="56"/>
    </row>
    <row r="35" spans="2:18" ht="15" customHeight="1" x14ac:dyDescent="0.25">
      <c r="B35" s="458"/>
      <c r="C35" s="470"/>
      <c r="D35" s="470"/>
      <c r="E35" s="470"/>
      <c r="F35" s="470"/>
      <c r="G35" s="470"/>
      <c r="L35" s="56"/>
      <c r="M35" s="56"/>
      <c r="N35" s="56"/>
      <c r="O35" s="56"/>
      <c r="P35" s="56"/>
      <c r="Q35" s="56"/>
      <c r="R35" s="56"/>
    </row>
    <row r="36" spans="2:18" ht="15" customHeight="1" x14ac:dyDescent="0.25">
      <c r="B36" s="458"/>
      <c r="C36" s="461"/>
      <c r="D36" s="461"/>
      <c r="E36" s="461"/>
      <c r="F36" s="461"/>
      <c r="G36" s="461"/>
      <c r="L36" s="56"/>
      <c r="M36" s="56"/>
      <c r="N36" s="56"/>
      <c r="O36" s="56"/>
      <c r="P36" s="56"/>
      <c r="Q36" s="56"/>
      <c r="R36" s="56"/>
    </row>
    <row r="37" spans="2:18" ht="15" customHeight="1" x14ac:dyDescent="0.25">
      <c r="B37" s="458" t="s">
        <v>68</v>
      </c>
      <c r="C37" s="470" t="s">
        <v>331</v>
      </c>
      <c r="D37" s="470"/>
      <c r="E37" s="470"/>
      <c r="F37" s="470"/>
      <c r="G37" s="470"/>
      <c r="L37" s="56"/>
      <c r="M37" s="56"/>
      <c r="N37" s="56"/>
      <c r="O37" s="56"/>
      <c r="P37" s="56"/>
      <c r="Q37" s="56"/>
      <c r="R37" s="56"/>
    </row>
    <row r="38" spans="2:18" ht="15" customHeight="1" x14ac:dyDescent="0.2">
      <c r="B38" s="462"/>
      <c r="C38" s="470"/>
      <c r="D38" s="470"/>
      <c r="E38" s="470"/>
      <c r="F38" s="470"/>
      <c r="G38" s="470"/>
      <c r="L38" s="56"/>
      <c r="M38" s="56"/>
      <c r="N38" s="56"/>
      <c r="O38" s="56"/>
      <c r="P38" s="56"/>
      <c r="Q38" s="56"/>
      <c r="R38" s="56"/>
    </row>
    <row r="39" spans="2:18" ht="15" customHeight="1" x14ac:dyDescent="0.2">
      <c r="B39" s="462"/>
      <c r="C39" s="470"/>
      <c r="D39" s="470"/>
      <c r="E39" s="470"/>
      <c r="F39" s="470"/>
      <c r="G39" s="470"/>
      <c r="L39" s="56"/>
      <c r="M39" s="56"/>
      <c r="N39" s="56"/>
      <c r="O39" s="56"/>
      <c r="P39" s="56"/>
      <c r="Q39" s="56"/>
      <c r="R39" s="56"/>
    </row>
    <row r="40" spans="2:18" ht="15" customHeight="1" x14ac:dyDescent="0.2">
      <c r="B40" s="462"/>
      <c r="C40" s="462"/>
      <c r="D40" s="463"/>
      <c r="E40" s="463"/>
      <c r="F40" s="463"/>
      <c r="G40" s="463"/>
      <c r="L40" s="56"/>
      <c r="M40" s="56"/>
      <c r="N40" s="56"/>
      <c r="O40" s="56"/>
      <c r="P40" s="56"/>
      <c r="Q40" s="56"/>
      <c r="R40" s="56"/>
    </row>
    <row r="41" spans="2:18" ht="15" customHeight="1" x14ac:dyDescent="0.25">
      <c r="B41" s="464" t="s">
        <v>69</v>
      </c>
      <c r="C41" s="472" t="s">
        <v>150</v>
      </c>
      <c r="D41" s="472"/>
      <c r="E41" s="472"/>
      <c r="F41" s="472"/>
      <c r="G41" s="472"/>
      <c r="L41" s="56"/>
      <c r="M41" s="56"/>
      <c r="N41" s="56"/>
      <c r="O41" s="56"/>
      <c r="P41" s="56"/>
      <c r="Q41" s="56"/>
      <c r="R41" s="56"/>
    </row>
    <row r="42" spans="2:18" ht="15" customHeight="1" x14ac:dyDescent="0.2">
      <c r="B42" s="462"/>
      <c r="C42" s="472"/>
      <c r="D42" s="472"/>
      <c r="E42" s="472"/>
      <c r="F42" s="472"/>
      <c r="G42" s="472"/>
      <c r="L42" s="56"/>
      <c r="M42" s="56"/>
      <c r="N42" s="56"/>
      <c r="O42" s="56"/>
      <c r="P42" s="56"/>
      <c r="Q42" s="56"/>
      <c r="R42" s="56"/>
    </row>
    <row r="43" spans="2:18" x14ac:dyDescent="0.25">
      <c r="B43" s="464"/>
      <c r="C43" s="465"/>
      <c r="D43" s="466"/>
      <c r="E43" s="465"/>
      <c r="F43" s="465"/>
      <c r="G43" s="465"/>
      <c r="L43" s="56"/>
      <c r="M43" s="56"/>
      <c r="N43" s="56"/>
      <c r="O43" s="56"/>
      <c r="P43" s="56"/>
      <c r="Q43" s="56"/>
      <c r="R43" s="56"/>
    </row>
    <row r="44" spans="2:18" ht="15" customHeight="1" x14ac:dyDescent="0.25">
      <c r="B44" s="464" t="s">
        <v>70</v>
      </c>
      <c r="C44" s="472" t="s">
        <v>343</v>
      </c>
      <c r="D44" s="472"/>
      <c r="E44" s="472"/>
      <c r="F44" s="472"/>
      <c r="G44" s="472"/>
    </row>
    <row r="45" spans="2:18" ht="15" customHeight="1" x14ac:dyDescent="0.25">
      <c r="B45" s="464"/>
      <c r="C45" s="472"/>
      <c r="D45" s="472"/>
      <c r="E45" s="472"/>
      <c r="F45" s="472"/>
      <c r="G45" s="472"/>
      <c r="L45" s="56"/>
      <c r="M45" s="56"/>
      <c r="N45" s="56"/>
      <c r="O45" s="56"/>
      <c r="P45" s="56"/>
      <c r="Q45" s="56"/>
      <c r="R45" s="56"/>
    </row>
    <row r="46" spans="2:18" ht="15" customHeight="1" x14ac:dyDescent="0.2">
      <c r="B46" s="467"/>
      <c r="C46" s="463"/>
      <c r="D46" s="463"/>
      <c r="E46" s="463"/>
      <c r="F46" s="463"/>
      <c r="G46" s="463"/>
      <c r="L46" s="56"/>
      <c r="M46" s="56"/>
      <c r="N46" s="56"/>
      <c r="O46" s="56"/>
      <c r="P46" s="56"/>
      <c r="Q46" s="56"/>
      <c r="R46" s="56"/>
    </row>
    <row r="47" spans="2:18" ht="15" customHeight="1" x14ac:dyDescent="0.25">
      <c r="B47" s="464" t="s">
        <v>108</v>
      </c>
      <c r="C47" s="472" t="s">
        <v>344</v>
      </c>
      <c r="D47" s="472"/>
      <c r="E47" s="472"/>
      <c r="F47" s="472"/>
      <c r="G47" s="472"/>
      <c r="L47" s="56"/>
      <c r="M47" s="56"/>
      <c r="N47" s="56"/>
      <c r="O47" s="56"/>
      <c r="P47" s="56"/>
      <c r="Q47" s="56"/>
      <c r="R47" s="56"/>
    </row>
    <row r="48" spans="2:18" ht="15" customHeight="1" x14ac:dyDescent="0.25">
      <c r="B48" s="464"/>
      <c r="C48" s="472"/>
      <c r="D48" s="472"/>
      <c r="E48" s="472"/>
      <c r="F48" s="472"/>
      <c r="G48" s="472"/>
      <c r="L48" s="56"/>
      <c r="M48" s="56"/>
      <c r="N48" s="56"/>
      <c r="O48" s="56"/>
      <c r="P48" s="56"/>
      <c r="Q48" s="56"/>
      <c r="R48" s="56"/>
    </row>
    <row r="49" spans="2:19" ht="15" customHeight="1" x14ac:dyDescent="0.25">
      <c r="B49" s="464"/>
      <c r="C49" s="472"/>
      <c r="D49" s="472"/>
      <c r="E49" s="472"/>
      <c r="F49" s="472"/>
      <c r="G49" s="472"/>
      <c r="L49" s="56"/>
      <c r="M49" s="56"/>
      <c r="N49" s="56"/>
      <c r="O49" s="56"/>
      <c r="P49" s="56"/>
      <c r="Q49" s="56"/>
      <c r="R49" s="56"/>
    </row>
    <row r="50" spans="2:19" ht="15" customHeight="1" x14ac:dyDescent="0.2">
      <c r="B50" s="85"/>
      <c r="C50" s="86"/>
      <c r="D50" s="86"/>
      <c r="E50" s="86"/>
      <c r="F50" s="86"/>
      <c r="G50" s="86"/>
      <c r="H50" s="88"/>
      <c r="I50" s="55"/>
      <c r="J50" s="55"/>
      <c r="L50" s="56"/>
      <c r="M50" s="56"/>
      <c r="N50" s="56"/>
      <c r="O50" s="56"/>
      <c r="P50" s="56"/>
      <c r="Q50" s="56"/>
      <c r="R50" s="56"/>
    </row>
    <row r="51" spans="2:19" ht="15" customHeight="1" x14ac:dyDescent="0.2">
      <c r="C51" s="86"/>
      <c r="D51" s="86"/>
      <c r="E51" s="86"/>
      <c r="F51" s="86"/>
      <c r="G51" s="86"/>
      <c r="H51" s="88"/>
      <c r="I51" s="55"/>
      <c r="J51" s="55"/>
      <c r="L51" s="56"/>
      <c r="M51" s="56"/>
      <c r="N51" s="56"/>
      <c r="O51" s="56"/>
      <c r="P51" s="56"/>
      <c r="Q51" s="56"/>
      <c r="R51" s="56"/>
    </row>
    <row r="52" spans="2:19" ht="15" customHeight="1" x14ac:dyDescent="0.2">
      <c r="B52" s="85"/>
      <c r="H52" s="55"/>
      <c r="L52" s="56"/>
      <c r="M52" s="56"/>
      <c r="N52" s="56"/>
      <c r="O52" s="56"/>
      <c r="P52" s="56"/>
      <c r="Q52" s="56"/>
      <c r="R52" s="56"/>
    </row>
    <row r="53" spans="2:19" ht="15" customHeight="1" x14ac:dyDescent="0.2">
      <c r="B53" s="85"/>
      <c r="H53" s="55"/>
      <c r="L53" s="56"/>
      <c r="M53" s="56"/>
      <c r="N53" s="56"/>
      <c r="O53" s="56"/>
      <c r="P53" s="56"/>
      <c r="Q53" s="56"/>
      <c r="R53" s="56"/>
    </row>
    <row r="54" spans="2:19" ht="15" customHeight="1" x14ac:dyDescent="0.2">
      <c r="B54" s="85"/>
      <c r="H54" s="55"/>
      <c r="L54" s="56"/>
      <c r="M54" s="56"/>
      <c r="N54" s="56"/>
      <c r="O54" s="56"/>
      <c r="P54" s="56"/>
      <c r="Q54" s="56"/>
      <c r="R54" s="56"/>
    </row>
    <row r="55" spans="2:19" ht="15" customHeight="1" x14ac:dyDescent="0.2">
      <c r="B55" s="85"/>
      <c r="C55" s="87"/>
      <c r="D55" s="87"/>
      <c r="E55" s="87"/>
      <c r="F55" s="87"/>
      <c r="G55" s="87"/>
      <c r="H55" s="55"/>
      <c r="L55" s="56"/>
      <c r="M55" s="56"/>
      <c r="N55" s="56"/>
      <c r="O55" s="56"/>
      <c r="P55" s="56"/>
      <c r="Q55" s="56"/>
      <c r="R55" s="56"/>
    </row>
    <row r="56" spans="2:19" ht="15" customHeight="1" x14ac:dyDescent="0.2">
      <c r="B56" s="85"/>
      <c r="C56" s="471"/>
      <c r="D56" s="471"/>
      <c r="E56" s="471"/>
      <c r="F56" s="471"/>
      <c r="G56" s="471"/>
      <c r="L56" s="56"/>
      <c r="M56" s="56"/>
      <c r="N56" s="56"/>
      <c r="O56" s="56"/>
      <c r="P56" s="55"/>
      <c r="Q56" s="55"/>
      <c r="R56" s="55"/>
      <c r="S56" s="55"/>
    </row>
    <row r="57" spans="2:19" ht="15" customHeight="1" x14ac:dyDescent="0.2">
      <c r="B57" s="85"/>
      <c r="C57" s="471"/>
      <c r="D57" s="471"/>
      <c r="E57" s="471"/>
      <c r="F57" s="471"/>
      <c r="G57" s="471"/>
      <c r="K57" s="55"/>
      <c r="L57" s="55"/>
      <c r="M57" s="55"/>
      <c r="N57" s="55"/>
      <c r="O57" s="55"/>
      <c r="P57" s="56"/>
      <c r="Q57" s="56"/>
      <c r="R57" s="56"/>
    </row>
    <row r="58" spans="2:19" ht="15" customHeight="1" x14ac:dyDescent="0.2">
      <c r="B58" s="85"/>
      <c r="C58" s="87"/>
      <c r="D58" s="87"/>
      <c r="E58" s="87"/>
      <c r="F58" s="87"/>
      <c r="G58" s="87"/>
      <c r="L58" s="56"/>
      <c r="M58" s="56"/>
      <c r="N58" s="56"/>
      <c r="O58" s="56"/>
      <c r="P58" s="56"/>
      <c r="Q58" s="56"/>
      <c r="R58" s="56"/>
    </row>
    <row r="59" spans="2:19" ht="15" customHeight="1" x14ac:dyDescent="0.2">
      <c r="B59" s="85"/>
      <c r="C59" s="471"/>
      <c r="D59" s="471"/>
      <c r="E59" s="471"/>
      <c r="F59" s="471"/>
      <c r="G59" s="471"/>
      <c r="H59" s="55"/>
      <c r="L59" s="55"/>
      <c r="O59" s="56"/>
      <c r="P59" s="56"/>
      <c r="Q59" s="56"/>
      <c r="R59" s="56"/>
    </row>
    <row r="60" spans="2:19" ht="15" customHeight="1" x14ac:dyDescent="0.2">
      <c r="B60" s="55"/>
      <c r="C60" s="471"/>
      <c r="D60" s="471"/>
      <c r="E60" s="471"/>
      <c r="F60" s="471"/>
      <c r="G60" s="471"/>
      <c r="L60" s="55"/>
      <c r="M60" s="56"/>
      <c r="N60" s="56"/>
      <c r="O60" s="56"/>
      <c r="P60" s="55"/>
      <c r="Q60" s="55"/>
      <c r="R60" s="55"/>
    </row>
    <row r="61" spans="2:19" ht="15" customHeight="1" x14ac:dyDescent="0.2">
      <c r="B61" s="55"/>
      <c r="C61" s="471"/>
      <c r="D61" s="471"/>
      <c r="E61" s="471"/>
      <c r="F61" s="471"/>
      <c r="G61" s="471"/>
      <c r="K61" s="55"/>
      <c r="L61" s="55"/>
      <c r="M61" s="55"/>
      <c r="N61" s="55"/>
      <c r="O61" s="55"/>
      <c r="P61" s="56"/>
      <c r="Q61" s="56"/>
      <c r="R61" s="56"/>
    </row>
    <row r="62" spans="2:19" ht="15" customHeight="1" x14ac:dyDescent="0.2">
      <c r="B62" s="55"/>
      <c r="C62" s="471"/>
      <c r="D62" s="471"/>
      <c r="E62" s="471"/>
      <c r="F62" s="471"/>
      <c r="G62" s="471"/>
      <c r="L62" s="55"/>
      <c r="M62" s="56"/>
      <c r="N62" s="56"/>
      <c r="O62" s="56"/>
      <c r="P62" s="56"/>
      <c r="Q62" s="56"/>
      <c r="R62" s="56"/>
    </row>
    <row r="63" spans="2:19" ht="15" customHeight="1" x14ac:dyDescent="0.2">
      <c r="B63" s="89"/>
      <c r="C63" s="471"/>
      <c r="D63" s="471"/>
      <c r="E63" s="471"/>
      <c r="F63" s="471"/>
      <c r="G63" s="471"/>
      <c r="L63" s="56"/>
      <c r="M63" s="56"/>
      <c r="N63" s="56"/>
      <c r="O63" s="56"/>
      <c r="P63" s="56"/>
      <c r="Q63" s="56"/>
      <c r="R63" s="56"/>
    </row>
    <row r="64" spans="2:19" ht="15" customHeight="1" x14ac:dyDescent="0.2">
      <c r="B64" s="55"/>
      <c r="L64" s="56"/>
      <c r="M64" s="56"/>
      <c r="N64" s="56"/>
      <c r="O64" s="56"/>
      <c r="P64" s="56"/>
      <c r="Q64" s="56"/>
      <c r="R64" s="56"/>
    </row>
    <row r="65" spans="2:18" ht="15" customHeight="1" x14ac:dyDescent="0.2">
      <c r="B65" s="55"/>
      <c r="E65" s="58"/>
      <c r="F65" s="58"/>
      <c r="G65" s="58"/>
      <c r="L65" s="56"/>
      <c r="M65" s="56"/>
      <c r="N65" s="56"/>
      <c r="O65" s="56"/>
      <c r="P65" s="56"/>
      <c r="Q65" s="56"/>
      <c r="R65" s="56"/>
    </row>
    <row r="66" spans="2:18" ht="15" customHeight="1" x14ac:dyDescent="0.2">
      <c r="B66" s="55"/>
      <c r="E66" s="58"/>
      <c r="F66" s="58"/>
      <c r="G66" s="58"/>
      <c r="L66" s="56"/>
      <c r="M66" s="56"/>
      <c r="N66" s="56"/>
      <c r="O66" s="56"/>
      <c r="P66" s="56"/>
      <c r="Q66" s="56"/>
      <c r="R66" s="56"/>
    </row>
    <row r="67" spans="2:18" ht="15" customHeight="1" x14ac:dyDescent="0.2">
      <c r="B67" s="55"/>
      <c r="L67" s="56"/>
      <c r="M67" s="56"/>
      <c r="N67" s="56"/>
      <c r="O67" s="56"/>
      <c r="P67" s="56"/>
      <c r="Q67" s="56"/>
      <c r="R67" s="56"/>
    </row>
    <row r="68" spans="2:18" ht="15" customHeight="1" x14ac:dyDescent="0.2">
      <c r="L68" s="56"/>
      <c r="M68" s="56"/>
      <c r="N68" s="56"/>
      <c r="O68" s="56"/>
      <c r="P68" s="56"/>
      <c r="Q68" s="56"/>
      <c r="R68" s="56"/>
    </row>
    <row r="69" spans="2:18" ht="15" customHeight="1" x14ac:dyDescent="0.2">
      <c r="L69" s="56"/>
      <c r="M69" s="56"/>
      <c r="N69" s="56"/>
      <c r="O69" s="56"/>
      <c r="P69" s="56"/>
      <c r="Q69" s="56"/>
      <c r="R69" s="56"/>
    </row>
    <row r="70" spans="2:18" ht="15" customHeight="1" x14ac:dyDescent="0.2">
      <c r="L70" s="56"/>
      <c r="M70" s="56"/>
      <c r="N70" s="56"/>
      <c r="O70" s="56"/>
      <c r="P70" s="56"/>
      <c r="Q70" s="56"/>
      <c r="R70" s="56"/>
    </row>
    <row r="71" spans="2:18" ht="15" customHeight="1" x14ac:dyDescent="0.2">
      <c r="L71" s="56"/>
      <c r="M71" s="56"/>
      <c r="N71" s="56"/>
      <c r="O71" s="56"/>
      <c r="P71" s="56"/>
      <c r="Q71" s="56"/>
      <c r="R71" s="56"/>
    </row>
    <row r="72" spans="2:18" ht="15" customHeight="1" x14ac:dyDescent="0.2">
      <c r="L72" s="56"/>
      <c r="M72" s="56"/>
      <c r="N72" s="56"/>
      <c r="O72" s="56"/>
      <c r="P72" s="56"/>
      <c r="Q72" s="56"/>
      <c r="R72" s="56"/>
    </row>
    <row r="73" spans="2:18" ht="15" customHeight="1" x14ac:dyDescent="0.2">
      <c r="L73" s="56"/>
      <c r="M73" s="56"/>
      <c r="N73" s="56"/>
      <c r="O73" s="56"/>
      <c r="P73" s="56"/>
      <c r="Q73" s="56"/>
      <c r="R73" s="56"/>
    </row>
    <row r="74" spans="2:18" ht="15" customHeight="1" x14ac:dyDescent="0.2">
      <c r="I74" s="59"/>
      <c r="L74" s="56"/>
      <c r="M74" s="56"/>
      <c r="N74" s="56"/>
      <c r="O74" s="56"/>
      <c r="P74" s="56"/>
      <c r="Q74" s="56"/>
      <c r="R74" s="56"/>
    </row>
    <row r="75" spans="2:18" ht="15" customHeight="1" x14ac:dyDescent="0.2">
      <c r="L75" s="56"/>
      <c r="M75" s="56"/>
      <c r="N75" s="56"/>
      <c r="O75" s="56"/>
      <c r="P75" s="56"/>
      <c r="Q75" s="56"/>
      <c r="R75" s="56"/>
    </row>
    <row r="76" spans="2:18" ht="15" customHeight="1" x14ac:dyDescent="0.2">
      <c r="I76" s="59"/>
      <c r="L76" s="56"/>
      <c r="M76" s="56"/>
      <c r="N76" s="56"/>
      <c r="O76" s="56"/>
      <c r="P76" s="56"/>
      <c r="Q76" s="56"/>
      <c r="R76" s="56"/>
    </row>
    <row r="77" spans="2:18" ht="15" customHeight="1" x14ac:dyDescent="0.2">
      <c r="I77" s="59"/>
      <c r="L77" s="56"/>
      <c r="M77" s="56"/>
      <c r="N77" s="56"/>
      <c r="O77" s="56"/>
      <c r="P77" s="56"/>
      <c r="Q77" s="56"/>
      <c r="R77" s="56"/>
    </row>
    <row r="78" spans="2:18" ht="15" customHeight="1" x14ac:dyDescent="0.2">
      <c r="H78" s="58"/>
      <c r="L78" s="56"/>
      <c r="M78" s="56"/>
      <c r="N78" s="56"/>
      <c r="O78" s="56"/>
      <c r="P78" s="56"/>
      <c r="Q78" s="56"/>
      <c r="R78" s="56"/>
    </row>
    <row r="79" spans="2:18" ht="15" customHeight="1" x14ac:dyDescent="0.2">
      <c r="H79" s="58"/>
      <c r="L79" s="56"/>
      <c r="M79" s="56"/>
      <c r="N79" s="56"/>
      <c r="O79" s="56"/>
      <c r="P79" s="56"/>
      <c r="Q79" s="56"/>
      <c r="R79" s="56"/>
    </row>
    <row r="80" spans="2:18" ht="15" customHeight="1" x14ac:dyDescent="0.2">
      <c r="L80" s="56"/>
      <c r="M80" s="56"/>
      <c r="N80" s="56"/>
      <c r="O80" s="56"/>
      <c r="P80" s="56"/>
      <c r="Q80" s="56"/>
      <c r="R80" s="56"/>
    </row>
    <row r="81" spans="12:18" ht="15" customHeight="1" x14ac:dyDescent="0.2">
      <c r="L81" s="56"/>
      <c r="M81" s="56"/>
      <c r="N81" s="56"/>
      <c r="O81" s="56"/>
      <c r="P81" s="56"/>
      <c r="Q81" s="56"/>
      <c r="R81" s="56"/>
    </row>
    <row r="82" spans="12:18" ht="15" customHeight="1" x14ac:dyDescent="0.2">
      <c r="L82" s="56"/>
      <c r="M82" s="56"/>
      <c r="N82" s="56"/>
      <c r="O82" s="56"/>
      <c r="P82" s="56"/>
      <c r="Q82" s="56"/>
      <c r="R82" s="56"/>
    </row>
    <row r="83" spans="12:18" ht="15" customHeight="1" x14ac:dyDescent="0.2">
      <c r="L83" s="56"/>
      <c r="M83" s="56"/>
      <c r="N83" s="56"/>
      <c r="O83" s="56"/>
      <c r="P83" s="56"/>
      <c r="Q83" s="56"/>
      <c r="R83" s="56"/>
    </row>
    <row r="84" spans="12:18" ht="15" customHeight="1" x14ac:dyDescent="0.2">
      <c r="L84" s="56"/>
      <c r="M84" s="56"/>
      <c r="N84" s="56"/>
      <c r="O84" s="56"/>
      <c r="P84" s="56"/>
      <c r="Q84" s="56"/>
      <c r="R84" s="56"/>
    </row>
    <row r="85" spans="12:18" ht="15" customHeight="1" x14ac:dyDescent="0.2">
      <c r="L85" s="56"/>
      <c r="M85" s="56"/>
      <c r="N85" s="56"/>
      <c r="O85" s="56"/>
      <c r="P85" s="56"/>
      <c r="Q85" s="56"/>
      <c r="R85" s="56"/>
    </row>
    <row r="86" spans="12:18" ht="15" customHeight="1" x14ac:dyDescent="0.2">
      <c r="L86" s="56"/>
      <c r="M86" s="55"/>
      <c r="N86" s="56"/>
      <c r="O86" s="56"/>
      <c r="R86" s="56"/>
    </row>
    <row r="87" spans="12:18" ht="15" customHeight="1" x14ac:dyDescent="0.2">
      <c r="L87" s="56"/>
      <c r="M87" s="56"/>
      <c r="N87" s="56"/>
      <c r="P87" s="56"/>
      <c r="Q87" s="56"/>
      <c r="R87" s="56"/>
    </row>
    <row r="88" spans="12:18" ht="15" customHeight="1" x14ac:dyDescent="0.2">
      <c r="L88" s="55"/>
      <c r="M88" s="56"/>
      <c r="N88" s="55"/>
      <c r="O88" s="56"/>
      <c r="P88" s="56"/>
      <c r="Q88" s="56"/>
      <c r="R88" s="59"/>
    </row>
    <row r="89" spans="12:18" ht="15" customHeight="1" x14ac:dyDescent="0.2">
      <c r="L89" s="55"/>
      <c r="M89" s="55"/>
      <c r="N89" s="56"/>
      <c r="O89" s="56"/>
      <c r="R89" s="59"/>
    </row>
    <row r="90" spans="12:18" ht="15" customHeight="1" x14ac:dyDescent="0.2">
      <c r="N90" s="56"/>
      <c r="P90" s="56"/>
      <c r="Q90" s="56"/>
    </row>
    <row r="91" spans="12:18" ht="15" customHeight="1" x14ac:dyDescent="0.2">
      <c r="N91" s="55"/>
      <c r="O91" s="56"/>
    </row>
    <row r="95" spans="12:18" ht="15" customHeight="1" x14ac:dyDescent="0.2">
      <c r="L95" s="56"/>
      <c r="M95" s="56"/>
      <c r="R95" s="56"/>
    </row>
    <row r="96" spans="12:18" ht="15" customHeight="1" x14ac:dyDescent="0.2">
      <c r="L96" s="55"/>
      <c r="M96" s="56"/>
      <c r="P96" s="56"/>
      <c r="Q96" s="56"/>
      <c r="R96" s="56"/>
    </row>
    <row r="97" spans="12:18" ht="15" customHeight="1" x14ac:dyDescent="0.2">
      <c r="L97" s="55"/>
      <c r="M97" s="55"/>
      <c r="N97" s="56"/>
      <c r="O97" s="56"/>
      <c r="P97" s="56"/>
      <c r="Q97" s="56"/>
      <c r="R97" s="56"/>
    </row>
    <row r="98" spans="12:18" ht="15" customHeight="1" x14ac:dyDescent="0.2">
      <c r="L98" s="55"/>
      <c r="M98" s="55"/>
      <c r="N98" s="56"/>
      <c r="O98" s="56"/>
      <c r="P98" s="56"/>
      <c r="Q98" s="56"/>
      <c r="R98" s="56"/>
    </row>
    <row r="99" spans="12:18" ht="15" customHeight="1" x14ac:dyDescent="0.2">
      <c r="L99" s="55"/>
      <c r="M99" s="56"/>
      <c r="N99" s="55"/>
      <c r="O99" s="56"/>
      <c r="P99" s="56"/>
      <c r="Q99" s="56"/>
      <c r="R99" s="56"/>
    </row>
    <row r="100" spans="12:18" ht="15" customHeight="1" x14ac:dyDescent="0.2">
      <c r="L100" s="55"/>
      <c r="M100" s="56"/>
      <c r="N100" s="55"/>
      <c r="O100" s="56"/>
      <c r="P100" s="56"/>
      <c r="Q100" s="56"/>
      <c r="R100" s="56"/>
    </row>
    <row r="101" spans="12:18" ht="15" customHeight="1" x14ac:dyDescent="0.2">
      <c r="N101" s="56"/>
      <c r="O101" s="56"/>
      <c r="P101" s="56"/>
      <c r="Q101" s="56"/>
      <c r="R101" s="56"/>
    </row>
    <row r="102" spans="12:18" ht="15" customHeight="1" x14ac:dyDescent="0.2">
      <c r="N102" s="56"/>
      <c r="O102" s="56"/>
      <c r="R102" s="56"/>
    </row>
    <row r="103" spans="12:18" ht="15" customHeight="1" x14ac:dyDescent="0.2">
      <c r="P103" s="56"/>
      <c r="Q103" s="56"/>
      <c r="R103" s="56"/>
    </row>
    <row r="104" spans="12:18" ht="15" customHeight="1" x14ac:dyDescent="0.2">
      <c r="L104" s="56"/>
      <c r="M104" s="56"/>
      <c r="O104" s="56"/>
      <c r="P104" s="56"/>
      <c r="Q104" s="56"/>
      <c r="R104" s="56"/>
    </row>
    <row r="105" spans="12:18" ht="15" customHeight="1" x14ac:dyDescent="0.2">
      <c r="L105" s="56"/>
      <c r="M105" s="56"/>
      <c r="O105" s="56"/>
      <c r="P105" s="56"/>
      <c r="Q105" s="56"/>
      <c r="R105" s="56"/>
    </row>
    <row r="106" spans="12:18" ht="15" customHeight="1" x14ac:dyDescent="0.2">
      <c r="L106" s="56"/>
      <c r="M106" s="56"/>
      <c r="N106" s="56"/>
      <c r="O106" s="56"/>
      <c r="P106" s="56"/>
      <c r="Q106" s="56"/>
      <c r="R106" s="56"/>
    </row>
    <row r="107" spans="12:18" ht="15" customHeight="1" x14ac:dyDescent="0.2">
      <c r="L107" s="55"/>
      <c r="N107" s="56"/>
      <c r="O107" s="56"/>
      <c r="P107" s="56"/>
      <c r="Q107" s="56"/>
      <c r="R107" s="56"/>
    </row>
    <row r="108" spans="12:18" ht="15" customHeight="1" x14ac:dyDescent="0.2">
      <c r="L108" s="55"/>
      <c r="N108" s="56"/>
      <c r="O108" s="56"/>
      <c r="R108" s="56"/>
    </row>
    <row r="109" spans="12:18" ht="15" customHeight="1" x14ac:dyDescent="0.2">
      <c r="R109" s="56"/>
    </row>
    <row r="110" spans="12:18" ht="15" customHeight="1" x14ac:dyDescent="0.2">
      <c r="L110" s="56"/>
      <c r="M110" s="56"/>
      <c r="R110" s="56"/>
    </row>
    <row r="111" spans="12:18" ht="15" customHeight="1" x14ac:dyDescent="0.2">
      <c r="L111" s="56"/>
      <c r="M111" s="56"/>
      <c r="P111" s="56"/>
      <c r="Q111" s="56"/>
      <c r="R111" s="56"/>
    </row>
    <row r="112" spans="12:18" ht="15" customHeight="1" x14ac:dyDescent="0.2">
      <c r="L112" s="56"/>
      <c r="M112" s="56"/>
      <c r="N112" s="56"/>
      <c r="O112" s="56"/>
      <c r="P112" s="56"/>
      <c r="Q112" s="56"/>
      <c r="R112" s="56"/>
    </row>
    <row r="113" s="56" customFormat="1" ht="15" customHeight="1" x14ac:dyDescent="0.2"/>
    <row r="114" s="56" customFormat="1" ht="15" customHeight="1" x14ac:dyDescent="0.2"/>
    <row r="115" s="56" customFormat="1" ht="15" customHeight="1" x14ac:dyDescent="0.2"/>
    <row r="116" s="56" customFormat="1" ht="15" customHeight="1" x14ac:dyDescent="0.2"/>
    <row r="117" s="56" customFormat="1" ht="15" customHeight="1" x14ac:dyDescent="0.2"/>
    <row r="118" s="56" customFormat="1" ht="15" customHeight="1" x14ac:dyDescent="0.2"/>
    <row r="119" s="56" customFormat="1" ht="15" customHeight="1" x14ac:dyDescent="0.2"/>
    <row r="120" s="56" customFormat="1" ht="15" customHeight="1" x14ac:dyDescent="0.2"/>
    <row r="121" s="56" customFormat="1" ht="15" customHeight="1" x14ac:dyDescent="0.2"/>
    <row r="122" s="56" customFormat="1" ht="15" customHeight="1" x14ac:dyDescent="0.2"/>
    <row r="123" s="56" customFormat="1" ht="15" customHeight="1" x14ac:dyDescent="0.2"/>
    <row r="124" s="56" customFormat="1" ht="15" customHeight="1" x14ac:dyDescent="0.2"/>
    <row r="125" s="56" customFormat="1" ht="15" customHeight="1" x14ac:dyDescent="0.2"/>
    <row r="126" s="56" customFormat="1" ht="15" customHeight="1" x14ac:dyDescent="0.2"/>
    <row r="127" s="56" customFormat="1" ht="15" customHeight="1" x14ac:dyDescent="0.2"/>
    <row r="128" s="56" customFormat="1" ht="15" customHeight="1" x14ac:dyDescent="0.2"/>
    <row r="129" s="56" customFormat="1" ht="15" customHeight="1" x14ac:dyDescent="0.2"/>
    <row r="130" s="56" customFormat="1" ht="15" customHeight="1" x14ac:dyDescent="0.2"/>
    <row r="131" s="56" customFormat="1" ht="15" customHeight="1" x14ac:dyDescent="0.2"/>
    <row r="132" s="56" customFormat="1" ht="15" customHeight="1" x14ac:dyDescent="0.2"/>
    <row r="133" s="56" customFormat="1" ht="15" customHeight="1" x14ac:dyDescent="0.2"/>
    <row r="134" s="56" customFormat="1" ht="15" customHeight="1" x14ac:dyDescent="0.2"/>
    <row r="135" s="56" customFormat="1" ht="15" customHeight="1" x14ac:dyDescent="0.2"/>
    <row r="136" s="56" customFormat="1" ht="15" customHeight="1" x14ac:dyDescent="0.2"/>
    <row r="137" s="56" customFormat="1" ht="15" customHeight="1" x14ac:dyDescent="0.2"/>
    <row r="138" s="56" customFormat="1" ht="15" customHeight="1" x14ac:dyDescent="0.2"/>
    <row r="139" s="56" customFormat="1" ht="15" customHeight="1" x14ac:dyDescent="0.2"/>
    <row r="140" s="56" customFormat="1" ht="15" customHeight="1" x14ac:dyDescent="0.2"/>
    <row r="141" s="56" customFormat="1" ht="15" customHeight="1" x14ac:dyDescent="0.2"/>
    <row r="142" s="56" customFormat="1" ht="15" customHeight="1" x14ac:dyDescent="0.2"/>
    <row r="143" s="56" customFormat="1" ht="15" customHeight="1" x14ac:dyDescent="0.2"/>
    <row r="144" s="56" customFormat="1" ht="15" customHeight="1" x14ac:dyDescent="0.2"/>
    <row r="145" s="56" customFormat="1" ht="15" customHeight="1" x14ac:dyDescent="0.2"/>
    <row r="146" s="56" customFormat="1" ht="15" customHeight="1" x14ac:dyDescent="0.2"/>
    <row r="147" s="56" customFormat="1" ht="15" customHeight="1" x14ac:dyDescent="0.2"/>
    <row r="148" s="56" customFormat="1" ht="15" customHeight="1" x14ac:dyDescent="0.2"/>
    <row r="149" s="56" customFormat="1" ht="15" customHeight="1" x14ac:dyDescent="0.2"/>
    <row r="150" s="56" customFormat="1" ht="15" customHeight="1" x14ac:dyDescent="0.2"/>
    <row r="151" s="56" customFormat="1" ht="15" customHeight="1" x14ac:dyDescent="0.2"/>
    <row r="152" s="56" customFormat="1" ht="15" customHeight="1" x14ac:dyDescent="0.2"/>
    <row r="153" s="56" customFormat="1" ht="15" customHeight="1" x14ac:dyDescent="0.2"/>
    <row r="154" s="56" customFormat="1" ht="15" customHeight="1" x14ac:dyDescent="0.2"/>
    <row r="155" s="56" customFormat="1" ht="15" customHeight="1" x14ac:dyDescent="0.2"/>
    <row r="156" s="56" customFormat="1" ht="15" customHeight="1" x14ac:dyDescent="0.2"/>
    <row r="157" s="56" customFormat="1" ht="15" customHeight="1" x14ac:dyDescent="0.2"/>
    <row r="158" s="56" customFormat="1" ht="15" customHeight="1" x14ac:dyDescent="0.2"/>
    <row r="159" s="56" customFormat="1" ht="15" customHeight="1" x14ac:dyDescent="0.2"/>
    <row r="160" s="56" customFormat="1" ht="15" customHeight="1" x14ac:dyDescent="0.2"/>
    <row r="161" s="56" customFormat="1" ht="15" customHeight="1" x14ac:dyDescent="0.2"/>
    <row r="162" s="56" customFormat="1" ht="15" customHeight="1" x14ac:dyDescent="0.2"/>
    <row r="163" s="56" customFormat="1" ht="15" customHeight="1" x14ac:dyDescent="0.2"/>
    <row r="164" s="56" customFormat="1" ht="15" customHeight="1" x14ac:dyDescent="0.2"/>
    <row r="165" s="56" customFormat="1" ht="15" customHeight="1" x14ac:dyDescent="0.2"/>
    <row r="166" s="56" customFormat="1" ht="15" customHeight="1" x14ac:dyDescent="0.2"/>
    <row r="167" s="56" customFormat="1" ht="15" customHeight="1" x14ac:dyDescent="0.2"/>
    <row r="168" s="56" customFormat="1" ht="15" customHeight="1" x14ac:dyDescent="0.2"/>
    <row r="169" s="56" customFormat="1" ht="15" customHeight="1" x14ac:dyDescent="0.2"/>
    <row r="170" s="56" customFormat="1" ht="15" customHeight="1" x14ac:dyDescent="0.2"/>
    <row r="171" s="56" customFormat="1" ht="15" customHeight="1" x14ac:dyDescent="0.2"/>
    <row r="172" s="56" customFormat="1" ht="15" customHeight="1" x14ac:dyDescent="0.2"/>
    <row r="173" s="56" customFormat="1" ht="15" customHeight="1" x14ac:dyDescent="0.2"/>
    <row r="174" s="56" customFormat="1" ht="15" customHeight="1" x14ac:dyDescent="0.2"/>
    <row r="175" s="56" customFormat="1" ht="15" customHeight="1" x14ac:dyDescent="0.2"/>
    <row r="176" s="56" customFormat="1" ht="15" customHeight="1" x14ac:dyDescent="0.2"/>
    <row r="177" s="56" customFormat="1" ht="15" customHeight="1" x14ac:dyDescent="0.2"/>
    <row r="178" s="56" customFormat="1" ht="15" customHeight="1" x14ac:dyDescent="0.2"/>
    <row r="179" s="56" customFormat="1" ht="15" customHeight="1" x14ac:dyDescent="0.2"/>
    <row r="180" s="56" customFormat="1" ht="15" customHeight="1" x14ac:dyDescent="0.2"/>
    <row r="181" s="56" customFormat="1" ht="15" customHeight="1" x14ac:dyDescent="0.2"/>
    <row r="182" s="56" customFormat="1" ht="15" customHeight="1" x14ac:dyDescent="0.2"/>
    <row r="183" s="56" customFormat="1" ht="15" customHeight="1" x14ac:dyDescent="0.2"/>
    <row r="184" s="56" customFormat="1" ht="15" customHeight="1" x14ac:dyDescent="0.2"/>
    <row r="185" s="56" customFormat="1" ht="15" customHeight="1" x14ac:dyDescent="0.2"/>
    <row r="186" s="56" customFormat="1" ht="15" customHeight="1" x14ac:dyDescent="0.2"/>
    <row r="187" s="56" customFormat="1" ht="15" customHeight="1" x14ac:dyDescent="0.2"/>
    <row r="188" s="56" customFormat="1" ht="15" customHeight="1" x14ac:dyDescent="0.2"/>
    <row r="189" s="56" customFormat="1" ht="15" customHeight="1" x14ac:dyDescent="0.2"/>
    <row r="190" s="56" customFormat="1" ht="15" customHeight="1" x14ac:dyDescent="0.2"/>
    <row r="191" s="56" customFormat="1" ht="15" customHeight="1" x14ac:dyDescent="0.2"/>
    <row r="192" s="56" customFormat="1" ht="15" customHeight="1" x14ac:dyDescent="0.2"/>
    <row r="193" s="56" customFormat="1" ht="15" customHeight="1" x14ac:dyDescent="0.2"/>
    <row r="194" s="56" customFormat="1" ht="15" customHeight="1" x14ac:dyDescent="0.2"/>
    <row r="195" s="56" customFormat="1" ht="15" customHeight="1" x14ac:dyDescent="0.2"/>
    <row r="196" s="56" customFormat="1" ht="15" customHeight="1" x14ac:dyDescent="0.2"/>
    <row r="197" s="56" customFormat="1" ht="15" customHeight="1" x14ac:dyDescent="0.2"/>
    <row r="198" s="56" customFormat="1" ht="15" customHeight="1" x14ac:dyDescent="0.2"/>
    <row r="199" s="56" customFormat="1" ht="15" customHeight="1" x14ac:dyDescent="0.2"/>
    <row r="200" s="56" customFormat="1" ht="15" customHeight="1" x14ac:dyDescent="0.2"/>
    <row r="201" s="56" customFormat="1" ht="15" customHeight="1" x14ac:dyDescent="0.2"/>
    <row r="202" s="56" customFormat="1" ht="15" customHeight="1" x14ac:dyDescent="0.2"/>
    <row r="203" s="56" customFormat="1" ht="15" customHeight="1" x14ac:dyDescent="0.2"/>
    <row r="204" s="56" customFormat="1" ht="15" customHeight="1" x14ac:dyDescent="0.2"/>
    <row r="205" s="56" customFormat="1" ht="15" customHeight="1" x14ac:dyDescent="0.2"/>
    <row r="206" s="56" customFormat="1" ht="15" customHeight="1" x14ac:dyDescent="0.2"/>
    <row r="207" s="56" customFormat="1" ht="15" customHeight="1" x14ac:dyDescent="0.2"/>
    <row r="208" s="56" customFormat="1" ht="15" customHeight="1" x14ac:dyDescent="0.2"/>
    <row r="209" s="56" customFormat="1" ht="15" customHeight="1" x14ac:dyDescent="0.2"/>
    <row r="210" s="56" customFormat="1" ht="15" customHeight="1" x14ac:dyDescent="0.2"/>
    <row r="211" s="56" customFormat="1" ht="15" customHeight="1" x14ac:dyDescent="0.2"/>
    <row r="212" s="56" customFormat="1" ht="15" customHeight="1" x14ac:dyDescent="0.2"/>
    <row r="213" s="56" customFormat="1" ht="15" customHeight="1" x14ac:dyDescent="0.2"/>
    <row r="214" s="56" customFormat="1" ht="15" customHeight="1" x14ac:dyDescent="0.2"/>
    <row r="215" s="56" customFormat="1" ht="15" customHeight="1" x14ac:dyDescent="0.2"/>
    <row r="216" s="56" customFormat="1" ht="15" customHeight="1" x14ac:dyDescent="0.2"/>
    <row r="217" s="56" customFormat="1" ht="15" customHeight="1" x14ac:dyDescent="0.2"/>
    <row r="218" s="56" customFormat="1" ht="15" customHeight="1" x14ac:dyDescent="0.2"/>
    <row r="219" s="56" customFormat="1" ht="15" customHeight="1" x14ac:dyDescent="0.2"/>
    <row r="220" s="56" customFormat="1" ht="15" customHeight="1" x14ac:dyDescent="0.2"/>
    <row r="221" s="56" customFormat="1" ht="15" customHeight="1" x14ac:dyDescent="0.2"/>
    <row r="222" s="56" customFormat="1" ht="15" customHeight="1" x14ac:dyDescent="0.2"/>
    <row r="223" s="56" customFormat="1" ht="15" customHeight="1" x14ac:dyDescent="0.2"/>
    <row r="224" s="56" customFormat="1" ht="15" customHeight="1" x14ac:dyDescent="0.2"/>
    <row r="225" s="56" customFormat="1" ht="15" customHeight="1" x14ac:dyDescent="0.2"/>
    <row r="226" s="56" customFormat="1" ht="15" customHeight="1" x14ac:dyDescent="0.2"/>
    <row r="227" s="56" customFormat="1" ht="15" customHeight="1" x14ac:dyDescent="0.2"/>
    <row r="228" s="56" customFormat="1" ht="15" customHeight="1" x14ac:dyDescent="0.2"/>
    <row r="229" s="56" customFormat="1" ht="15" customHeight="1" x14ac:dyDescent="0.2"/>
    <row r="230" s="56" customFormat="1" ht="15" customHeight="1" x14ac:dyDescent="0.2"/>
    <row r="231" s="56" customFormat="1" ht="15" customHeight="1" x14ac:dyDescent="0.2"/>
    <row r="232" s="56" customFormat="1" ht="15" customHeight="1" x14ac:dyDescent="0.2"/>
    <row r="233" s="56" customFormat="1" ht="15" customHeight="1" x14ac:dyDescent="0.2"/>
    <row r="234" s="56" customFormat="1" ht="15" customHeight="1" x14ac:dyDescent="0.2"/>
    <row r="235" s="56" customFormat="1" ht="15" customHeight="1" x14ac:dyDescent="0.2"/>
    <row r="236" s="56" customFormat="1" ht="15" customHeight="1" x14ac:dyDescent="0.2"/>
    <row r="237" s="56" customFormat="1" ht="15" customHeight="1" x14ac:dyDescent="0.2"/>
    <row r="238" s="56" customFormat="1" ht="15" customHeight="1" x14ac:dyDescent="0.2"/>
    <row r="239" s="56" customFormat="1" ht="15" customHeight="1" x14ac:dyDescent="0.2"/>
    <row r="240" s="56" customFormat="1" ht="15" customHeight="1" x14ac:dyDescent="0.2"/>
    <row r="241" s="56" customFormat="1" ht="15" customHeight="1" x14ac:dyDescent="0.2"/>
    <row r="242" s="56" customFormat="1" ht="15" customHeight="1" x14ac:dyDescent="0.2"/>
    <row r="243" s="56" customFormat="1" ht="15" customHeight="1" x14ac:dyDescent="0.2"/>
    <row r="244" s="56" customFormat="1" ht="15" customHeight="1" x14ac:dyDescent="0.2"/>
    <row r="245" s="56" customFormat="1" ht="15" customHeight="1" x14ac:dyDescent="0.2"/>
    <row r="246" s="56" customFormat="1" ht="15" customHeight="1" x14ac:dyDescent="0.2"/>
    <row r="247" s="56" customFormat="1" ht="15" customHeight="1" x14ac:dyDescent="0.2"/>
    <row r="248" s="56" customFormat="1" ht="15" customHeight="1" x14ac:dyDescent="0.2"/>
    <row r="249" s="56" customFormat="1" ht="15" customHeight="1" x14ac:dyDescent="0.2"/>
    <row r="250" s="56" customFormat="1" ht="15" customHeight="1" x14ac:dyDescent="0.2"/>
    <row r="251" s="56" customFormat="1" ht="15" customHeight="1" x14ac:dyDescent="0.2"/>
    <row r="252" s="56" customFormat="1" ht="15" customHeight="1" x14ac:dyDescent="0.2"/>
    <row r="253" s="56" customFormat="1" ht="15" customHeight="1" x14ac:dyDescent="0.2"/>
    <row r="254" s="56" customFormat="1" ht="15" customHeight="1" x14ac:dyDescent="0.2"/>
    <row r="255" s="56" customFormat="1" ht="15" customHeight="1" x14ac:dyDescent="0.2"/>
    <row r="256" s="56" customFormat="1" ht="15" customHeight="1" x14ac:dyDescent="0.2"/>
    <row r="257" s="56" customFormat="1" ht="15" customHeight="1" x14ac:dyDescent="0.2"/>
    <row r="258" s="56" customFormat="1" ht="15" customHeight="1" x14ac:dyDescent="0.2"/>
    <row r="259" s="56" customFormat="1" ht="15" customHeight="1" x14ac:dyDescent="0.2"/>
    <row r="260" s="56" customFormat="1" ht="15" customHeight="1" x14ac:dyDescent="0.2"/>
    <row r="261" s="56" customFormat="1" ht="15" customHeight="1" x14ac:dyDescent="0.2"/>
    <row r="262" s="56" customFormat="1" ht="15" customHeight="1" x14ac:dyDescent="0.2"/>
    <row r="263" s="56" customFormat="1" ht="15" customHeight="1" x14ac:dyDescent="0.2"/>
    <row r="264" s="56" customFormat="1" ht="15" customHeight="1" x14ac:dyDescent="0.2"/>
    <row r="265" s="56" customFormat="1" ht="15" customHeight="1" x14ac:dyDescent="0.2"/>
    <row r="266" s="56" customFormat="1" ht="15" customHeight="1" x14ac:dyDescent="0.2"/>
    <row r="267" s="56" customFormat="1" ht="15" customHeight="1" x14ac:dyDescent="0.2"/>
    <row r="268" s="56" customFormat="1" ht="15" customHeight="1" x14ac:dyDescent="0.2"/>
    <row r="269" s="56" customFormat="1" ht="15" customHeight="1" x14ac:dyDescent="0.2"/>
    <row r="270" s="56" customFormat="1" ht="15" customHeight="1" x14ac:dyDescent="0.2"/>
    <row r="271" s="56" customFormat="1" ht="15" customHeight="1" x14ac:dyDescent="0.2"/>
    <row r="272" s="56" customFormat="1" ht="15" customHeight="1" x14ac:dyDescent="0.2"/>
    <row r="273" s="56" customFormat="1" ht="15" customHeight="1" x14ac:dyDescent="0.2"/>
    <row r="274" s="56" customFormat="1" ht="15" customHeight="1" x14ac:dyDescent="0.2"/>
    <row r="275" s="56" customFormat="1" ht="15" customHeight="1" x14ac:dyDescent="0.2"/>
    <row r="276" s="56" customFormat="1" ht="15" customHeight="1" x14ac:dyDescent="0.2"/>
    <row r="277" s="56" customFormat="1" ht="15" customHeight="1" x14ac:dyDescent="0.2"/>
    <row r="278" s="56" customFormat="1" ht="15" customHeight="1" x14ac:dyDescent="0.2"/>
    <row r="279" s="56" customFormat="1" ht="15" customHeight="1" x14ac:dyDescent="0.2"/>
    <row r="280" s="56" customFormat="1" ht="15" customHeight="1" x14ac:dyDescent="0.2"/>
    <row r="281" s="56" customFormat="1" ht="15" customHeight="1" x14ac:dyDescent="0.2"/>
    <row r="282" s="56" customFormat="1" ht="15" customHeight="1" x14ac:dyDescent="0.2"/>
    <row r="283" s="56" customFormat="1" ht="15" customHeight="1" x14ac:dyDescent="0.2"/>
    <row r="284" s="56" customFormat="1" ht="15" customHeight="1" x14ac:dyDescent="0.2"/>
    <row r="285" s="56" customFormat="1" ht="15" customHeight="1" x14ac:dyDescent="0.2"/>
    <row r="286" s="56" customFormat="1" ht="15" customHeight="1" x14ac:dyDescent="0.2"/>
    <row r="287" s="56" customFormat="1" ht="15" customHeight="1" x14ac:dyDescent="0.2"/>
    <row r="288" s="56" customFormat="1" ht="15" customHeight="1" x14ac:dyDescent="0.2"/>
    <row r="289" s="56" customFormat="1" ht="15" customHeight="1" x14ac:dyDescent="0.2"/>
    <row r="290" s="56" customFormat="1" ht="15" customHeight="1" x14ac:dyDescent="0.2"/>
    <row r="291" s="56" customFormat="1" ht="15" customHeight="1" x14ac:dyDescent="0.2"/>
    <row r="292" s="56" customFormat="1" ht="15" customHeight="1" x14ac:dyDescent="0.2"/>
    <row r="293" s="56" customFormat="1" ht="15" customHeight="1" x14ac:dyDescent="0.2"/>
    <row r="294" s="56" customFormat="1" ht="15" customHeight="1" x14ac:dyDescent="0.2"/>
    <row r="295" s="56" customFormat="1" ht="15" customHeight="1" x14ac:dyDescent="0.2"/>
    <row r="296" s="56" customFormat="1" ht="15" customHeight="1" x14ac:dyDescent="0.2"/>
    <row r="297" s="56" customFormat="1" ht="15" customHeight="1" x14ac:dyDescent="0.2"/>
    <row r="298" s="56" customFormat="1" ht="15" customHeight="1" x14ac:dyDescent="0.2"/>
    <row r="299" s="56" customFormat="1" ht="15" customHeight="1" x14ac:dyDescent="0.2"/>
    <row r="300" s="56" customFormat="1" ht="15" customHeight="1" x14ac:dyDescent="0.2"/>
    <row r="301" s="56" customFormat="1" ht="15" customHeight="1" x14ac:dyDescent="0.2"/>
    <row r="302" s="56" customFormat="1" ht="15" customHeight="1" x14ac:dyDescent="0.2"/>
    <row r="303" s="56" customFormat="1" ht="15" customHeight="1" x14ac:dyDescent="0.2"/>
    <row r="304" s="56" customFormat="1" ht="15" customHeight="1" x14ac:dyDescent="0.2"/>
    <row r="305" s="56" customFormat="1" ht="15" customHeight="1" x14ac:dyDescent="0.2"/>
    <row r="306" s="56" customFormat="1" ht="15" customHeight="1" x14ac:dyDescent="0.2"/>
    <row r="307" s="56" customFormat="1" ht="15" customHeight="1" x14ac:dyDescent="0.2"/>
    <row r="308" s="56" customFormat="1" ht="15" customHeight="1" x14ac:dyDescent="0.2"/>
    <row r="309" s="56" customFormat="1" ht="15" customHeight="1" x14ac:dyDescent="0.2"/>
    <row r="310" s="56" customFormat="1" ht="15" customHeight="1" x14ac:dyDescent="0.2"/>
    <row r="311" s="56" customFormat="1" ht="15" customHeight="1" x14ac:dyDescent="0.2"/>
    <row r="312" s="56" customFormat="1" ht="15" customHeight="1" x14ac:dyDescent="0.2"/>
    <row r="313" s="56" customFormat="1" ht="15" customHeight="1" x14ac:dyDescent="0.2"/>
    <row r="314" s="56" customFormat="1" ht="15" customHeight="1" x14ac:dyDescent="0.2"/>
    <row r="315" s="56" customFormat="1" ht="15" customHeight="1" x14ac:dyDescent="0.2"/>
    <row r="316" s="56" customFormat="1" ht="15" customHeight="1" x14ac:dyDescent="0.2"/>
    <row r="317" s="56" customFormat="1" ht="15" customHeight="1" x14ac:dyDescent="0.2"/>
    <row r="318" s="56" customFormat="1" ht="15" customHeight="1" x14ac:dyDescent="0.2"/>
    <row r="319" s="56" customFormat="1" ht="15" customHeight="1" x14ac:dyDescent="0.2"/>
    <row r="320" s="56" customFormat="1" ht="15" customHeight="1" x14ac:dyDescent="0.2"/>
    <row r="321" s="56" customFormat="1" ht="15" customHeight="1" x14ac:dyDescent="0.2"/>
    <row r="322" s="56" customFormat="1" ht="15" customHeight="1" x14ac:dyDescent="0.2"/>
    <row r="323" s="56" customFormat="1" ht="15" customHeight="1" x14ac:dyDescent="0.2"/>
    <row r="324" s="56" customFormat="1" ht="15" customHeight="1" x14ac:dyDescent="0.2"/>
    <row r="325" s="56" customFormat="1" ht="15" customHeight="1" x14ac:dyDescent="0.2"/>
    <row r="326" s="56" customFormat="1" ht="15" customHeight="1" x14ac:dyDescent="0.2"/>
    <row r="327" s="56" customFormat="1" ht="15" customHeight="1" x14ac:dyDescent="0.2"/>
    <row r="328" s="56" customFormat="1" ht="15" customHeight="1" x14ac:dyDescent="0.2"/>
    <row r="329" s="56" customFormat="1" ht="15" customHeight="1" x14ac:dyDescent="0.2"/>
    <row r="330" s="56" customFormat="1" ht="15" customHeight="1" x14ac:dyDescent="0.2"/>
    <row r="331" s="56" customFormat="1" ht="15" customHeight="1" x14ac:dyDescent="0.2"/>
    <row r="332" s="56" customFormat="1" ht="15" customHeight="1" x14ac:dyDescent="0.2"/>
    <row r="333" s="56" customFormat="1" ht="15" customHeight="1" x14ac:dyDescent="0.2"/>
    <row r="334" s="56" customFormat="1" ht="15" customHeight="1" x14ac:dyDescent="0.2"/>
    <row r="335" s="56" customFormat="1" ht="15" customHeight="1" x14ac:dyDescent="0.2"/>
    <row r="336" s="56" customFormat="1" ht="15" customHeight="1" x14ac:dyDescent="0.2"/>
    <row r="337" spans="12:18" ht="15" customHeight="1" x14ac:dyDescent="0.2">
      <c r="N337" s="56"/>
      <c r="O337" s="56"/>
      <c r="P337" s="56"/>
      <c r="Q337" s="56"/>
      <c r="R337" s="56"/>
    </row>
    <row r="338" spans="12:18" ht="15" customHeight="1" x14ac:dyDescent="0.2">
      <c r="N338" s="56"/>
      <c r="O338" s="56"/>
    </row>
    <row r="341" spans="12:18" ht="15" customHeight="1" x14ac:dyDescent="0.2">
      <c r="L341" s="56"/>
      <c r="M341" s="56"/>
    </row>
    <row r="342" spans="12:18" ht="15" customHeight="1" x14ac:dyDescent="0.2">
      <c r="L342" s="56"/>
      <c r="M342" s="56"/>
      <c r="P342" s="56"/>
      <c r="Q342" s="56"/>
      <c r="R342" s="56"/>
    </row>
    <row r="343" spans="12:18" ht="15" customHeight="1" x14ac:dyDescent="0.2">
      <c r="N343" s="56"/>
      <c r="O343" s="56"/>
      <c r="P343" s="56"/>
      <c r="Q343" s="56"/>
      <c r="R343" s="56"/>
    </row>
    <row r="344" spans="12:18" ht="15" customHeight="1" x14ac:dyDescent="0.2">
      <c r="N344" s="56"/>
      <c r="O344" s="56"/>
    </row>
  </sheetData>
  <mergeCells count="8">
    <mergeCell ref="C29:G31"/>
    <mergeCell ref="C37:G39"/>
    <mergeCell ref="C56:G57"/>
    <mergeCell ref="C59:G63"/>
    <mergeCell ref="C41:G42"/>
    <mergeCell ref="C47:G49"/>
    <mergeCell ref="C33:G35"/>
    <mergeCell ref="C44:G45"/>
  </mergeCells>
  <printOptions horizontalCentered="1"/>
  <pageMargins left="0.25" right="0.25" top="0.75" bottom="0.75" header="0.3" footer="0.3"/>
  <pageSetup paperSize="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52C0-21B7-47D1-A47C-8593551B6954}">
  <sheetPr>
    <tabColor rgb="FF0070C0"/>
    <pageSetUpPr fitToPage="1"/>
  </sheetPr>
  <dimension ref="A1:Q90"/>
  <sheetViews>
    <sheetView view="pageBreakPreview" zoomScale="85" zoomScaleNormal="100" zoomScaleSheetLayoutView="85" workbookViewId="0">
      <selection activeCell="I39" sqref="I39"/>
    </sheetView>
  </sheetViews>
  <sheetFormatPr defaultRowHeight="15" x14ac:dyDescent="0.25"/>
  <cols>
    <col min="1" max="1" width="9.140625" style="127"/>
    <col min="2" max="2" width="15.7109375" style="127" customWidth="1"/>
    <col min="3" max="8" width="17" style="127" customWidth="1"/>
    <col min="9" max="17" width="15.7109375" style="127" customWidth="1"/>
    <col min="18" max="16384" width="9.140625" style="127"/>
  </cols>
  <sheetData>
    <row r="1" spans="2:17" ht="23.25" x14ac:dyDescent="0.35">
      <c r="B1" s="54" t="s">
        <v>154</v>
      </c>
      <c r="M1" s="37"/>
      <c r="N1" s="37"/>
      <c r="P1" s="97"/>
      <c r="Q1" s="37"/>
    </row>
    <row r="2" spans="2:17" x14ac:dyDescent="0.25">
      <c r="K2" s="79"/>
      <c r="L2" s="79"/>
      <c r="M2" s="97"/>
      <c r="N2" s="37"/>
    </row>
    <row r="3" spans="2:17" ht="16.5" thickBot="1" x14ac:dyDescent="0.3">
      <c r="B3" s="30" t="s">
        <v>30</v>
      </c>
      <c r="D3" s="63"/>
      <c r="E3" s="63"/>
      <c r="F3" s="63"/>
      <c r="G3" s="63"/>
    </row>
    <row r="4" spans="2:17" ht="25.5" customHeight="1" thickBot="1" x14ac:dyDescent="0.3">
      <c r="B4" s="30"/>
      <c r="C4" s="487" t="s">
        <v>32</v>
      </c>
      <c r="D4" s="488"/>
      <c r="E4" s="487" t="s">
        <v>106</v>
      </c>
      <c r="F4" s="489"/>
      <c r="G4" s="488"/>
      <c r="H4" s="122" t="s">
        <v>33</v>
      </c>
      <c r="I4" s="310"/>
    </row>
    <row r="5" spans="2:17" ht="35.1" customHeight="1" x14ac:dyDescent="0.25">
      <c r="B5" s="483" t="s">
        <v>0</v>
      </c>
      <c r="C5" s="483" t="s">
        <v>107</v>
      </c>
      <c r="D5" s="477" t="s">
        <v>66</v>
      </c>
      <c r="E5" s="477" t="s">
        <v>161</v>
      </c>
      <c r="F5" s="485" t="s">
        <v>162</v>
      </c>
      <c r="G5" s="485" t="s">
        <v>195</v>
      </c>
      <c r="H5" s="483" t="s">
        <v>34</v>
      </c>
      <c r="I5" s="483" t="s">
        <v>122</v>
      </c>
      <c r="J5" s="481" t="s">
        <v>85</v>
      </c>
      <c r="K5" s="473" t="s">
        <v>38</v>
      </c>
    </row>
    <row r="6" spans="2:17" ht="35.1" customHeight="1" thickBot="1" x14ac:dyDescent="0.3">
      <c r="B6" s="484"/>
      <c r="C6" s="484"/>
      <c r="D6" s="478"/>
      <c r="E6" s="478"/>
      <c r="F6" s="486"/>
      <c r="G6" s="486"/>
      <c r="H6" s="484"/>
      <c r="I6" s="484"/>
      <c r="J6" s="482"/>
      <c r="K6" s="474"/>
      <c r="L6" s="90"/>
    </row>
    <row r="7" spans="2:17" ht="15" customHeight="1" x14ac:dyDescent="0.25">
      <c r="B7" s="318">
        <f t="shared" ref="B7:B8" si="0">B8-1</f>
        <v>2022</v>
      </c>
      <c r="C7" s="154"/>
      <c r="D7" s="65"/>
      <c r="E7" s="173"/>
      <c r="F7" s="173"/>
      <c r="G7" s="173"/>
      <c r="H7" s="64"/>
      <c r="I7" s="64"/>
      <c r="J7" s="206" t="s">
        <v>27</v>
      </c>
      <c r="K7" s="193"/>
    </row>
    <row r="8" spans="2:17" ht="15" customHeight="1" x14ac:dyDescent="0.25">
      <c r="B8" s="325">
        <f t="shared" si="0"/>
        <v>2023</v>
      </c>
      <c r="C8" s="326"/>
      <c r="D8" s="327"/>
      <c r="E8" s="328"/>
      <c r="F8" s="328"/>
      <c r="G8" s="328"/>
      <c r="H8" s="335"/>
      <c r="I8" s="335"/>
      <c r="J8" s="174" t="s">
        <v>27</v>
      </c>
      <c r="K8" s="329"/>
    </row>
    <row r="9" spans="2:17" ht="15" customHeight="1" thickBot="1" x14ac:dyDescent="0.3">
      <c r="B9" s="330">
        <f>B10-1</f>
        <v>2024</v>
      </c>
      <c r="C9" s="331"/>
      <c r="D9" s="332"/>
      <c r="E9" s="333"/>
      <c r="F9" s="333"/>
      <c r="G9" s="333"/>
      <c r="H9" s="336"/>
      <c r="I9" s="336"/>
      <c r="J9" s="174" t="s">
        <v>27</v>
      </c>
      <c r="K9" s="334"/>
      <c r="M9" s="363"/>
      <c r="N9" s="363"/>
    </row>
    <row r="10" spans="2:17" ht="15" customHeight="1" x14ac:dyDescent="0.25">
      <c r="B10" s="192">
        <f>Assumptions!D8</f>
        <v>2025</v>
      </c>
      <c r="C10" s="206">
        <f>'Operation Benefits'!F6</f>
        <v>285023.89324158576</v>
      </c>
      <c r="D10" s="206">
        <f>'Travel Time Savings '!G6</f>
        <v>2537756.6288648471</v>
      </c>
      <c r="E10" s="206">
        <f>'Air Quality'!M5</f>
        <v>7473.8948345217887</v>
      </c>
      <c r="F10" s="206">
        <f>'Air Quality'!E5</f>
        <v>11047.463824409544</v>
      </c>
      <c r="G10" s="206">
        <f>'Water Quality'!C5</f>
        <v>434959.78014483163</v>
      </c>
      <c r="H10" s="206">
        <f>SafetyBenefits!O7</f>
        <v>1361403.1216391455</v>
      </c>
      <c r="I10" s="206">
        <f>-SUM('Operating and Maintenance Costs'!C5:D5)</f>
        <v>-11939.39393939394</v>
      </c>
      <c r="J10" s="206" t="str">
        <f>'Capital Cost and RCV Calc'!E7</f>
        <v>N/A</v>
      </c>
      <c r="K10" s="193">
        <f>SUM(C10:E10,G10:J10)*(1+0.07)^-($B10-Assumptions!$D$4)+F10</f>
        <v>3301249.046964874</v>
      </c>
      <c r="M10" s="363"/>
    </row>
    <row r="11" spans="2:17" ht="15" customHeight="1" x14ac:dyDescent="0.25">
      <c r="B11" s="41">
        <f t="shared" ref="B11:B39" si="1">+B10+1</f>
        <v>2026</v>
      </c>
      <c r="C11" s="174">
        <f>'Operation Benefits'!F7</f>
        <v>292163.6458690642</v>
      </c>
      <c r="D11" s="174">
        <f>'Travel Time Savings '!G7</f>
        <v>2601326.578572534</v>
      </c>
      <c r="E11" s="174">
        <f>'Air Quality'!M6</f>
        <v>8780.4079667339338</v>
      </c>
      <c r="F11" s="174">
        <f>'Air Quality'!E6</f>
        <v>11190.696035789855</v>
      </c>
      <c r="G11" s="174">
        <f>'Water Quality'!C6</f>
        <v>434959.78014483163</v>
      </c>
      <c r="H11" s="174">
        <f>SafetyBenefits!O8</f>
        <v>1374374.7108152502</v>
      </c>
      <c r="I11" s="174">
        <f>-SUM('Operating and Maintenance Costs'!C6:D6)</f>
        <v>-11939.39393939394</v>
      </c>
      <c r="J11" s="174" t="str">
        <f>'Capital Cost and RCV Calc'!E8</f>
        <v>N/A</v>
      </c>
      <c r="K11" s="194">
        <f>SUM(C11:E11,G11:J11)*(1+0.07)^-($B11-Assumptions!$D$4)+F11</f>
        <v>3142776.4093777756</v>
      </c>
    </row>
    <row r="12" spans="2:17" ht="15" customHeight="1" x14ac:dyDescent="0.25">
      <c r="B12" s="41">
        <f t="shared" si="1"/>
        <v>2027</v>
      </c>
      <c r="C12" s="174">
        <f>'Operation Benefits'!F8</f>
        <v>299303.39849654271</v>
      </c>
      <c r="D12" s="174">
        <f>'Travel Time Savings '!G8</f>
        <v>2664896.5282802209</v>
      </c>
      <c r="E12" s="174">
        <f>'Air Quality'!M7</f>
        <v>9153.3012297130863</v>
      </c>
      <c r="F12" s="174">
        <f>'Air Quality'!E7</f>
        <v>11325.528712572173</v>
      </c>
      <c r="G12" s="174">
        <f>'Water Quality'!C7</f>
        <v>434959.78014483163</v>
      </c>
      <c r="H12" s="174">
        <f>SafetyBenefits!O9</f>
        <v>1385252.1512924701</v>
      </c>
      <c r="I12" s="174">
        <f>-SUM('Operating and Maintenance Costs'!C7:D7)</f>
        <v>-11939.39393939394</v>
      </c>
      <c r="J12" s="174" t="str">
        <f>'Capital Cost and RCV Calc'!E9</f>
        <v>N/A</v>
      </c>
      <c r="K12" s="194">
        <f>SUM(C12:E12,G12:J12)*(1+0.07)^-($B12-Assumptions!$D$4)+F12</f>
        <v>2989081.7399691376</v>
      </c>
    </row>
    <row r="13" spans="2:17" ht="15" customHeight="1" x14ac:dyDescent="0.25">
      <c r="B13" s="41">
        <f t="shared" si="1"/>
        <v>2028</v>
      </c>
      <c r="C13" s="174">
        <f>'Operation Benefits'!F9</f>
        <v>306443.15112402115</v>
      </c>
      <c r="D13" s="174">
        <f>'Travel Time Savings '!G9</f>
        <v>2728466.4779877998</v>
      </c>
      <c r="E13" s="174">
        <f>'Air Quality'!M8</f>
        <v>9534.1779498169726</v>
      </c>
      <c r="F13" s="174">
        <f>'Air Quality'!E8</f>
        <v>11646.160980573679</v>
      </c>
      <c r="G13" s="174">
        <f>'Water Quality'!C8</f>
        <v>434959.78014483163</v>
      </c>
      <c r="H13" s="174">
        <f>SafetyBenefits!O10</f>
        <v>1398177.7404685747</v>
      </c>
      <c r="I13" s="174">
        <f>-SUM('Operating and Maintenance Costs'!C8:D8)</f>
        <v>-11939.39393939394</v>
      </c>
      <c r="J13" s="174" t="str">
        <f>'Capital Cost and RCV Calc'!E10</f>
        <v>N/A</v>
      </c>
      <c r="K13" s="194">
        <f>SUM(C13:E13,G13:J13)*(1+0.07)^-($B13-Assumptions!$D$4)+F13</f>
        <v>2843494.0659681619</v>
      </c>
    </row>
    <row r="14" spans="2:17" ht="15" customHeight="1" x14ac:dyDescent="0.25">
      <c r="B14" s="41">
        <f t="shared" si="1"/>
        <v>2029</v>
      </c>
      <c r="C14" s="174">
        <f>'Operation Benefits'!F10</f>
        <v>313582.90375151427</v>
      </c>
      <c r="D14" s="174">
        <f>'Travel Time Savings '!G10</f>
        <v>2792036.4276954867</v>
      </c>
      <c r="E14" s="174">
        <f>'Air Quality'!M9</f>
        <v>9922.9214947417167</v>
      </c>
      <c r="F14" s="174">
        <f>'Air Quality'!E9</f>
        <v>11763.23048839562</v>
      </c>
      <c r="G14" s="174">
        <f>'Water Quality'!C9</f>
        <v>434959.78014483163</v>
      </c>
      <c r="H14" s="174">
        <f>SafetyBenefits!O11</f>
        <v>1409055.1809457939</v>
      </c>
      <c r="I14" s="174">
        <f>-SUM('Operating and Maintenance Costs'!C9:D9)</f>
        <v>-11939.39393939394</v>
      </c>
      <c r="J14" s="174" t="str">
        <f>'Capital Cost and RCV Calc'!E11</f>
        <v>N/A</v>
      </c>
      <c r="K14" s="194">
        <f>SUM(C14:E14,G14:J14)*(1+0.07)^-($B14-Assumptions!$D$4)+F14</f>
        <v>2702939.508247592</v>
      </c>
    </row>
    <row r="15" spans="2:17" ht="15" customHeight="1" x14ac:dyDescent="0.25">
      <c r="B15" s="41">
        <f t="shared" si="1"/>
        <v>2030</v>
      </c>
      <c r="C15" s="174">
        <f>'Operation Benefits'!F11</f>
        <v>320722.65637900739</v>
      </c>
      <c r="D15" s="174">
        <f>'Travel Time Savings '!G11</f>
        <v>2855606.3774031773</v>
      </c>
      <c r="E15" s="174">
        <f>'Air Quality'!M10</f>
        <v>10369.651229766092</v>
      </c>
      <c r="F15" s="174">
        <f>'Air Quality'!E10</f>
        <v>11872.126061165627</v>
      </c>
      <c r="G15" s="174">
        <f>'Water Quality'!C10</f>
        <v>434959.78014483163</v>
      </c>
      <c r="H15" s="174">
        <f>SafetyBenefits!O12</f>
        <v>1421980.7701218985</v>
      </c>
      <c r="I15" s="174">
        <f>-SUM('Operating and Maintenance Costs'!C10:D10)</f>
        <v>-11939.39393939394</v>
      </c>
      <c r="J15" s="174" t="str">
        <f>'Capital Cost and RCV Calc'!E12</f>
        <v>N/A</v>
      </c>
      <c r="K15" s="194">
        <f>SUM(C15:E15,G15:J15)*(1+0.07)^-($B15-Assumptions!$D$4)+F15</f>
        <v>2569733.1786403642</v>
      </c>
    </row>
    <row r="16" spans="2:17" ht="15" customHeight="1" x14ac:dyDescent="0.25">
      <c r="B16" s="41">
        <f t="shared" si="1"/>
        <v>2031</v>
      </c>
      <c r="C16" s="174">
        <f>'Operation Benefits'!F12</f>
        <v>327862.40900648583</v>
      </c>
      <c r="D16" s="174">
        <f>'Travel Time Savings '!G12</f>
        <v>2919176.3271108679</v>
      </c>
      <c r="E16" s="174">
        <f>'Air Quality'!M11</f>
        <v>10600.494742505856</v>
      </c>
      <c r="F16" s="174">
        <f>'Air Quality'!E11</f>
        <v>11972.976220320788</v>
      </c>
      <c r="G16" s="174">
        <f>'Water Quality'!C11</f>
        <v>434959.78014483163</v>
      </c>
      <c r="H16" s="174">
        <f>SafetyBenefits!O13</f>
        <v>1432812.2105991184</v>
      </c>
      <c r="I16" s="174">
        <f>-SUM('Operating and Maintenance Costs'!C11:D11)</f>
        <v>-11939.39393939394</v>
      </c>
      <c r="J16" s="174" t="str">
        <f>'Capital Cost and RCV Calc'!E13</f>
        <v>N/A</v>
      </c>
      <c r="K16" s="194">
        <f>SUM(C16:E16,G16:J16)*(1+0.07)^-($B16-Assumptions!$D$4)+F16</f>
        <v>2441346.6060745516</v>
      </c>
    </row>
    <row r="17" spans="2:11" ht="15" customHeight="1" x14ac:dyDescent="0.25">
      <c r="B17" s="41">
        <f t="shared" si="1"/>
        <v>2032</v>
      </c>
      <c r="C17" s="174">
        <f>'Operation Benefits'!F13</f>
        <v>335002.16163396428</v>
      </c>
      <c r="D17" s="174">
        <f>'Travel Time Savings '!G13</f>
        <v>2982746.2768184431</v>
      </c>
      <c r="E17" s="174">
        <f>'Air Quality'!M12</f>
        <v>10831.338255245619</v>
      </c>
      <c r="F17" s="174">
        <f>'Air Quality'!E12</f>
        <v>12065.916167358695</v>
      </c>
      <c r="G17" s="174">
        <f>'Water Quality'!C12</f>
        <v>434959.78014483163</v>
      </c>
      <c r="H17" s="174">
        <f>SafetyBenefits!O14</f>
        <v>1443643.6510763376</v>
      </c>
      <c r="I17" s="174">
        <f>-SUM('Operating and Maintenance Costs'!C12:D12)</f>
        <v>-11939.39393939394</v>
      </c>
      <c r="J17" s="174" t="str">
        <f>'Capital Cost and RCV Calc'!E14</f>
        <v>N/A</v>
      </c>
      <c r="K17" s="194">
        <f>SUM(C17:E17,G17:J17)*(1+0.07)^-($B17-Assumptions!$D$4)+F17</f>
        <v>2318816.3007501154</v>
      </c>
    </row>
    <row r="18" spans="2:11" ht="15" customHeight="1" x14ac:dyDescent="0.25">
      <c r="B18" s="41">
        <f t="shared" si="1"/>
        <v>2033</v>
      </c>
      <c r="C18" s="174">
        <f>'Operation Benefits'!F14</f>
        <v>342141.91426144278</v>
      </c>
      <c r="D18" s="174">
        <f>'Travel Time Savings '!G14</f>
        <v>3046316.2265261374</v>
      </c>
      <c r="E18" s="174">
        <f>'Air Quality'!M13</f>
        <v>11062.181767985379</v>
      </c>
      <c r="F18" s="174">
        <f>'Air Quality'!E13</f>
        <v>12151.087075021382</v>
      </c>
      <c r="G18" s="174">
        <f>'Water Quality'!C13</f>
        <v>434959.78014483163</v>
      </c>
      <c r="H18" s="174">
        <f>SafetyBenefits!O15</f>
        <v>1458468.9146710469</v>
      </c>
      <c r="I18" s="174">
        <f>-SUM('Operating and Maintenance Costs'!C13:D13)</f>
        <v>-11939.39393939394</v>
      </c>
      <c r="J18" s="174" t="str">
        <f>'Capital Cost and RCV Calc'!E15</f>
        <v>N/A</v>
      </c>
      <c r="K18" s="194">
        <f>SUM(C18:E18,G18:J18)*(1+0.07)^-($B18-Assumptions!$D$4)+F18</f>
        <v>2203582.3297565561</v>
      </c>
    </row>
    <row r="19" spans="2:11" ht="15" customHeight="1" x14ac:dyDescent="0.25">
      <c r="B19" s="41">
        <f t="shared" si="1"/>
        <v>2034</v>
      </c>
      <c r="C19" s="174">
        <f>'Operation Benefits'!F15</f>
        <v>349281.66688892123</v>
      </c>
      <c r="D19" s="174">
        <f>'Travel Time Savings '!G15</f>
        <v>3109886.1762338243</v>
      </c>
      <c r="E19" s="174">
        <f>'Air Quality'!M14</f>
        <v>11293.025280725142</v>
      </c>
      <c r="F19" s="174">
        <f>'Air Quality'!E14</f>
        <v>12228.63542024036</v>
      </c>
      <c r="G19" s="174">
        <f>'Water Quality'!C14</f>
        <v>434959.78014483163</v>
      </c>
      <c r="H19" s="174">
        <f>SafetyBenefits!O16</f>
        <v>1469392.3551482665</v>
      </c>
      <c r="I19" s="174">
        <f>-SUM('Operating and Maintenance Costs'!C14:D14)</f>
        <v>-11939.39393939394</v>
      </c>
      <c r="J19" s="174" t="str">
        <f>'Capital Cost and RCV Calc'!E16</f>
        <v>N/A</v>
      </c>
      <c r="K19" s="194">
        <f>SUM(C19:E19,G19:J19)*(1+0.07)^-($B19-Assumptions!$D$4)+F19</f>
        <v>2092043.4826808898</v>
      </c>
    </row>
    <row r="20" spans="2:11" ht="15" customHeight="1" x14ac:dyDescent="0.25">
      <c r="B20" s="41">
        <f t="shared" si="1"/>
        <v>2035</v>
      </c>
      <c r="C20" s="174">
        <f>'Operation Benefits'!F16</f>
        <v>356421.41951641429</v>
      </c>
      <c r="D20" s="174">
        <f>'Travel Time Savings '!G16</f>
        <v>3173456.1259415112</v>
      </c>
      <c r="E20" s="174">
        <f>'Air Quality'!M15</f>
        <v>11523.868793465379</v>
      </c>
      <c r="F20" s="174">
        <f>'Air Quality'!E15</f>
        <v>12298.712356830352</v>
      </c>
      <c r="G20" s="174">
        <f>'Water Quality'!C15</f>
        <v>434959.78014483163</v>
      </c>
      <c r="H20" s="174">
        <f>SafetyBenefits!O17</f>
        <v>1482123.4700440909</v>
      </c>
      <c r="I20" s="174">
        <f>-SUM('Operating and Maintenance Costs'!C15:D15)</f>
        <v>-11939.39393939394</v>
      </c>
      <c r="J20" s="174" t="str">
        <f>'Capital Cost and RCV Calc'!E17</f>
        <v>N/A</v>
      </c>
      <c r="K20" s="194">
        <f>SUM(C20:E20,G20:J20)*(1+0.07)^-($B20-Assumptions!$D$4)+F20</f>
        <v>1986377.3664518078</v>
      </c>
    </row>
    <row r="21" spans="2:11" ht="15" customHeight="1" x14ac:dyDescent="0.25">
      <c r="B21" s="41">
        <f t="shared" si="1"/>
        <v>2036</v>
      </c>
      <c r="C21" s="174">
        <f>'Operation Benefits'!F17</f>
        <v>363561.17214389285</v>
      </c>
      <c r="D21" s="174">
        <f>'Travel Time Savings '!G17</f>
        <v>3237026.0756492056</v>
      </c>
      <c r="E21" s="174">
        <f>'Air Quality'!M16</f>
        <v>11754.71230620514</v>
      </c>
      <c r="F21" s="174">
        <f>'Air Quality'!E16</f>
        <v>12543.259495506483</v>
      </c>
      <c r="G21" s="174">
        <f>'Water Quality'!C16</f>
        <v>434959.78014483163</v>
      </c>
      <c r="H21" s="174">
        <f>SafetyBenefits!O18</f>
        <v>1495095.059220195</v>
      </c>
      <c r="I21" s="174">
        <f>-SUM('Operating and Maintenance Costs'!C16:D16)</f>
        <v>-11939.39393939394</v>
      </c>
      <c r="J21" s="174" t="str">
        <f>'Capital Cost and RCV Calc'!E18</f>
        <v>N/A</v>
      </c>
      <c r="K21" s="194">
        <f>SUM(C21:E21,G21:J21)*(1+0.07)^-($B21-Assumptions!$D$4)+F21</f>
        <v>1885900.524387212</v>
      </c>
    </row>
    <row r="22" spans="2:11" ht="15" customHeight="1" x14ac:dyDescent="0.25">
      <c r="B22" s="41">
        <f t="shared" si="1"/>
        <v>2037</v>
      </c>
      <c r="C22" s="174">
        <f>'Operation Benefits'!F18</f>
        <v>370700.92477138591</v>
      </c>
      <c r="D22" s="174">
        <f>'Travel Time Savings '!G18</f>
        <v>3300596.025356777</v>
      </c>
      <c r="E22" s="174">
        <f>'Air Quality'!M17</f>
        <v>11985.555818945377</v>
      </c>
      <c r="F22" s="174">
        <f>'Air Quality'!E17</f>
        <v>12597.034133369132</v>
      </c>
      <c r="G22" s="174">
        <f>'Water Quality'!C17</f>
        <v>434959.78014483163</v>
      </c>
      <c r="H22" s="174">
        <f>SafetyBenefits!O19</f>
        <v>1506064.4996974149</v>
      </c>
      <c r="I22" s="174">
        <f>-SUM('Operating and Maintenance Costs'!C17:D17)</f>
        <v>-11939.39393939394</v>
      </c>
      <c r="J22" s="174" t="str">
        <f>'Capital Cost and RCV Calc'!E19</f>
        <v>N/A</v>
      </c>
      <c r="K22" s="194">
        <f>SUM(C22:E22,G22:J22)*(1+0.07)^-($B22-Assumptions!$D$4)+F22</f>
        <v>1789328.8202689183</v>
      </c>
    </row>
    <row r="23" spans="2:11" ht="15" customHeight="1" x14ac:dyDescent="0.25">
      <c r="B23" s="41">
        <f t="shared" si="1"/>
        <v>2038</v>
      </c>
      <c r="C23" s="174">
        <f>'Operation Benefits'!F19</f>
        <v>377840.67739886435</v>
      </c>
      <c r="D23" s="174">
        <f>'Travel Time Savings '!G19</f>
        <v>3364165.9750644639</v>
      </c>
      <c r="E23" s="174">
        <f>'Air Quality'!M18</f>
        <v>12216.399331685137</v>
      </c>
      <c r="F23" s="174">
        <f>'Air Quality'!E18</f>
        <v>12643.765481209566</v>
      </c>
      <c r="G23" s="174">
        <f>'Water Quality'!C18</f>
        <v>434959.78014483163</v>
      </c>
      <c r="H23" s="174">
        <f>SafetyBenefits!O20</f>
        <v>1516941.940174635</v>
      </c>
      <c r="I23" s="174">
        <f>-SUM('Operating and Maintenance Costs'!C18:D18)</f>
        <v>-11939.39393939394</v>
      </c>
      <c r="J23" s="174" t="str">
        <f>'Capital Cost and RCV Calc'!E20</f>
        <v>N/A</v>
      </c>
      <c r="K23" s="194">
        <f>SUM(C23:E23,G23:J23)*(1+0.07)^-($B23-Assumptions!$D$4)+F23</f>
        <v>1697347.7517292716</v>
      </c>
    </row>
    <row r="24" spans="2:11" ht="15" customHeight="1" x14ac:dyDescent="0.25">
      <c r="B24" s="41">
        <f t="shared" si="1"/>
        <v>2039</v>
      </c>
      <c r="C24" s="174">
        <f>'Operation Benefits'!F20</f>
        <v>384980.4300263428</v>
      </c>
      <c r="D24" s="174">
        <f>'Travel Time Savings '!G20</f>
        <v>3427735.9247721583</v>
      </c>
      <c r="E24" s="174">
        <f>'Air Quality'!M19</f>
        <v>12447.242844424902</v>
      </c>
      <c r="F24" s="174">
        <f>'Air Quality'!E19</f>
        <v>12683.622186000763</v>
      </c>
      <c r="G24" s="174">
        <f>'Water Quality'!C19</f>
        <v>434959.78014483163</v>
      </c>
      <c r="H24" s="174">
        <f>SafetyBenefits!O21</f>
        <v>1531813.2037693439</v>
      </c>
      <c r="I24" s="174">
        <f>-SUM('Operating and Maintenance Costs'!C19:D19)</f>
        <v>-11939.39393939394</v>
      </c>
      <c r="J24" s="174" t="str">
        <f>'Capital Cost and RCV Calc'!E21</f>
        <v>N/A</v>
      </c>
      <c r="K24" s="194">
        <f>SUM(C24:E24,G24:J24)*(1+0.07)^-($B24-Assumptions!$D$4)+F24</f>
        <v>1610901.0093415135</v>
      </c>
    </row>
    <row r="25" spans="2:11" ht="15" customHeight="1" x14ac:dyDescent="0.25">
      <c r="B25" s="41">
        <f t="shared" si="1"/>
        <v>2040</v>
      </c>
      <c r="C25" s="174">
        <f>'Operation Benefits'!F21</f>
        <v>392120.18265382136</v>
      </c>
      <c r="D25" s="174">
        <f>'Travel Time Savings '!G21</f>
        <v>3491305.8744798452</v>
      </c>
      <c r="E25" s="174">
        <f>'Air Quality'!M20</f>
        <v>12678.086357164662</v>
      </c>
      <c r="F25" s="174">
        <f>'Air Quality'!E20</f>
        <v>12716.774755100038</v>
      </c>
      <c r="G25" s="174">
        <f>'Water Quality'!C20</f>
        <v>434959.78014483163</v>
      </c>
      <c r="H25" s="174">
        <f>SafetyBenefits!O22</f>
        <v>1542828.6442465633</v>
      </c>
      <c r="I25" s="174">
        <f>-SUM('Operating and Maintenance Costs'!C20:D20)</f>
        <v>-11939.39393939394</v>
      </c>
      <c r="J25" s="174" t="str">
        <f>'Capital Cost and RCV Calc'!E22</f>
        <v>N/A</v>
      </c>
      <c r="K25" s="194">
        <f>SUM(C25:E25,G25:J25)*(1+0.07)^-($B25-Assumptions!$D$4)+F25</f>
        <v>1527556.8685069997</v>
      </c>
    </row>
    <row r="26" spans="2:11" ht="15" customHeight="1" x14ac:dyDescent="0.25">
      <c r="B26" s="41">
        <f t="shared" si="1"/>
        <v>2041</v>
      </c>
      <c r="C26" s="174">
        <f>'Operation Benefits'!F22</f>
        <v>399259.93528131442</v>
      </c>
      <c r="D26" s="174">
        <f>'Travel Time Savings '!G22</f>
        <v>3554875.8241875321</v>
      </c>
      <c r="E26" s="174">
        <f>'Air Quality'!M21</f>
        <v>12908.929869904898</v>
      </c>
      <c r="F26" s="174">
        <f>'Air Quality'!E21</f>
        <v>12743.395138515487</v>
      </c>
      <c r="G26" s="174">
        <f>'Water Quality'!C21</f>
        <v>434959.78014483163</v>
      </c>
      <c r="H26" s="174">
        <f>SafetyBenefits!O23</f>
        <v>1553752.0847237832</v>
      </c>
      <c r="I26" s="174">
        <f>-SUM('Operating and Maintenance Costs'!C21:D21)</f>
        <v>-11939.39393939394</v>
      </c>
      <c r="J26" s="174" t="str">
        <f>'Capital Cost and RCV Calc'!E23</f>
        <v>N/A</v>
      </c>
      <c r="K26" s="194">
        <f>SUM(C26:E26,G26:J26)*(1+0.07)^-($B26-Assumptions!$D$4)+F26</f>
        <v>1448253.0245445063</v>
      </c>
    </row>
    <row r="27" spans="2:11" ht="15" customHeight="1" x14ac:dyDescent="0.25">
      <c r="B27" s="41">
        <f t="shared" si="1"/>
        <v>2042</v>
      </c>
      <c r="C27" s="174">
        <f>'Operation Benefits'!F23</f>
        <v>406399.68790879287</v>
      </c>
      <c r="D27" s="174">
        <f>'Travel Time Savings '!G23</f>
        <v>3618445.7738951147</v>
      </c>
      <c r="E27" s="174">
        <f>'Air Quality'!M22</f>
        <v>13139.77338264466</v>
      </c>
      <c r="F27" s="174">
        <f>'Air Quality'!E22</f>
        <v>12763.656338768877</v>
      </c>
      <c r="G27" s="174">
        <f>'Water Quality'!C22</f>
        <v>434959.78014483163</v>
      </c>
      <c r="H27" s="174">
        <f>SafetyBenefits!O24</f>
        <v>1566483.1996196075</v>
      </c>
      <c r="I27" s="174">
        <f>-SUM('Operating and Maintenance Costs'!C22:D22)</f>
        <v>-11939.39393939394</v>
      </c>
      <c r="J27" s="174" t="str">
        <f>'Capital Cost and RCV Calc'!E24</f>
        <v>N/A</v>
      </c>
      <c r="K27" s="194">
        <f>SUM(C27:E27,G27:J27)*(1+0.07)^-($B27-Assumptions!$D$4)+F27</f>
        <v>1373247.2362126079</v>
      </c>
    </row>
    <row r="28" spans="2:11" ht="15" customHeight="1" x14ac:dyDescent="0.25">
      <c r="B28" s="41">
        <f t="shared" si="1"/>
        <v>2043</v>
      </c>
      <c r="C28" s="174">
        <f>'Operation Benefits'!F24</f>
        <v>413539.44053627132</v>
      </c>
      <c r="D28" s="174">
        <f>'Travel Time Savings '!G24</f>
        <v>3682015.7236028016</v>
      </c>
      <c r="E28" s="174">
        <f>'Air Quality'!M23</f>
        <v>13370.616895384423</v>
      </c>
      <c r="F28" s="174">
        <f>'Air Quality'!E23</f>
        <v>12945.860100217726</v>
      </c>
      <c r="G28" s="174">
        <f>'Water Quality'!C23</f>
        <v>434959.78014483163</v>
      </c>
      <c r="H28" s="174">
        <f>SafetyBenefits!O25</f>
        <v>1577452.6400968274</v>
      </c>
      <c r="I28" s="174">
        <f>-SUM('Operating and Maintenance Costs'!C23:D23)</f>
        <v>-11939.39393939394</v>
      </c>
      <c r="J28" s="174" t="str">
        <f>'Capital Cost and RCV Calc'!E25</f>
        <v>N/A</v>
      </c>
      <c r="K28" s="194">
        <f>SUM(C28:E28,G28:J28)*(1+0.07)^-($B28-Assumptions!$D$4)+F28</f>
        <v>1301704.4976208555</v>
      </c>
    </row>
    <row r="29" spans="2:11" ht="15" customHeight="1" x14ac:dyDescent="0.25">
      <c r="B29" s="41">
        <f t="shared" si="1"/>
        <v>2044</v>
      </c>
      <c r="C29" s="174">
        <f>'Operation Benefits'!F25</f>
        <v>420679.19316374988</v>
      </c>
      <c r="D29" s="174">
        <f>'Travel Time Savings '!G25</f>
        <v>3745585.6733104885</v>
      </c>
      <c r="E29" s="174">
        <f>'Air Quality'!M24</f>
        <v>13601.460408124185</v>
      </c>
      <c r="F29" s="174">
        <f>'Air Quality'!E24</f>
        <v>12951.845606393652</v>
      </c>
      <c r="G29" s="174">
        <f>'Water Quality'!C24</f>
        <v>434959.78014483163</v>
      </c>
      <c r="H29" s="174">
        <f>SafetyBenefits!O26</f>
        <v>1590470.2292729316</v>
      </c>
      <c r="I29" s="174">
        <f>-SUM('Operating and Maintenance Costs'!C24:D24)</f>
        <v>-11939.39393939394</v>
      </c>
      <c r="J29" s="174" t="str">
        <f>'Capital Cost and RCV Calc'!E26</f>
        <v>N/A</v>
      </c>
      <c r="K29" s="194">
        <f>SUM(C29:E29,G29:J29)*(1+0.07)^-($B29-Assumptions!$D$4)+F29</f>
        <v>1233951.2329292244</v>
      </c>
    </row>
    <row r="30" spans="2:11" ht="15" customHeight="1" x14ac:dyDescent="0.25">
      <c r="B30" s="41">
        <f t="shared" si="1"/>
        <v>2045</v>
      </c>
      <c r="C30" s="174">
        <f>'Operation Benefits'!F26</f>
        <v>427818.94579124288</v>
      </c>
      <c r="D30" s="174">
        <f>'Travel Time Savings '!G26</f>
        <v>3809155.6230181828</v>
      </c>
      <c r="E30" s="174">
        <f>'Air Quality'!M25</f>
        <v>13832.303920864422</v>
      </c>
      <c r="F30" s="174">
        <f>'Air Quality'!E25</f>
        <v>12951.972198987098</v>
      </c>
      <c r="G30" s="174">
        <f>'Water Quality'!C25</f>
        <v>434959.78014483163</v>
      </c>
      <c r="H30" s="174">
        <f>SafetyBenefits!O27</f>
        <v>1603201.3441687559</v>
      </c>
      <c r="I30" s="174">
        <f>-SUM('Operating and Maintenance Costs'!C25:D25)</f>
        <v>-11939.39393939394</v>
      </c>
      <c r="J30" s="174" t="str">
        <f>'Capital Cost and RCV Calc'!E27</f>
        <v>N/A</v>
      </c>
      <c r="K30" s="194">
        <f>SUM(C30:E30,G30:J30)*(1+0.07)^-($B30-Assumptions!$D$4)+F30</f>
        <v>1169489.3296045607</v>
      </c>
    </row>
    <row r="31" spans="2:11" ht="15" customHeight="1" x14ac:dyDescent="0.25">
      <c r="B31" s="41">
        <f t="shared" si="1"/>
        <v>2046</v>
      </c>
      <c r="C31" s="174">
        <f>'Operation Benefits'!F27</f>
        <v>434958.69841873599</v>
      </c>
      <c r="D31" s="174">
        <f>'Travel Time Savings '!G27</f>
        <v>3872725.572725758</v>
      </c>
      <c r="E31" s="174">
        <f>'Air Quality'!M26</f>
        <v>14063.147433604656</v>
      </c>
      <c r="F31" s="174">
        <f>'Air Quality'!E26</f>
        <v>12946.416711746962</v>
      </c>
      <c r="G31" s="174">
        <f>'Water Quality'!C26</f>
        <v>434959.78014483163</v>
      </c>
      <c r="H31" s="174">
        <f>SafetyBenefits!O28</f>
        <v>1614216.7846459753</v>
      </c>
      <c r="I31" s="174">
        <f>-SUM('Operating and Maintenance Costs'!C26:D26)</f>
        <v>-11939.39393939394</v>
      </c>
      <c r="J31" s="174" t="str">
        <f>'Capital Cost and RCV Calc'!E28</f>
        <v>N/A</v>
      </c>
      <c r="K31" s="194">
        <f>SUM(C31:E31,G31:J31)*(1+0.07)^-($B31-Assumptions!$D$4)+F31</f>
        <v>1107934.9031407041</v>
      </c>
    </row>
    <row r="32" spans="2:11" ht="15" customHeight="1" x14ac:dyDescent="0.25">
      <c r="B32" s="41">
        <f t="shared" si="1"/>
        <v>2047</v>
      </c>
      <c r="C32" s="174">
        <f>'Operation Benefits'!F28</f>
        <v>442098.45104621456</v>
      </c>
      <c r="D32" s="174">
        <f>'Travel Time Savings '!G28</f>
        <v>3936295.5224334449</v>
      </c>
      <c r="E32" s="174">
        <f>'Air Quality'!M27</f>
        <v>14293.99094634442</v>
      </c>
      <c r="F32" s="174">
        <f>'Air Quality'!E27</f>
        <v>12935.355290022217</v>
      </c>
      <c r="G32" s="174">
        <f>'Water Quality'!C27</f>
        <v>434959.78014483163</v>
      </c>
      <c r="H32" s="174">
        <f>SafetyBenefits!O29</f>
        <v>1626993.8995418001</v>
      </c>
      <c r="I32" s="174">
        <f>-SUM('Operating and Maintenance Costs'!C27:D27)</f>
        <v>-11939.39393939394</v>
      </c>
      <c r="J32" s="174" t="str">
        <f>'Capital Cost and RCV Calc'!E29</f>
        <v>N/A</v>
      </c>
      <c r="K32" s="194">
        <f>SUM(C32:E32,G32:J32)*(1+0.07)^-($B32-Assumptions!$D$4)+F32</f>
        <v>1049761.7948175808</v>
      </c>
    </row>
    <row r="33" spans="1:14" ht="15" customHeight="1" x14ac:dyDescent="0.25">
      <c r="B33" s="41">
        <f t="shared" si="1"/>
        <v>2048</v>
      </c>
      <c r="C33" s="174">
        <f>'Operation Benefits'!F29</f>
        <v>449238.20367369294</v>
      </c>
      <c r="D33" s="174">
        <f>'Travel Time Savings '!G29</f>
        <v>3999865.4721411392</v>
      </c>
      <c r="E33" s="174">
        <f>'Air Quality'!M28</f>
        <v>14524.834459084181</v>
      </c>
      <c r="F33" s="174">
        <f>'Air Quality'!E28</f>
        <v>12918.963145637601</v>
      </c>
      <c r="G33" s="174">
        <f>'Water Quality'!C28</f>
        <v>434959.78014483163</v>
      </c>
      <c r="H33" s="174">
        <f>SafetyBenefits!O30</f>
        <v>1637963.3400190198</v>
      </c>
      <c r="I33" s="174">
        <f>-SUM('Operating and Maintenance Costs'!C28:D28)</f>
        <v>-11939.39393939394</v>
      </c>
      <c r="J33" s="174" t="str">
        <f>'Capital Cost and RCV Calc'!E30</f>
        <v>N/A</v>
      </c>
      <c r="K33" s="194">
        <f>SUM(C33:E33,G33:J33)*(1+0.07)^-($B33-Assumptions!$D$4)+F33</f>
        <v>994235.07876473467</v>
      </c>
    </row>
    <row r="34" spans="1:14" ht="15" customHeight="1" x14ac:dyDescent="0.25">
      <c r="B34" s="41">
        <f t="shared" si="1"/>
        <v>2049</v>
      </c>
      <c r="C34" s="174">
        <f>'Operation Benefits'!F30</f>
        <v>456377.95630117139</v>
      </c>
      <c r="D34" s="174">
        <f>'Travel Time Savings '!G30</f>
        <v>4063435.4218488261</v>
      </c>
      <c r="E34" s="174">
        <f>'Air Quality'!M29</f>
        <v>14755.677971823943</v>
      </c>
      <c r="F34" s="174">
        <f>'Air Quality'!E29</f>
        <v>12897.414330568479</v>
      </c>
      <c r="G34" s="174">
        <f>'Water Quality'!C29</f>
        <v>434959.78014483163</v>
      </c>
      <c r="H34" s="174">
        <f>SafetyBenefits!O31</f>
        <v>1648932.7804962394</v>
      </c>
      <c r="I34" s="174">
        <f>-SUM('Operating and Maintenance Costs'!C29:D29)</f>
        <v>-11939.39393939394</v>
      </c>
      <c r="J34" s="174" t="str">
        <f>'Capital Cost and RCV Calc'!E31</f>
        <v>N/A</v>
      </c>
      <c r="K34" s="194">
        <f>SUM(C34:E34,G34:J34)*(1+0.07)^-($B34-Assumptions!$D$4)+F34</f>
        <v>941528.77767872822</v>
      </c>
    </row>
    <row r="35" spans="1:14" ht="15" customHeight="1" x14ac:dyDescent="0.25">
      <c r="B35" s="41">
        <f t="shared" si="1"/>
        <v>2050</v>
      </c>
      <c r="C35" s="174">
        <f>'Operation Benefits'!F31</f>
        <v>463517.7089286499</v>
      </c>
      <c r="D35" s="174">
        <f>'Travel Time Savings '!G31</f>
        <v>4127005.371556513</v>
      </c>
      <c r="E35" s="174">
        <f>'Air Quality'!M30</f>
        <v>14986.521484563704</v>
      </c>
      <c r="F35" s="174">
        <f>'Air Quality'!E30</f>
        <v>13024.106308517026</v>
      </c>
      <c r="G35" s="174">
        <f>'Water Quality'!C30</f>
        <v>434959.78014483163</v>
      </c>
      <c r="H35" s="174">
        <f>SafetyBenefits!O32</f>
        <v>1661996.3696723436</v>
      </c>
      <c r="I35" s="174">
        <f>-SUM('Operating and Maintenance Costs'!C30:D30)</f>
        <v>-11939.39393939394</v>
      </c>
      <c r="J35" s="174" t="str">
        <f>'Capital Cost and RCV Calc'!E32</f>
        <v>N/A</v>
      </c>
      <c r="K35" s="194">
        <f>SUM(C35:E35,G35:J35)*(1+0.07)^-($B35-Assumptions!$D$4)+F35</f>
        <v>891939.26618574187</v>
      </c>
    </row>
    <row r="36" spans="1:14" ht="15" customHeight="1" x14ac:dyDescent="0.25">
      <c r="B36" s="41">
        <f t="shared" si="1"/>
        <v>2051</v>
      </c>
      <c r="C36" s="174">
        <f>'Operation Benefits'!F32</f>
        <v>470657.46155614301</v>
      </c>
      <c r="D36" s="174">
        <f>'Travel Time Savings '!G32</f>
        <v>4190575.3212640956</v>
      </c>
      <c r="E36" s="174">
        <f>'Air Quality'!M31</f>
        <v>15111.039410738958</v>
      </c>
      <c r="F36" s="174">
        <f>'Air Quality'!E31</f>
        <v>12688.482499639329</v>
      </c>
      <c r="G36" s="174">
        <f>'Water Quality'!C31</f>
        <v>434959.78014483163</v>
      </c>
      <c r="H36" s="174">
        <f>SafetyBenefits!O33</f>
        <v>1674773.4845681679</v>
      </c>
      <c r="I36" s="174">
        <f>-SUM('Operating and Maintenance Costs'!C31:D31)</f>
        <v>-11939.39393939394</v>
      </c>
      <c r="J36" s="174" t="str">
        <f>'Capital Cost and RCV Calc'!E33</f>
        <v>N/A</v>
      </c>
      <c r="K36" s="194">
        <f>SUM(C36:E36,G36:J36)*(1+0.07)^-($B36-Assumptions!$D$4)+F36</f>
        <v>844369.73477838282</v>
      </c>
    </row>
    <row r="37" spans="1:14" ht="15" customHeight="1" x14ac:dyDescent="0.25">
      <c r="B37" s="41">
        <f t="shared" si="1"/>
        <v>2052</v>
      </c>
      <c r="C37" s="174">
        <f>'Operation Benefits'!F33</f>
        <v>477797.21418363607</v>
      </c>
      <c r="D37" s="174">
        <f>'Travel Time Savings '!G33</f>
        <v>4254145.2709717751</v>
      </c>
      <c r="E37" s="174">
        <f>'Air Quality'!M32</f>
        <v>15340.269991680478</v>
      </c>
      <c r="F37" s="174">
        <f>'Air Quality'!E32</f>
        <v>12505.789820756147</v>
      </c>
      <c r="G37" s="174">
        <f>'Water Quality'!C32</f>
        <v>434959.78014483163</v>
      </c>
      <c r="H37" s="174">
        <f>SafetyBenefits!O34</f>
        <v>1685788.9250453881</v>
      </c>
      <c r="I37" s="174">
        <f>-SUM('Operating and Maintenance Costs'!C32:D32)</f>
        <v>-11939.39393939394</v>
      </c>
      <c r="J37" s="174" t="str">
        <f>'Capital Cost and RCV Calc'!E34</f>
        <v>N/A</v>
      </c>
      <c r="K37" s="194">
        <f>SUM(C37:E37,G37:J37)*(1+0.07)^-($B37-Assumptions!$D$4)+F37</f>
        <v>799181.52543884411</v>
      </c>
    </row>
    <row r="38" spans="1:14" ht="15" customHeight="1" x14ac:dyDescent="0.25">
      <c r="B38" s="41">
        <f t="shared" si="1"/>
        <v>2053</v>
      </c>
      <c r="C38" s="174">
        <f>'Operation Benefits'!F34</f>
        <v>484936.96681111457</v>
      </c>
      <c r="D38" s="174">
        <f>'Travel Time Savings '!G34</f>
        <v>4317715.2206794694</v>
      </c>
      <c r="E38" s="174">
        <f>'Air Quality'!M33</f>
        <v>15569.500572621528</v>
      </c>
      <c r="F38" s="174">
        <f>'Air Quality'!E33</f>
        <v>12322.975333318815</v>
      </c>
      <c r="G38" s="174">
        <f>'Water Quality'!C33</f>
        <v>434959.78014483163</v>
      </c>
      <c r="H38" s="174">
        <f>SafetyBenefits!O35</f>
        <v>1696712.3655226075</v>
      </c>
      <c r="I38" s="174">
        <f>-SUM('Operating and Maintenance Costs'!C33:D33)</f>
        <v>-11939.39393939394</v>
      </c>
      <c r="J38" s="174" t="str">
        <f>'Capital Cost and RCV Calc'!E35</f>
        <v>N/A</v>
      </c>
      <c r="K38" s="194">
        <f>SUM(C38:E38,G38:J38)*(1+0.07)^-($B38-Assumptions!$D$4)+F38</f>
        <v>756312.43015675247</v>
      </c>
    </row>
    <row r="39" spans="1:14" ht="15" customHeight="1" thickBot="1" x14ac:dyDescent="0.3">
      <c r="B39" s="42">
        <f t="shared" si="1"/>
        <v>2054</v>
      </c>
      <c r="C39" s="176">
        <f>'Operation Benefits'!F35</f>
        <v>492076.71943859302</v>
      </c>
      <c r="D39" s="176">
        <f>'Travel Time Savings '!G35</f>
        <v>4381285.1703871563</v>
      </c>
      <c r="E39" s="176">
        <f>'Air Quality'!M34</f>
        <v>15798.731153562576</v>
      </c>
      <c r="F39" s="176">
        <f>'Air Quality'!E34</f>
        <v>12140.20111780622</v>
      </c>
      <c r="G39" s="176">
        <f>'Water Quality'!C34</f>
        <v>434959.78014483163</v>
      </c>
      <c r="H39" s="176">
        <f>SafetyBenefits!O36</f>
        <v>1707727.8059998266</v>
      </c>
      <c r="I39" s="176">
        <f>-SUM('Operating and Maintenance Costs'!C34:D34)</f>
        <v>-11939.39393939394</v>
      </c>
      <c r="J39" s="176">
        <f>'Capital Cost and RCV Calc'!E36</f>
        <v>12466143.28966561</v>
      </c>
      <c r="K39" s="267">
        <f>SUM(C39:E39,G39:J39)*(1+0.07)^-($B39-Assumptions!$D$4)+F39</f>
        <v>1965019.573611137</v>
      </c>
      <c r="M39" s="363"/>
    </row>
    <row r="40" spans="1:14" ht="15" customHeight="1" x14ac:dyDescent="0.25">
      <c r="B40" s="27"/>
      <c r="C40" s="28"/>
      <c r="E40" s="121"/>
      <c r="F40" s="121"/>
      <c r="G40" s="121"/>
      <c r="H40" s="121"/>
      <c r="I40" s="121"/>
      <c r="J40" s="121" t="s">
        <v>2</v>
      </c>
      <c r="K40" s="24">
        <f>SUM(K7:K39)</f>
        <v>52979403.414600112</v>
      </c>
      <c r="L40" s="319">
        <f>'Travel Time Savings '!H36+'Operation Benefits'!G36+SafetyBenefits!P37+'Air Quality'!P35+'Water Quality'!D35-'Operating and Maintenance Costs'!E35+'Capital Cost and RCV Calc'!F37</f>
        <v>52979403.414600089</v>
      </c>
    </row>
    <row r="41" spans="1:14" ht="15" customHeight="1" x14ac:dyDescent="0.25">
      <c r="B41" s="27"/>
      <c r="C41" s="28"/>
      <c r="M41" s="364"/>
      <c r="N41" s="12"/>
    </row>
    <row r="42" spans="1:14" ht="15" customHeight="1" thickBot="1" x14ac:dyDescent="0.3">
      <c r="B42" s="29" t="s">
        <v>31</v>
      </c>
      <c r="C42" s="28"/>
      <c r="D42" s="24"/>
      <c r="E42" s="24"/>
      <c r="F42" s="24"/>
      <c r="G42" s="24"/>
      <c r="H42" s="24"/>
      <c r="I42" s="31"/>
      <c r="J42" s="32"/>
      <c r="K42" s="32"/>
    </row>
    <row r="43" spans="1:14" x14ac:dyDescent="0.25">
      <c r="B43" s="475" t="s">
        <v>0</v>
      </c>
      <c r="C43" s="477" t="s">
        <v>116</v>
      </c>
      <c r="D43" s="479" t="s">
        <v>99</v>
      </c>
    </row>
    <row r="44" spans="1:14" ht="15" customHeight="1" thickBot="1" x14ac:dyDescent="0.3">
      <c r="B44" s="476"/>
      <c r="C44" s="478"/>
      <c r="D44" s="480"/>
    </row>
    <row r="45" spans="1:14" x14ac:dyDescent="0.25">
      <c r="A45" s="13"/>
      <c r="B45" s="178">
        <f>Assumptions!D5</f>
        <v>2023</v>
      </c>
      <c r="C45" s="196">
        <f>_xlfn.XLOOKUP($B45,'Capital Cost and RCV Calc'!$B$5:$B$36,'Capital Cost and RCV Calc'!$C$5:$C$36)</f>
        <v>6741964.2857142854</v>
      </c>
      <c r="D45" s="196">
        <f>C45*(1+0.07)^-($B45-Assumptions!$D$4)</f>
        <v>5503451.1325025195</v>
      </c>
    </row>
    <row r="46" spans="1:14" x14ac:dyDescent="0.25">
      <c r="B46" s="179">
        <f>+B45+1</f>
        <v>2024</v>
      </c>
      <c r="C46" s="207">
        <f>_xlfn.XLOOKUP($B46,'Capital Cost and RCV Calc'!$B$5:$B$36,'Capital Cost and RCV Calc'!$C$5:$C$36)</f>
        <v>24720535.714285713</v>
      </c>
      <c r="D46" s="207">
        <f>C46*(1+0.07)^-($B46-Assumptions!$D$4)</f>
        <v>18859178.335678417</v>
      </c>
    </row>
    <row r="47" spans="1:14" x14ac:dyDescent="0.25">
      <c r="B47" s="179">
        <f>+B46+1</f>
        <v>2025</v>
      </c>
      <c r="C47" s="197">
        <f>_xlfn.XLOOKUP($B47,'Capital Cost and RCV Calc'!$B$5:$B$36,'Capital Cost and RCV Calc'!$C$5:$C$36)</f>
        <v>0</v>
      </c>
      <c r="D47" s="197">
        <f>C47*(1+0.07)^-($B47-Assumptions!$D$4)</f>
        <v>0</v>
      </c>
    </row>
    <row r="48" spans="1:14" x14ac:dyDescent="0.25">
      <c r="B48" s="179">
        <f t="shared" ref="B48:B76" si="2">+B47+1</f>
        <v>2026</v>
      </c>
      <c r="C48" s="197">
        <f>_xlfn.XLOOKUP($B48,'Capital Cost and RCV Calc'!$B$5:$B$36,'Capital Cost and RCV Calc'!$C$5:$C$36)</f>
        <v>0</v>
      </c>
      <c r="D48" s="197">
        <f>C48*(1+0.07)^-($B48-Assumptions!$D$4)</f>
        <v>0</v>
      </c>
    </row>
    <row r="49" spans="1:4" x14ac:dyDescent="0.25">
      <c r="B49" s="179">
        <f t="shared" si="2"/>
        <v>2027</v>
      </c>
      <c r="C49" s="197">
        <f>_xlfn.XLOOKUP($B49,'Capital Cost and RCV Calc'!$B$5:$B$36,'Capital Cost and RCV Calc'!$C$5:$C$36)</f>
        <v>0</v>
      </c>
      <c r="D49" s="197">
        <f>C49*(1+0.07)^-($B49-Assumptions!$D$4)</f>
        <v>0</v>
      </c>
    </row>
    <row r="50" spans="1:4" x14ac:dyDescent="0.25">
      <c r="B50" s="179">
        <f t="shared" si="2"/>
        <v>2028</v>
      </c>
      <c r="C50" s="197">
        <f>_xlfn.XLOOKUP($B50,'Capital Cost and RCV Calc'!$B$5:$B$36,'Capital Cost and RCV Calc'!$C$5:$C$36)</f>
        <v>0</v>
      </c>
      <c r="D50" s="197">
        <f>C50*(1+0.07)^-($B50-Assumptions!$D$4)</f>
        <v>0</v>
      </c>
    </row>
    <row r="51" spans="1:4" x14ac:dyDescent="0.25">
      <c r="B51" s="179">
        <f t="shared" si="2"/>
        <v>2029</v>
      </c>
      <c r="C51" s="197">
        <f>_xlfn.XLOOKUP($B51,'Capital Cost and RCV Calc'!$B$5:$B$36,'Capital Cost and RCV Calc'!$C$5:$C$36)</f>
        <v>0</v>
      </c>
      <c r="D51" s="197">
        <f>C51*(1+0.07)^-($B51-Assumptions!$D$4)</f>
        <v>0</v>
      </c>
    </row>
    <row r="52" spans="1:4" x14ac:dyDescent="0.25">
      <c r="B52" s="179">
        <f t="shared" si="2"/>
        <v>2030</v>
      </c>
      <c r="C52" s="197">
        <f>_xlfn.XLOOKUP($B52,'Capital Cost and RCV Calc'!$B$5:$B$36,'Capital Cost and RCV Calc'!$C$5:$C$36)</f>
        <v>0</v>
      </c>
      <c r="D52" s="197">
        <f>C52*(1+0.07)^-($B52-Assumptions!$D$4)</f>
        <v>0</v>
      </c>
    </row>
    <row r="53" spans="1:4" x14ac:dyDescent="0.25">
      <c r="B53" s="179">
        <f t="shared" si="2"/>
        <v>2031</v>
      </c>
      <c r="C53" s="197">
        <f>_xlfn.XLOOKUP($B53,'Capital Cost and RCV Calc'!$B$5:$B$36,'Capital Cost and RCV Calc'!$C$5:$C$36)</f>
        <v>0</v>
      </c>
      <c r="D53" s="197">
        <f>C53*(1+0.07)^-($B53-Assumptions!$D$4)</f>
        <v>0</v>
      </c>
    </row>
    <row r="54" spans="1:4" x14ac:dyDescent="0.25">
      <c r="B54" s="179">
        <f t="shared" si="2"/>
        <v>2032</v>
      </c>
      <c r="C54" s="197">
        <f>_xlfn.XLOOKUP($B54,'Capital Cost and RCV Calc'!$B$5:$B$36,'Capital Cost and RCV Calc'!$C$5:$C$36)</f>
        <v>0</v>
      </c>
      <c r="D54" s="197">
        <f>C54*(1+0.07)^-($B54-Assumptions!$D$4)</f>
        <v>0</v>
      </c>
    </row>
    <row r="55" spans="1:4" x14ac:dyDescent="0.25">
      <c r="B55" s="179">
        <f t="shared" si="2"/>
        <v>2033</v>
      </c>
      <c r="C55" s="197">
        <f>_xlfn.XLOOKUP($B55,'Capital Cost and RCV Calc'!$B$5:$B$36,'Capital Cost and RCV Calc'!$C$5:$C$36)</f>
        <v>0</v>
      </c>
      <c r="D55" s="197">
        <f>C55*(1+0.07)^-($B55-Assumptions!$D$4)</f>
        <v>0</v>
      </c>
    </row>
    <row r="56" spans="1:4" x14ac:dyDescent="0.25">
      <c r="B56" s="179">
        <f t="shared" si="2"/>
        <v>2034</v>
      </c>
      <c r="C56" s="197">
        <f>_xlfn.XLOOKUP($B56,'Capital Cost and RCV Calc'!$B$5:$B$36,'Capital Cost and RCV Calc'!$C$5:$C$36)</f>
        <v>0</v>
      </c>
      <c r="D56" s="197">
        <f>C56*(1+0.07)^-($B56-Assumptions!$D$4)</f>
        <v>0</v>
      </c>
    </row>
    <row r="57" spans="1:4" x14ac:dyDescent="0.25">
      <c r="B57" s="179">
        <f t="shared" si="2"/>
        <v>2035</v>
      </c>
      <c r="C57" s="197">
        <f>_xlfn.XLOOKUP($B57,'Capital Cost and RCV Calc'!$B$5:$B$36,'Capital Cost and RCV Calc'!$C$5:$C$36)</f>
        <v>0</v>
      </c>
      <c r="D57" s="197">
        <f>C57*(1+0.07)^-($B57-Assumptions!$D$4)</f>
        <v>0</v>
      </c>
    </row>
    <row r="58" spans="1:4" x14ac:dyDescent="0.25">
      <c r="B58" s="179">
        <f t="shared" si="2"/>
        <v>2036</v>
      </c>
      <c r="C58" s="197">
        <f>_xlfn.XLOOKUP($B58,'Capital Cost and RCV Calc'!$B$5:$B$36,'Capital Cost and RCV Calc'!$C$5:$C$36)</f>
        <v>0</v>
      </c>
      <c r="D58" s="197">
        <f>C58*(1+0.07)^-($B58-Assumptions!$D$4)</f>
        <v>0</v>
      </c>
    </row>
    <row r="59" spans="1:4" x14ac:dyDescent="0.25">
      <c r="B59" s="179">
        <f t="shared" si="2"/>
        <v>2037</v>
      </c>
      <c r="C59" s="197">
        <f>_xlfn.XLOOKUP($B59,'Capital Cost and RCV Calc'!$B$5:$B$36,'Capital Cost and RCV Calc'!$C$5:$C$36)</f>
        <v>0</v>
      </c>
      <c r="D59" s="197">
        <f>C59*(1+0.07)^-($B59-Assumptions!$D$4)</f>
        <v>0</v>
      </c>
    </row>
    <row r="60" spans="1:4" x14ac:dyDescent="0.25">
      <c r="A60" s="13"/>
      <c r="B60" s="179">
        <f t="shared" si="2"/>
        <v>2038</v>
      </c>
      <c r="C60" s="197">
        <f>_xlfn.XLOOKUP($B60,'Capital Cost and RCV Calc'!$B$5:$B$36,'Capital Cost and RCV Calc'!$C$5:$C$36)</f>
        <v>0</v>
      </c>
      <c r="D60" s="197">
        <f>C60*(1+0.07)^-($B60-Assumptions!$D$4)</f>
        <v>0</v>
      </c>
    </row>
    <row r="61" spans="1:4" x14ac:dyDescent="0.25">
      <c r="B61" s="179">
        <f t="shared" si="2"/>
        <v>2039</v>
      </c>
      <c r="C61" s="197">
        <f>_xlfn.XLOOKUP($B61,'Capital Cost and RCV Calc'!$B$5:$B$36,'Capital Cost and RCV Calc'!$C$5:$C$36)</f>
        <v>0</v>
      </c>
      <c r="D61" s="197">
        <f>C61*(1+0.07)^-($B61-Assumptions!$D$4)</f>
        <v>0</v>
      </c>
    </row>
    <row r="62" spans="1:4" x14ac:dyDescent="0.25">
      <c r="B62" s="179">
        <f t="shared" si="2"/>
        <v>2040</v>
      </c>
      <c r="C62" s="197">
        <f>_xlfn.XLOOKUP($B62,'Capital Cost and RCV Calc'!$B$5:$B$36,'Capital Cost and RCV Calc'!$C$5:$C$36)</f>
        <v>0</v>
      </c>
      <c r="D62" s="197">
        <f>C62*(1+0.07)^-($B62-Assumptions!$D$4)</f>
        <v>0</v>
      </c>
    </row>
    <row r="63" spans="1:4" x14ac:dyDescent="0.25">
      <c r="B63" s="179">
        <f t="shared" si="2"/>
        <v>2041</v>
      </c>
      <c r="C63" s="197">
        <f>_xlfn.XLOOKUP($B63,'Capital Cost and RCV Calc'!$B$5:$B$36,'Capital Cost and RCV Calc'!$C$5:$C$36)</f>
        <v>0</v>
      </c>
      <c r="D63" s="197">
        <f>C63*(1+0.07)^-($B63-Assumptions!$D$4)</f>
        <v>0</v>
      </c>
    </row>
    <row r="64" spans="1:4" x14ac:dyDescent="0.25">
      <c r="B64" s="179">
        <f t="shared" si="2"/>
        <v>2042</v>
      </c>
      <c r="C64" s="197">
        <f>_xlfn.XLOOKUP($B64,'Capital Cost and RCV Calc'!$B$5:$B$36,'Capital Cost and RCV Calc'!$C$5:$C$36)</f>
        <v>0</v>
      </c>
      <c r="D64" s="197">
        <f>C64*(1+0.07)^-($B64-Assumptions!$D$4)</f>
        <v>0</v>
      </c>
    </row>
    <row r="65" spans="2:5" x14ac:dyDescent="0.25">
      <c r="B65" s="179">
        <f t="shared" si="2"/>
        <v>2043</v>
      </c>
      <c r="C65" s="197">
        <f>_xlfn.XLOOKUP($B65,'Capital Cost and RCV Calc'!$B$5:$B$36,'Capital Cost and RCV Calc'!$C$5:$C$36)</f>
        <v>0</v>
      </c>
      <c r="D65" s="197">
        <f>C65*(1+0.07)^-($B65-Assumptions!$D$4)</f>
        <v>0</v>
      </c>
    </row>
    <row r="66" spans="2:5" x14ac:dyDescent="0.25">
      <c r="B66" s="179">
        <f t="shared" si="2"/>
        <v>2044</v>
      </c>
      <c r="C66" s="197">
        <f>_xlfn.XLOOKUP($B66,'Capital Cost and RCV Calc'!$B$5:$B$36,'Capital Cost and RCV Calc'!$C$5:$C$36)</f>
        <v>0</v>
      </c>
      <c r="D66" s="197">
        <f>C66*(1+0.07)^-($B66-Assumptions!$D$4)</f>
        <v>0</v>
      </c>
    </row>
    <row r="67" spans="2:5" x14ac:dyDescent="0.25">
      <c r="B67" s="179">
        <f t="shared" si="2"/>
        <v>2045</v>
      </c>
      <c r="C67" s="197">
        <f>_xlfn.XLOOKUP($B67,'Capital Cost and RCV Calc'!$B$5:$B$36,'Capital Cost and RCV Calc'!$C$5:$C$36)</f>
        <v>0</v>
      </c>
      <c r="D67" s="197">
        <f>C67*(1+0.07)^-($B67-Assumptions!$D$4)</f>
        <v>0</v>
      </c>
    </row>
    <row r="68" spans="2:5" x14ac:dyDescent="0.25">
      <c r="B68" s="179">
        <f t="shared" si="2"/>
        <v>2046</v>
      </c>
      <c r="C68" s="197">
        <f>_xlfn.XLOOKUP($B68,'Capital Cost and RCV Calc'!$B$5:$B$36,'Capital Cost and RCV Calc'!$C$5:$C$36)</f>
        <v>0</v>
      </c>
      <c r="D68" s="197">
        <f>C68*(1+0.07)^-($B68-Assumptions!$D$4)</f>
        <v>0</v>
      </c>
    </row>
    <row r="69" spans="2:5" x14ac:dyDescent="0.25">
      <c r="B69" s="179">
        <f t="shared" si="2"/>
        <v>2047</v>
      </c>
      <c r="C69" s="197">
        <f>_xlfn.XLOOKUP($B69,'Capital Cost and RCV Calc'!$B$5:$B$36,'Capital Cost and RCV Calc'!$C$5:$C$36)</f>
        <v>0</v>
      </c>
      <c r="D69" s="197">
        <f>C69*(1+0.07)^-($B69-Assumptions!$D$4)</f>
        <v>0</v>
      </c>
    </row>
    <row r="70" spans="2:5" x14ac:dyDescent="0.25">
      <c r="B70" s="179">
        <f t="shared" si="2"/>
        <v>2048</v>
      </c>
      <c r="C70" s="197">
        <f>_xlfn.XLOOKUP($B70,'Capital Cost and RCV Calc'!$B$5:$B$36,'Capital Cost and RCV Calc'!$C$5:$C$36)</f>
        <v>0</v>
      </c>
      <c r="D70" s="197">
        <f>C70*(1+0.07)^-($B70-Assumptions!$D$4)</f>
        <v>0</v>
      </c>
    </row>
    <row r="71" spans="2:5" x14ac:dyDescent="0.25">
      <c r="B71" s="179">
        <f t="shared" si="2"/>
        <v>2049</v>
      </c>
      <c r="C71" s="197">
        <f>_xlfn.XLOOKUP($B71,'Capital Cost and RCV Calc'!$B$5:$B$36,'Capital Cost and RCV Calc'!$C$5:$C$36)</f>
        <v>0</v>
      </c>
      <c r="D71" s="197">
        <f>C71*(1+0.07)^-($B71-Assumptions!$D$4)</f>
        <v>0</v>
      </c>
    </row>
    <row r="72" spans="2:5" x14ac:dyDescent="0.25">
      <c r="B72" s="179">
        <f t="shared" si="2"/>
        <v>2050</v>
      </c>
      <c r="C72" s="197">
        <f>_xlfn.XLOOKUP($B72,'Capital Cost and RCV Calc'!$B$5:$B$36,'Capital Cost and RCV Calc'!$C$5:$C$36)</f>
        <v>0</v>
      </c>
      <c r="D72" s="197">
        <f>C72*(1+0.07)^-($B72-Assumptions!$D$4)</f>
        <v>0</v>
      </c>
    </row>
    <row r="73" spans="2:5" x14ac:dyDescent="0.25">
      <c r="B73" s="179">
        <f t="shared" si="2"/>
        <v>2051</v>
      </c>
      <c r="C73" s="197">
        <f>_xlfn.XLOOKUP($B73,'Capital Cost and RCV Calc'!$B$5:$B$36,'Capital Cost and RCV Calc'!$C$5:$C$36)</f>
        <v>0</v>
      </c>
      <c r="D73" s="197">
        <f>C73*(1+0.07)^-($B73-Assumptions!$D$4)</f>
        <v>0</v>
      </c>
    </row>
    <row r="74" spans="2:5" x14ac:dyDescent="0.25">
      <c r="B74" s="179">
        <f t="shared" si="2"/>
        <v>2052</v>
      </c>
      <c r="C74" s="197">
        <f>_xlfn.XLOOKUP($B74,'Capital Cost and RCV Calc'!$B$5:$B$36,'Capital Cost and RCV Calc'!$C$5:$C$36)</f>
        <v>0</v>
      </c>
      <c r="D74" s="197">
        <f>C74*(1+0.07)^-($B74-Assumptions!$D$4)</f>
        <v>0</v>
      </c>
    </row>
    <row r="75" spans="2:5" x14ac:dyDescent="0.25">
      <c r="B75" s="179">
        <f t="shared" si="2"/>
        <v>2053</v>
      </c>
      <c r="C75" s="197">
        <f>_xlfn.XLOOKUP($B75,'Capital Cost and RCV Calc'!$B$5:$B$36,'Capital Cost and RCV Calc'!$C$5:$C$36)</f>
        <v>0</v>
      </c>
      <c r="D75" s="197">
        <f>C75*(1+0.07)^-($B75-Assumptions!$D$4)</f>
        <v>0</v>
      </c>
    </row>
    <row r="76" spans="2:5" ht="15.75" thickBot="1" x14ac:dyDescent="0.3">
      <c r="B76" s="180">
        <f t="shared" si="2"/>
        <v>2054</v>
      </c>
      <c r="C76" s="198">
        <f>_xlfn.XLOOKUP($B76,'Capital Cost and RCV Calc'!$B$5:$B$36,'Capital Cost and RCV Calc'!$C$5:$C$36)</f>
        <v>0</v>
      </c>
      <c r="D76" s="198">
        <f>C76*(1+0.07)^-($B76-Assumptions!$D$4)</f>
        <v>0</v>
      </c>
    </row>
    <row r="77" spans="2:5" x14ac:dyDescent="0.25">
      <c r="D77" s="6">
        <f>SUM(D45:D76)</f>
        <v>24362629.468180936</v>
      </c>
      <c r="E77" s="319">
        <f>'Capital Cost and RCV Calc'!D37</f>
        <v>24362629.468180936</v>
      </c>
    </row>
    <row r="78" spans="2:5" x14ac:dyDescent="0.25">
      <c r="D78" s="195"/>
    </row>
    <row r="79" spans="2:5" ht="16.5" thickBot="1" x14ac:dyDescent="0.3">
      <c r="B79" s="29" t="s">
        <v>42</v>
      </c>
      <c r="D79" s="195"/>
    </row>
    <row r="80" spans="2:5" ht="15.75" thickBot="1" x14ac:dyDescent="0.3">
      <c r="B80" s="33"/>
      <c r="C80" s="36">
        <v>7.0000000000000007E-2</v>
      </c>
      <c r="D80" s="195"/>
    </row>
    <row r="81" spans="2:9" x14ac:dyDescent="0.25">
      <c r="B81" s="34" t="s">
        <v>35</v>
      </c>
      <c r="C81" s="129">
        <f>K40</f>
        <v>52979403.414600112</v>
      </c>
      <c r="D81" s="32"/>
      <c r="E81" s="32"/>
      <c r="F81" s="32"/>
      <c r="G81" s="32"/>
      <c r="H81" s="32"/>
    </row>
    <row r="82" spans="2:9" ht="15.75" thickBot="1" x14ac:dyDescent="0.3">
      <c r="B82" s="35" t="s">
        <v>36</v>
      </c>
      <c r="C82" s="130">
        <f>+D77</f>
        <v>24362629.468180936</v>
      </c>
      <c r="F82" s="31"/>
      <c r="G82" s="31"/>
      <c r="H82" s="31"/>
      <c r="I82" s="32"/>
    </row>
    <row r="83" spans="2:9" ht="15.75" thickTop="1" x14ac:dyDescent="0.25">
      <c r="B83" s="263" t="s">
        <v>37</v>
      </c>
      <c r="C83" s="265">
        <f>+C81/C82</f>
        <v>2.1746176242508803</v>
      </c>
      <c r="E83" s="31"/>
      <c r="F83" s="32"/>
      <c r="G83" s="32"/>
      <c r="H83" s="32"/>
    </row>
    <row r="84" spans="2:9" ht="15.75" thickBot="1" x14ac:dyDescent="0.3">
      <c r="B84" s="264" t="s">
        <v>114</v>
      </c>
      <c r="C84" s="266">
        <f>C81-C82</f>
        <v>28616773.946419176</v>
      </c>
      <c r="E84" s="31"/>
      <c r="F84" s="32"/>
      <c r="G84" s="32"/>
      <c r="H84" s="32"/>
    </row>
    <row r="85" spans="2:9" ht="15.75" thickBot="1" x14ac:dyDescent="0.3">
      <c r="E85" s="31"/>
      <c r="F85" s="32"/>
      <c r="G85" s="32"/>
      <c r="H85" s="32"/>
    </row>
    <row r="86" spans="2:9" ht="15.75" thickBot="1" x14ac:dyDescent="0.3">
      <c r="B86" s="33"/>
      <c r="C86" s="36">
        <v>7.0000000000000007E-2</v>
      </c>
      <c r="E86" s="31"/>
      <c r="F86" s="32"/>
      <c r="G86" s="32"/>
      <c r="H86" s="32"/>
    </row>
    <row r="87" spans="2:9" x14ac:dyDescent="0.25">
      <c r="B87" s="34" t="s">
        <v>35</v>
      </c>
      <c r="C87" s="337">
        <f>MROUND(C81,100000)/10^6</f>
        <v>53</v>
      </c>
    </row>
    <row r="88" spans="2:9" ht="15.75" thickBot="1" x14ac:dyDescent="0.3">
      <c r="B88" s="35" t="s">
        <v>36</v>
      </c>
      <c r="C88" s="340">
        <f>MROUND(C82,100000)/10^6</f>
        <v>24.4</v>
      </c>
    </row>
    <row r="89" spans="2:9" ht="15.75" thickTop="1" x14ac:dyDescent="0.25">
      <c r="B89" s="263" t="s">
        <v>37</v>
      </c>
      <c r="C89" s="339">
        <f>+C87/C88</f>
        <v>2.1721311475409837</v>
      </c>
    </row>
    <row r="90" spans="2:9" ht="15.75" thickBot="1" x14ac:dyDescent="0.3">
      <c r="B90" s="264" t="s">
        <v>114</v>
      </c>
      <c r="C90" s="338">
        <f>C87-C88</f>
        <v>28.6</v>
      </c>
    </row>
  </sheetData>
  <mergeCells count="15">
    <mergeCell ref="C4:D4"/>
    <mergeCell ref="B5:B6"/>
    <mergeCell ref="C5:C6"/>
    <mergeCell ref="D5:D6"/>
    <mergeCell ref="E5:E6"/>
    <mergeCell ref="E4:G4"/>
    <mergeCell ref="K5:K6"/>
    <mergeCell ref="B43:B44"/>
    <mergeCell ref="C43:C44"/>
    <mergeCell ref="D43:D44"/>
    <mergeCell ref="J5:J6"/>
    <mergeCell ref="H5:H6"/>
    <mergeCell ref="I5:I6"/>
    <mergeCell ref="G5:G6"/>
    <mergeCell ref="F5:F6"/>
  </mergeCells>
  <pageMargins left="0.25" right="0.25" top="0.75" bottom="0.75" header="0.3" footer="0.3"/>
  <pageSetup paperSize="3"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F8A7A-4267-4D6C-B8E4-AF642CBEC677}">
  <sheetPr>
    <tabColor rgb="FF00B050"/>
    <pageSetUpPr fitToPage="1"/>
  </sheetPr>
  <dimension ref="A1:X71"/>
  <sheetViews>
    <sheetView view="pageBreakPreview" zoomScale="85" zoomScaleNormal="85" zoomScaleSheetLayoutView="85" workbookViewId="0">
      <selection activeCell="B62" sqref="B62:H63"/>
    </sheetView>
  </sheetViews>
  <sheetFormatPr defaultRowHeight="15" x14ac:dyDescent="0.25"/>
  <cols>
    <col min="1" max="1" width="3.7109375" style="127" customWidth="1"/>
    <col min="2" max="8" width="20.7109375" style="127" customWidth="1"/>
    <col min="9" max="10" width="5.7109375" style="127" customWidth="1"/>
    <col min="11" max="11" width="28.140625" style="127" customWidth="1"/>
    <col min="12" max="12" width="20.7109375" style="127" customWidth="1"/>
    <col min="13" max="13" width="18" style="127" customWidth="1"/>
    <col min="14" max="14" width="17.140625" style="127" customWidth="1"/>
    <col min="15" max="15" width="18.5703125" style="127" customWidth="1"/>
    <col min="16" max="16" width="16.42578125" style="127" customWidth="1"/>
    <col min="17" max="18" width="9.140625" style="127"/>
    <col min="19" max="19" width="12.28515625" style="127" customWidth="1"/>
    <col min="20" max="20" width="9.7109375" style="127" customWidth="1"/>
    <col min="21" max="24" width="10.85546875" style="127" customWidth="1"/>
    <col min="25" max="16384" width="9.140625" style="127"/>
  </cols>
  <sheetData>
    <row r="1" spans="1:24" x14ac:dyDescent="0.25">
      <c r="A1" s="37"/>
      <c r="B1" s="97">
        <v>1</v>
      </c>
      <c r="C1" s="97">
        <v>2</v>
      </c>
      <c r="D1" s="97">
        <v>3</v>
      </c>
      <c r="E1" s="97">
        <v>4</v>
      </c>
      <c r="F1" s="97">
        <v>5</v>
      </c>
      <c r="G1" s="97">
        <v>6</v>
      </c>
      <c r="H1" s="97">
        <v>7</v>
      </c>
    </row>
    <row r="2" spans="1:24" x14ac:dyDescent="0.25">
      <c r="B2" s="12" t="s">
        <v>115</v>
      </c>
      <c r="U2" s="494" t="s">
        <v>146</v>
      </c>
      <c r="V2" s="494"/>
      <c r="W2" s="494" t="s">
        <v>147</v>
      </c>
      <c r="X2" s="494"/>
    </row>
    <row r="3" spans="1:24" ht="15.75" thickBot="1" x14ac:dyDescent="0.3">
      <c r="C3" s="21"/>
      <c r="D3" s="21"/>
      <c r="K3" s="103"/>
      <c r="U3" s="268" t="s">
        <v>43</v>
      </c>
      <c r="V3" s="268" t="s">
        <v>44</v>
      </c>
      <c r="W3" s="268" t="s">
        <v>43</v>
      </c>
      <c r="X3" s="268" t="s">
        <v>44</v>
      </c>
    </row>
    <row r="4" spans="1:24" ht="35.1" customHeight="1" x14ac:dyDescent="0.25">
      <c r="B4" s="495" t="s">
        <v>0</v>
      </c>
      <c r="C4" s="497" t="s">
        <v>83</v>
      </c>
      <c r="D4" s="499" t="s">
        <v>82</v>
      </c>
      <c r="E4" s="497" t="s">
        <v>81</v>
      </c>
      <c r="F4" s="501" t="s">
        <v>80</v>
      </c>
      <c r="G4" s="501" t="s">
        <v>79</v>
      </c>
      <c r="H4" s="503" t="s">
        <v>1</v>
      </c>
      <c r="K4" s="103"/>
      <c r="M4" s="49"/>
      <c r="N4" s="49"/>
      <c r="T4" s="13" t="s">
        <v>143</v>
      </c>
      <c r="U4" s="342">
        <f>L22*365/12</f>
        <v>76074.713043267213</v>
      </c>
      <c r="V4" s="342">
        <f>M22*365/12</f>
        <v>103661.38841635757</v>
      </c>
      <c r="W4" s="342">
        <f>N22*365/12</f>
        <v>70238.291034594193</v>
      </c>
      <c r="X4" s="342">
        <f>O22*365/12</f>
        <v>94211.689644572776</v>
      </c>
    </row>
    <row r="5" spans="1:24" ht="30.75" thickBot="1" x14ac:dyDescent="0.3">
      <c r="B5" s="496"/>
      <c r="C5" s="498"/>
      <c r="D5" s="500"/>
      <c r="E5" s="498"/>
      <c r="F5" s="502"/>
      <c r="G5" s="502"/>
      <c r="H5" s="504"/>
      <c r="K5" s="505" t="s">
        <v>311</v>
      </c>
      <c r="L5" s="505"/>
      <c r="M5" s="252"/>
      <c r="N5" s="37"/>
      <c r="O5" s="37"/>
      <c r="P5" s="37"/>
      <c r="R5" s="21" t="s">
        <v>141</v>
      </c>
      <c r="S5" s="341" t="s">
        <v>142</v>
      </c>
      <c r="U5" s="311"/>
      <c r="V5" s="311"/>
      <c r="W5" s="311"/>
      <c r="X5" s="311"/>
    </row>
    <row r="6" spans="1:24" x14ac:dyDescent="0.25">
      <c r="B6" s="132">
        <f>Assumptions!$D$8</f>
        <v>2025</v>
      </c>
      <c r="C6" s="307" cm="1">
        <f t="array" ref="C6">TREND($L$27:$M$27,$L$26:$M$26,$B6)</f>
        <v>1036907.5372235104</v>
      </c>
      <c r="D6" s="217" cm="1">
        <f t="array" ref="D6">TREND($N$27:$O$27,$N$26:$O$26,$B6)</f>
        <v>952074.47965481132</v>
      </c>
      <c r="E6" s="218">
        <f>C6*$L$18</f>
        <v>31018792.102099121</v>
      </c>
      <c r="F6" s="219">
        <f>D6*$L$18</f>
        <v>28481035.473234273</v>
      </c>
      <c r="G6" s="219">
        <f>(E6-F6)</f>
        <v>2537756.6288648471</v>
      </c>
      <c r="H6" s="185">
        <f>G6*(1+0.07)^-(B6-Assumptions!$D$4)</f>
        <v>1809385.4032737012</v>
      </c>
      <c r="I6" s="37"/>
      <c r="K6" s="91" t="s">
        <v>94</v>
      </c>
      <c r="L6" s="183">
        <f>Assumptions!D21</f>
        <v>17.8</v>
      </c>
      <c r="M6" s="37"/>
      <c r="N6" s="37"/>
      <c r="O6" s="37"/>
      <c r="P6" s="37"/>
      <c r="R6" s="311" t="s">
        <v>129</v>
      </c>
      <c r="S6" s="268">
        <v>0.89</v>
      </c>
      <c r="U6" s="342">
        <f t="shared" ref="U6:X17" si="0">U$4*$S6/$S$8</f>
        <v>69800.509905678176</v>
      </c>
      <c r="V6" s="342">
        <f t="shared" si="0"/>
        <v>95111.995557276532</v>
      </c>
      <c r="W6" s="342">
        <f t="shared" si="0"/>
        <v>64445.442289473031</v>
      </c>
      <c r="X6" s="342">
        <f t="shared" si="0"/>
        <v>86441.653385226571</v>
      </c>
    </row>
    <row r="7" spans="1:24" x14ac:dyDescent="0.25">
      <c r="B7" s="133">
        <f t="shared" ref="B7:B35" si="1">B6+1</f>
        <v>2026</v>
      </c>
      <c r="C7" s="212" cm="1">
        <f t="array" ref="C7">TREND($L$27:$M$27,$L$26:$M$26,$B7)</f>
        <v>1053131.8067851029</v>
      </c>
      <c r="D7" s="213" cm="1">
        <f t="array" ref="D7">TREND($N$27:$O$27,$N$26:$O$26,$B7)</f>
        <v>966173.70966696367</v>
      </c>
      <c r="E7" s="220">
        <f t="shared" ref="E7:F35" si="2">C7*$L$18</f>
        <v>31504136.480911337</v>
      </c>
      <c r="F7" s="211">
        <f t="shared" si="2"/>
        <v>28902809.902338803</v>
      </c>
      <c r="G7" s="211">
        <f t="shared" ref="G7:G35" si="3">(E7-F7)</f>
        <v>2601326.578572534</v>
      </c>
      <c r="H7" s="186">
        <f>G7*(1+0.07)^-(B7-Assumptions!$D$4)</f>
        <v>1733373.7372390223</v>
      </c>
      <c r="I7" s="37"/>
      <c r="K7" s="91" t="s">
        <v>78</v>
      </c>
      <c r="L7" s="183">
        <f>Assumptions!D22</f>
        <v>32</v>
      </c>
      <c r="M7" s="199"/>
      <c r="N7" s="114"/>
      <c r="O7" s="37"/>
      <c r="P7" s="253"/>
      <c r="Q7" s="113"/>
      <c r="R7" s="311" t="s">
        <v>130</v>
      </c>
      <c r="S7" s="268">
        <v>0.92</v>
      </c>
      <c r="U7" s="342">
        <f t="shared" si="0"/>
        <v>72153.336082274065</v>
      </c>
      <c r="V7" s="342">
        <f t="shared" si="0"/>
        <v>98318.017879431936</v>
      </c>
      <c r="W7" s="342">
        <f t="shared" si="0"/>
        <v>66617.760568893471</v>
      </c>
      <c r="X7" s="342">
        <f t="shared" si="0"/>
        <v>89355.416982481402</v>
      </c>
    </row>
    <row r="8" spans="1:24" x14ac:dyDescent="0.25">
      <c r="B8" s="133">
        <f t="shared" si="1"/>
        <v>2027</v>
      </c>
      <c r="C8" s="212" cm="1">
        <f t="array" ref="C8">TREND($L$27:$M$27,$L$26:$M$26,$B8)</f>
        <v>1069356.0763466954</v>
      </c>
      <c r="D8" s="213" cm="1">
        <f t="array" ref="D8">TREND($N$27:$O$27,$N$26:$O$26,$B8)</f>
        <v>980272.93967911601</v>
      </c>
      <c r="E8" s="220">
        <f t="shared" si="2"/>
        <v>31989480.859723557</v>
      </c>
      <c r="F8" s="211">
        <f t="shared" si="2"/>
        <v>29324584.331443336</v>
      </c>
      <c r="G8" s="211">
        <f t="shared" si="3"/>
        <v>2664896.5282802209</v>
      </c>
      <c r="H8" s="186">
        <f>G8*(1+0.07)^-(B8-Assumptions!$D$4)</f>
        <v>1659563.6251356504</v>
      </c>
      <c r="J8" s="116"/>
      <c r="K8" s="106"/>
      <c r="L8" s="115"/>
      <c r="M8" s="199"/>
      <c r="N8" s="114"/>
      <c r="O8" s="37"/>
      <c r="P8" s="253"/>
      <c r="Q8" s="113"/>
      <c r="R8" s="311" t="s">
        <v>131</v>
      </c>
      <c r="S8" s="268">
        <v>0.97</v>
      </c>
      <c r="U8" s="342">
        <f t="shared" si="0"/>
        <v>76074.713043267213</v>
      </c>
      <c r="V8" s="342">
        <f t="shared" si="0"/>
        <v>103661.38841635756</v>
      </c>
      <c r="W8" s="342">
        <f t="shared" si="0"/>
        <v>70238.291034594193</v>
      </c>
      <c r="X8" s="342">
        <f t="shared" si="0"/>
        <v>94211.689644572776</v>
      </c>
    </row>
    <row r="9" spans="1:24" ht="14.25" customHeight="1" x14ac:dyDescent="0.25">
      <c r="B9" s="133">
        <f t="shared" si="1"/>
        <v>2028</v>
      </c>
      <c r="C9" s="212" cm="1">
        <f t="array" ref="C9">TREND($L$27:$M$27,$L$26:$M$26,$B9)</f>
        <v>1085580.3459082842</v>
      </c>
      <c r="D9" s="213" cm="1">
        <f t="array" ref="D9">TREND($N$27:$O$27,$N$26:$O$26,$B9)</f>
        <v>994372.16969126835</v>
      </c>
      <c r="E9" s="220">
        <f t="shared" ref="E9:E23" si="4">C9*$L$18</f>
        <v>32474825.238535665</v>
      </c>
      <c r="F9" s="211">
        <f t="shared" ref="F9:F23" si="5">D9*$L$18</f>
        <v>29746358.760547865</v>
      </c>
      <c r="G9" s="211">
        <f t="shared" ref="G9:G23" si="6">(E9-F9)</f>
        <v>2728466.4779877998</v>
      </c>
      <c r="H9" s="186">
        <f>G9*(1+0.07)^-(B9-Assumptions!$D$4)</f>
        <v>1587992.3316894034</v>
      </c>
      <c r="K9" s="505" t="s">
        <v>312</v>
      </c>
      <c r="L9" s="505"/>
      <c r="M9" s="45"/>
      <c r="N9" s="45"/>
      <c r="O9" s="37"/>
      <c r="P9" s="37"/>
      <c r="R9" s="311" t="s">
        <v>132</v>
      </c>
      <c r="S9" s="268">
        <v>1.07</v>
      </c>
      <c r="U9" s="342">
        <f t="shared" si="0"/>
        <v>83917.466965253538</v>
      </c>
      <c r="V9" s="342">
        <f t="shared" si="0"/>
        <v>114348.12949020888</v>
      </c>
      <c r="W9" s="342">
        <f t="shared" si="0"/>
        <v>77479.351965995666</v>
      </c>
      <c r="X9" s="342">
        <f t="shared" si="0"/>
        <v>103924.23496875554</v>
      </c>
    </row>
    <row r="10" spans="1:24" x14ac:dyDescent="0.25">
      <c r="B10" s="133">
        <f t="shared" si="1"/>
        <v>2029</v>
      </c>
      <c r="C10" s="212" cm="1">
        <f t="array" ref="C10">TREND($L$27:$M$27,$L$26:$M$26,$B10)</f>
        <v>1101804.6154698767</v>
      </c>
      <c r="D10" s="213" cm="1">
        <f t="array" ref="D10">TREND($N$27:$O$27,$N$26:$O$26,$B10)</f>
        <v>1008471.3997034207</v>
      </c>
      <c r="E10" s="220">
        <f t="shared" si="4"/>
        <v>32960169.617347881</v>
      </c>
      <c r="F10" s="211">
        <f t="shared" si="5"/>
        <v>30168133.189652395</v>
      </c>
      <c r="G10" s="211">
        <f t="shared" si="6"/>
        <v>2792036.4276954867</v>
      </c>
      <c r="H10" s="186">
        <f>G10*(1+0.07)^-(B10-Assumptions!$D$4)</f>
        <v>1518682.8235476811</v>
      </c>
      <c r="K10" s="91" t="s">
        <v>77</v>
      </c>
      <c r="L10" s="184">
        <f>Assumptions!D14</f>
        <v>0.91701244813278004</v>
      </c>
      <c r="M10" s="45"/>
      <c r="N10" s="45"/>
      <c r="O10" s="37"/>
      <c r="P10" s="37"/>
      <c r="R10" s="311" t="s">
        <v>133</v>
      </c>
      <c r="S10" s="268">
        <v>1.03</v>
      </c>
      <c r="U10" s="342">
        <f t="shared" si="0"/>
        <v>80780.36539645899</v>
      </c>
      <c r="V10" s="342">
        <f t="shared" si="0"/>
        <v>110073.43306066837</v>
      </c>
      <c r="W10" s="342">
        <f t="shared" si="0"/>
        <v>74582.927593435074</v>
      </c>
      <c r="X10" s="342">
        <f t="shared" si="0"/>
        <v>100039.21683908244</v>
      </c>
    </row>
    <row r="11" spans="1:24" x14ac:dyDescent="0.25">
      <c r="B11" s="133">
        <f t="shared" si="1"/>
        <v>2030</v>
      </c>
      <c r="C11" s="212" cm="1">
        <f t="array" ref="C11">TREND($L$27:$M$27,$L$26:$M$26,$B11)</f>
        <v>1118028.8850314692</v>
      </c>
      <c r="D11" s="213" cm="1">
        <f t="array" ref="D11">TREND($N$27:$O$27,$N$26:$O$26,$B11)</f>
        <v>1022570.629715573</v>
      </c>
      <c r="E11" s="220">
        <f t="shared" si="4"/>
        <v>33445513.996160101</v>
      </c>
      <c r="F11" s="211">
        <f t="shared" si="5"/>
        <v>30589907.618756924</v>
      </c>
      <c r="G11" s="211">
        <f t="shared" si="6"/>
        <v>2855606.3774031773</v>
      </c>
      <c r="H11" s="186">
        <f>G11*(1+0.07)^-(B11-Assumptions!$D$4)</f>
        <v>1451645.4805682909</v>
      </c>
      <c r="K11" s="91" t="s">
        <v>76</v>
      </c>
      <c r="L11" s="184">
        <f>Assumptions!D15</f>
        <v>8.2987551867219955E-2</v>
      </c>
      <c r="M11" s="106"/>
      <c r="N11" s="106"/>
      <c r="O11" s="106"/>
      <c r="P11" s="254"/>
      <c r="R11" s="311" t="s">
        <v>134</v>
      </c>
      <c r="S11" s="268">
        <v>1.04</v>
      </c>
      <c r="U11" s="342">
        <f t="shared" si="0"/>
        <v>81564.640788657634</v>
      </c>
      <c r="V11" s="342">
        <f t="shared" si="0"/>
        <v>111142.10716805348</v>
      </c>
      <c r="W11" s="342">
        <f t="shared" si="0"/>
        <v>75307.033686575218</v>
      </c>
      <c r="X11" s="342">
        <f t="shared" si="0"/>
        <v>101010.47137150071</v>
      </c>
    </row>
    <row r="12" spans="1:24" x14ac:dyDescent="0.25">
      <c r="B12" s="133">
        <f t="shared" si="1"/>
        <v>2031</v>
      </c>
      <c r="C12" s="212" cm="1">
        <f t="array" ref="C12">TREND($L$27:$M$27,$L$26:$M$26,$B12)</f>
        <v>1134253.1545930617</v>
      </c>
      <c r="D12" s="213" cm="1">
        <f t="array" ref="D12">TREND($N$27:$O$27,$N$26:$O$26,$B12)</f>
        <v>1036669.8597277254</v>
      </c>
      <c r="E12" s="220">
        <f t="shared" si="4"/>
        <v>33930858.374972321</v>
      </c>
      <c r="F12" s="211">
        <f t="shared" si="5"/>
        <v>31011682.047861453</v>
      </c>
      <c r="G12" s="211">
        <f t="shared" si="6"/>
        <v>2919176.3271108679</v>
      </c>
      <c r="H12" s="186">
        <f>G12*(1+0.07)^-(B12-Assumptions!$D$4)</f>
        <v>1386879.6443955468</v>
      </c>
      <c r="K12" s="106"/>
      <c r="L12" s="109"/>
      <c r="M12" s="45"/>
      <c r="N12" s="45"/>
      <c r="O12" s="45"/>
      <c r="P12" s="37"/>
      <c r="R12" s="311" t="s">
        <v>135</v>
      </c>
      <c r="S12" s="268">
        <v>0.96</v>
      </c>
      <c r="U12" s="342">
        <f t="shared" si="0"/>
        <v>75290.437651068583</v>
      </c>
      <c r="V12" s="342">
        <f t="shared" si="0"/>
        <v>102592.71430897244</v>
      </c>
      <c r="W12" s="342">
        <f t="shared" si="0"/>
        <v>69514.184941454048</v>
      </c>
      <c r="X12" s="342">
        <f t="shared" si="0"/>
        <v>93240.435112154504</v>
      </c>
    </row>
    <row r="13" spans="1:24" ht="15" customHeight="1" x14ac:dyDescent="0.25">
      <c r="B13" s="133">
        <f t="shared" si="1"/>
        <v>2032</v>
      </c>
      <c r="C13" s="212" cm="1">
        <f t="array" ref="C13">TREND($L$27:$M$27,$L$26:$M$26,$B13)</f>
        <v>1150477.4241546504</v>
      </c>
      <c r="D13" s="213" cm="1">
        <f t="array" ref="D13">TREND($N$27:$O$27,$N$26:$O$26,$B13)</f>
        <v>1050769.0897398777</v>
      </c>
      <c r="E13" s="220">
        <f t="shared" si="4"/>
        <v>34416202.753784426</v>
      </c>
      <c r="F13" s="211">
        <f t="shared" si="5"/>
        <v>31433456.476965982</v>
      </c>
      <c r="G13" s="211">
        <f t="shared" si="6"/>
        <v>2982746.2768184431</v>
      </c>
      <c r="H13" s="186">
        <f>G13*(1+0.07)^-(B13-Assumptions!$D$4)</f>
        <v>1324375.0182881656</v>
      </c>
      <c r="K13" s="505" t="s">
        <v>113</v>
      </c>
      <c r="L13" s="505"/>
      <c r="M13" s="45"/>
      <c r="N13" s="45"/>
      <c r="O13" s="45"/>
      <c r="P13" s="37"/>
      <c r="R13" s="311" t="s">
        <v>136</v>
      </c>
      <c r="S13" s="268">
        <v>0.93</v>
      </c>
      <c r="U13" s="342">
        <f t="shared" si="0"/>
        <v>72937.611474472695</v>
      </c>
      <c r="V13" s="342">
        <f t="shared" si="0"/>
        <v>99386.691986817052</v>
      </c>
      <c r="W13" s="342">
        <f t="shared" si="0"/>
        <v>67341.866662033615</v>
      </c>
      <c r="X13" s="342">
        <f t="shared" si="0"/>
        <v>90326.671514899674</v>
      </c>
    </row>
    <row r="14" spans="1:24" x14ac:dyDescent="0.25">
      <c r="B14" s="133">
        <f t="shared" si="1"/>
        <v>2033</v>
      </c>
      <c r="C14" s="212" cm="1">
        <f t="array" ref="C14">TREND($L$27:$M$27,$L$26:$M$26,$B14)</f>
        <v>1166701.6937162429</v>
      </c>
      <c r="D14" s="213" cm="1">
        <f t="array" ref="D14">TREND($N$27:$O$27,$N$26:$O$26,$B14)</f>
        <v>1064868.3197520301</v>
      </c>
      <c r="E14" s="220">
        <f t="shared" si="4"/>
        <v>34901547.132596649</v>
      </c>
      <c r="F14" s="211">
        <f t="shared" si="5"/>
        <v>31855230.906070512</v>
      </c>
      <c r="G14" s="211">
        <f t="shared" si="6"/>
        <v>3046316.2265261374</v>
      </c>
      <c r="H14" s="186">
        <f>G14*(1+0.07)^-(B14-Assumptions!$D$4)</f>
        <v>1264112.9310343119</v>
      </c>
      <c r="K14" s="91" t="s">
        <v>95</v>
      </c>
      <c r="L14" s="255">
        <f>Assumptions!D16</f>
        <v>1.67</v>
      </c>
      <c r="M14" s="80"/>
      <c r="N14" s="45"/>
      <c r="O14" s="199"/>
      <c r="P14" s="37"/>
      <c r="R14" s="311" t="s">
        <v>137</v>
      </c>
      <c r="S14" s="268">
        <v>1.06</v>
      </c>
      <c r="U14" s="342">
        <f t="shared" si="0"/>
        <v>83133.191573054894</v>
      </c>
      <c r="V14" s="342">
        <f t="shared" si="0"/>
        <v>113279.45538282374</v>
      </c>
      <c r="W14" s="342">
        <f t="shared" si="0"/>
        <v>76755.245872855521</v>
      </c>
      <c r="X14" s="342">
        <f t="shared" si="0"/>
        <v>102952.98043633727</v>
      </c>
    </row>
    <row r="15" spans="1:24" x14ac:dyDescent="0.25">
      <c r="B15" s="133">
        <f t="shared" si="1"/>
        <v>2034</v>
      </c>
      <c r="C15" s="212" cm="1">
        <f t="array" ref="C15">TREND($L$27:$M$27,$L$26:$M$26,$B15)</f>
        <v>1182925.9632778354</v>
      </c>
      <c r="D15" s="213" cm="1">
        <f t="array" ref="D15">TREND($N$27:$O$27,$N$26:$O$26,$B15)</f>
        <v>1078967.5497641824</v>
      </c>
      <c r="E15" s="220">
        <f t="shared" si="4"/>
        <v>35386891.511408865</v>
      </c>
      <c r="F15" s="211">
        <f t="shared" si="5"/>
        <v>32277005.335175041</v>
      </c>
      <c r="G15" s="211">
        <f t="shared" si="6"/>
        <v>3109886.1762338243</v>
      </c>
      <c r="H15" s="186">
        <f>G15*(1+0.07)^-(B15-Assumptions!$D$4)</f>
        <v>1206067.47674492</v>
      </c>
      <c r="K15" s="91" t="s">
        <v>75</v>
      </c>
      <c r="L15" s="255">
        <f>Assumptions!D17</f>
        <v>1</v>
      </c>
      <c r="M15" s="45"/>
      <c r="N15" s="45"/>
      <c r="O15" s="199"/>
      <c r="P15" s="37"/>
      <c r="R15" s="311" t="s">
        <v>138</v>
      </c>
      <c r="S15" s="268">
        <v>1.06</v>
      </c>
      <c r="U15" s="342">
        <f t="shared" si="0"/>
        <v>83133.191573054894</v>
      </c>
      <c r="V15" s="342">
        <f t="shared" si="0"/>
        <v>113279.45538282374</v>
      </c>
      <c r="W15" s="342">
        <f t="shared" si="0"/>
        <v>76755.245872855521</v>
      </c>
      <c r="X15" s="342">
        <f t="shared" si="0"/>
        <v>102952.98043633727</v>
      </c>
    </row>
    <row r="16" spans="1:24" x14ac:dyDescent="0.25">
      <c r="B16" s="133">
        <f t="shared" si="1"/>
        <v>2035</v>
      </c>
      <c r="C16" s="212" cm="1">
        <f t="array" ref="C16">TREND($L$27:$M$27,$L$26:$M$26,$B16)</f>
        <v>1199150.2328394279</v>
      </c>
      <c r="D16" s="213" cm="1">
        <f t="array" ref="D16">TREND($N$27:$O$27,$N$26:$O$26,$B16)</f>
        <v>1093066.7797763348</v>
      </c>
      <c r="E16" s="220">
        <f t="shared" si="4"/>
        <v>35872235.890221082</v>
      </c>
      <c r="F16" s="211">
        <f t="shared" si="5"/>
        <v>32698779.76427957</v>
      </c>
      <c r="G16" s="211">
        <f t="shared" si="6"/>
        <v>3173456.1259415112</v>
      </c>
      <c r="H16" s="186">
        <f>G16*(1+0.07)^-(B16-Assumptions!$D$4)</f>
        <v>1150206.5413571636</v>
      </c>
      <c r="K16" s="106"/>
      <c r="L16" s="109"/>
      <c r="M16" s="199"/>
      <c r="N16" s="199"/>
      <c r="O16" s="199"/>
      <c r="P16" s="37"/>
      <c r="R16" s="311" t="s">
        <v>139</v>
      </c>
      <c r="S16" s="268">
        <v>1.03</v>
      </c>
      <c r="U16" s="342">
        <f t="shared" si="0"/>
        <v>80780.36539645899</v>
      </c>
      <c r="V16" s="342">
        <f t="shared" si="0"/>
        <v>110073.43306066837</v>
      </c>
      <c r="W16" s="342">
        <f t="shared" si="0"/>
        <v>74582.927593435074</v>
      </c>
      <c r="X16" s="342">
        <f t="shared" si="0"/>
        <v>100039.21683908244</v>
      </c>
    </row>
    <row r="17" spans="2:24" x14ac:dyDescent="0.25">
      <c r="B17" s="133">
        <f t="shared" si="1"/>
        <v>2036</v>
      </c>
      <c r="C17" s="212" cm="1">
        <f t="array" ref="C17">TREND($L$27:$M$27,$L$26:$M$26,$B17)</f>
        <v>1215374.5024010204</v>
      </c>
      <c r="D17" s="213" cm="1">
        <f t="array" ref="D17">TREND($N$27:$O$27,$N$26:$O$26,$B17)</f>
        <v>1107166.0097884871</v>
      </c>
      <c r="E17" s="220">
        <f t="shared" si="4"/>
        <v>36357580.269033305</v>
      </c>
      <c r="F17" s="211">
        <f t="shared" si="5"/>
        <v>33120554.1933841</v>
      </c>
      <c r="G17" s="211">
        <f t="shared" si="6"/>
        <v>3237026.0756492056</v>
      </c>
      <c r="H17" s="186">
        <f>G17*(1+0.07)^-(B17-Assumptions!$D$4)</f>
        <v>1096492.7257921332</v>
      </c>
      <c r="K17" s="98" t="s">
        <v>74</v>
      </c>
      <c r="L17" s="105"/>
      <c r="M17" s="199"/>
      <c r="N17" s="199"/>
      <c r="O17" s="199"/>
      <c r="P17" s="45"/>
      <c r="Q17" s="49"/>
      <c r="R17" s="311" t="s">
        <v>140</v>
      </c>
      <c r="S17" s="268">
        <v>1.02</v>
      </c>
      <c r="U17" s="342">
        <f t="shared" si="0"/>
        <v>79996.090004260375</v>
      </c>
      <c r="V17" s="342">
        <f t="shared" si="0"/>
        <v>109004.75895328322</v>
      </c>
      <c r="W17" s="342">
        <f t="shared" si="0"/>
        <v>73858.821500294929</v>
      </c>
      <c r="X17" s="342">
        <f t="shared" si="0"/>
        <v>99067.962306664165</v>
      </c>
    </row>
    <row r="18" spans="2:24" x14ac:dyDescent="0.25">
      <c r="B18" s="133">
        <f t="shared" si="1"/>
        <v>2037</v>
      </c>
      <c r="C18" s="212" cm="1">
        <f t="array" ref="C18">TREND($L$27:$M$27,$L$26:$M$26,$B18)</f>
        <v>1231598.7719626091</v>
      </c>
      <c r="D18" s="213" cm="1">
        <f t="array" ref="D18">TREND($N$27:$O$27,$N$26:$O$26,$B18)</f>
        <v>1121265.2398006395</v>
      </c>
      <c r="E18" s="220">
        <f t="shared" si="4"/>
        <v>36842924.64784541</v>
      </c>
      <c r="F18" s="211">
        <f t="shared" si="5"/>
        <v>33542328.622488633</v>
      </c>
      <c r="G18" s="211">
        <f t="shared" si="6"/>
        <v>3300596.025356777</v>
      </c>
      <c r="H18" s="186">
        <f>G18*(1+0.07)^-(B18-Assumptions!$D$4)</f>
        <v>1044884.1748955864</v>
      </c>
      <c r="K18" s="112" t="s">
        <v>73</v>
      </c>
      <c r="L18" s="256">
        <f>L10*L6*L14+L11*L7*L15</f>
        <v>29.914713692946055</v>
      </c>
      <c r="M18" s="111"/>
      <c r="N18" s="199"/>
      <c r="O18" s="110"/>
      <c r="P18" s="45"/>
      <c r="Q18" s="49"/>
      <c r="T18" s="121" t="s">
        <v>7</v>
      </c>
      <c r="U18" s="343">
        <f>SUM(U6:U17)</f>
        <v>939561.91985396005</v>
      </c>
      <c r="V18" s="343">
        <f t="shared" ref="V18:X18" si="7">SUM(V6:V17)</f>
        <v>1280271.5806473854</v>
      </c>
      <c r="W18" s="343">
        <f t="shared" si="7"/>
        <v>867479.09958189551</v>
      </c>
      <c r="X18" s="343">
        <f t="shared" si="7"/>
        <v>1163562.9298370949</v>
      </c>
    </row>
    <row r="19" spans="2:24" x14ac:dyDescent="0.25">
      <c r="B19" s="133">
        <f t="shared" si="1"/>
        <v>2038</v>
      </c>
      <c r="C19" s="212" cm="1">
        <f t="array" ref="C19">TREND($L$27:$M$27,$L$26:$M$26,$B19)</f>
        <v>1247823.0415242016</v>
      </c>
      <c r="D19" s="213" cm="1">
        <f t="array" ref="D19">TREND($N$27:$O$27,$N$26:$O$26,$B19)</f>
        <v>1135364.4698127918</v>
      </c>
      <c r="E19" s="220">
        <f t="shared" si="4"/>
        <v>37328269.026657626</v>
      </c>
      <c r="F19" s="211">
        <f t="shared" si="5"/>
        <v>33964103.051593162</v>
      </c>
      <c r="G19" s="211">
        <f t="shared" si="6"/>
        <v>3364165.9750644639</v>
      </c>
      <c r="H19" s="186">
        <f>G19*(1+0.07)^-(B19-Assumptions!$D$4)</f>
        <v>995335.3205384406</v>
      </c>
      <c r="K19" s="106"/>
      <c r="L19" s="109"/>
      <c r="M19" s="108"/>
      <c r="N19" s="107"/>
      <c r="O19" s="107"/>
      <c r="P19" s="45"/>
      <c r="Q19" s="49"/>
    </row>
    <row r="20" spans="2:24" ht="14.25" customHeight="1" x14ac:dyDescent="0.25">
      <c r="B20" s="133">
        <f t="shared" si="1"/>
        <v>2039</v>
      </c>
      <c r="C20" s="212" cm="1">
        <f t="array" ref="C20">TREND($L$27:$M$27,$L$26:$M$26,$B20)</f>
        <v>1264047.3110857941</v>
      </c>
      <c r="D20" s="213" cm="1">
        <f t="array" ref="D20">TREND($N$27:$O$27,$N$26:$O$26,$B20)</f>
        <v>1149463.6998249441</v>
      </c>
      <c r="E20" s="220">
        <f t="shared" si="4"/>
        <v>37813613.40546985</v>
      </c>
      <c r="F20" s="211">
        <f t="shared" si="5"/>
        <v>34385877.480697691</v>
      </c>
      <c r="G20" s="211">
        <f t="shared" si="6"/>
        <v>3427735.9247721583</v>
      </c>
      <c r="H20" s="186">
        <f>G20*(1+0.07)^-(B20-Assumptions!$D$4)</f>
        <v>947797.54656011774</v>
      </c>
      <c r="J20" s="102"/>
      <c r="K20" s="40" t="s">
        <v>313</v>
      </c>
      <c r="L20" s="490" t="s">
        <v>43</v>
      </c>
      <c r="M20" s="491"/>
      <c r="N20" s="490" t="s">
        <v>44</v>
      </c>
      <c r="O20" s="491"/>
    </row>
    <row r="21" spans="2:24" x14ac:dyDescent="0.25">
      <c r="B21" s="133">
        <f t="shared" si="1"/>
        <v>2040</v>
      </c>
      <c r="C21" s="212" cm="1">
        <f t="array" ref="C21">TREND($L$27:$M$27,$L$26:$M$26,$B21)</f>
        <v>1280271.5806473866</v>
      </c>
      <c r="D21" s="213" cm="1">
        <f t="array" ref="D21">TREND($N$27:$O$27,$N$26:$O$26,$B21)</f>
        <v>1163562.9298370965</v>
      </c>
      <c r="E21" s="220">
        <f t="shared" si="4"/>
        <v>38298957.784282066</v>
      </c>
      <c r="F21" s="211">
        <f t="shared" si="5"/>
        <v>34807651.909802221</v>
      </c>
      <c r="G21" s="211">
        <f t="shared" si="6"/>
        <v>3491305.8744798452</v>
      </c>
      <c r="H21" s="186">
        <f>G21*(1+0.07)^-(B21-Assumptions!$D$4)</f>
        <v>902219.7826012834</v>
      </c>
      <c r="I21" s="52"/>
      <c r="J21" s="102"/>
      <c r="K21" s="38" t="s">
        <v>84</v>
      </c>
      <c r="L21" s="76">
        <v>2019</v>
      </c>
      <c r="M21" s="76">
        <v>2040</v>
      </c>
      <c r="N21" s="76">
        <v>2019</v>
      </c>
      <c r="O21" s="76">
        <v>2040</v>
      </c>
    </row>
    <row r="22" spans="2:24" x14ac:dyDescent="0.25">
      <c r="B22" s="133">
        <f t="shared" si="1"/>
        <v>2041</v>
      </c>
      <c r="C22" s="212" cm="1">
        <f t="array" ref="C22">TREND($L$27:$M$27,$L$26:$M$26,$B22)</f>
        <v>1296495.8502089791</v>
      </c>
      <c r="D22" s="213" cm="1">
        <f t="array" ref="D22">TREND($N$27:$O$27,$N$26:$O$26,$B22)</f>
        <v>1177662.1598492488</v>
      </c>
      <c r="E22" s="220">
        <f t="shared" si="4"/>
        <v>38784302.163094282</v>
      </c>
      <c r="F22" s="211">
        <f t="shared" si="5"/>
        <v>35229426.33890675</v>
      </c>
      <c r="G22" s="211">
        <f t="shared" si="6"/>
        <v>3554875.8241875321</v>
      </c>
      <c r="H22" s="186">
        <f>G22*(1+0.07)^-(B22-Assumptions!$D$4)</f>
        <v>858549.03328380524</v>
      </c>
      <c r="I22" s="49"/>
      <c r="J22" s="102"/>
      <c r="K22" s="200" t="s">
        <v>112</v>
      </c>
      <c r="L22" s="303">
        <v>2501.0864562170045</v>
      </c>
      <c r="M22" s="303">
        <v>3408.0456465651805</v>
      </c>
      <c r="N22" s="138">
        <v>2309.2040888085762</v>
      </c>
      <c r="O22" s="138">
        <v>3097.3706184517073</v>
      </c>
      <c r="P22" s="49"/>
      <c r="Q22" s="49"/>
    </row>
    <row r="23" spans="2:24" x14ac:dyDescent="0.25">
      <c r="B23" s="133">
        <f t="shared" si="1"/>
        <v>2042</v>
      </c>
      <c r="C23" s="212" cm="1">
        <f t="array" ref="C23">TREND($L$27:$M$27,$L$26:$M$26,$B23)</f>
        <v>1312720.1197705679</v>
      </c>
      <c r="D23" s="213" cm="1">
        <f t="array" ref="D23">TREND($N$27:$O$27,$N$26:$O$26,$B23)</f>
        <v>1191761.3898614012</v>
      </c>
      <c r="E23" s="220">
        <f t="shared" si="4"/>
        <v>39269646.541906394</v>
      </c>
      <c r="F23" s="211">
        <f t="shared" si="5"/>
        <v>35651200.768011279</v>
      </c>
      <c r="G23" s="211">
        <f t="shared" si="6"/>
        <v>3618445.7738951147</v>
      </c>
      <c r="H23" s="186">
        <f>G23*(1+0.07)^-(B23-Assumptions!$D$4)</f>
        <v>816730.84865580662</v>
      </c>
      <c r="I23" s="49"/>
      <c r="J23" s="102"/>
      <c r="K23" s="200" t="s">
        <v>7</v>
      </c>
      <c r="L23" s="304">
        <f>SUM(L22:L22)</f>
        <v>2501.0864562170045</v>
      </c>
      <c r="M23" s="304">
        <f>SUM(M22:M22)</f>
        <v>3408.0456465651805</v>
      </c>
      <c r="N23" s="304">
        <f>SUM(N22:N22)</f>
        <v>2309.2040888085762</v>
      </c>
      <c r="O23" s="304">
        <f>SUM(O22:O22)</f>
        <v>3097.3706184517073</v>
      </c>
      <c r="P23" s="49"/>
      <c r="Q23" s="49"/>
    </row>
    <row r="24" spans="2:24" x14ac:dyDescent="0.25">
      <c r="B24" s="133">
        <f t="shared" si="1"/>
        <v>2043</v>
      </c>
      <c r="C24" s="212" cm="1">
        <f t="array" ref="C24">TREND($L$27:$M$27,$L$26:$M$26,$B24)</f>
        <v>1328944.3893321604</v>
      </c>
      <c r="D24" s="213" cm="1">
        <f t="array" ref="D24">TREND($N$27:$O$27,$N$26:$O$26,$B24)</f>
        <v>1205860.6198735535</v>
      </c>
      <c r="E24" s="220">
        <f t="shared" si="2"/>
        <v>39754990.92071861</v>
      </c>
      <c r="F24" s="211">
        <f t="shared" si="2"/>
        <v>36072975.197115809</v>
      </c>
      <c r="G24" s="211">
        <f t="shared" si="3"/>
        <v>3682015.7236028016</v>
      </c>
      <c r="H24" s="186">
        <f>G24*(1+0.07)^-(B24-Assumptions!$D$4)</f>
        <v>776709.741322077</v>
      </c>
      <c r="I24" s="102"/>
      <c r="J24" s="102"/>
      <c r="P24" s="49"/>
      <c r="Q24" s="49"/>
    </row>
    <row r="25" spans="2:24" ht="15" customHeight="1" x14ac:dyDescent="0.25">
      <c r="B25" s="133">
        <f t="shared" si="1"/>
        <v>2044</v>
      </c>
      <c r="C25" s="212" cm="1">
        <f t="array" ref="C25">TREND($L$27:$M$27,$L$26:$M$26,$B25)</f>
        <v>1345168.6588937528</v>
      </c>
      <c r="D25" s="213" cm="1">
        <f t="array" ref="D25">TREND($N$27:$O$27,$N$26:$O$26,$B25)</f>
        <v>1219959.8498857059</v>
      </c>
      <c r="E25" s="220">
        <f t="shared" si="2"/>
        <v>40240335.299530827</v>
      </c>
      <c r="F25" s="211">
        <f t="shared" si="2"/>
        <v>36494749.626220338</v>
      </c>
      <c r="G25" s="211">
        <f t="shared" si="3"/>
        <v>3745585.6733104885</v>
      </c>
      <c r="H25" s="186">
        <f>G25*(1+0.07)^-(B25-Assumptions!$D$4)</f>
        <v>738429.55522179941</v>
      </c>
      <c r="I25" s="102"/>
      <c r="K25" s="40" t="s">
        <v>232</v>
      </c>
      <c r="L25" s="490" t="s">
        <v>43</v>
      </c>
      <c r="M25" s="491"/>
      <c r="N25" s="490" t="s">
        <v>44</v>
      </c>
      <c r="O25" s="491"/>
      <c r="Q25" s="49"/>
    </row>
    <row r="26" spans="2:24" ht="15" customHeight="1" x14ac:dyDescent="0.25">
      <c r="B26" s="133">
        <f t="shared" si="1"/>
        <v>2045</v>
      </c>
      <c r="C26" s="212" cm="1">
        <f t="array" ref="C26">TREND($L$27:$M$27,$L$26:$M$26,$B26)</f>
        <v>1361392.9284553453</v>
      </c>
      <c r="D26" s="213" cm="1">
        <f t="array" ref="D26">TREND($N$27:$O$27,$N$26:$O$26,$B26)</f>
        <v>1234059.0798978582</v>
      </c>
      <c r="E26" s="220">
        <f t="shared" si="2"/>
        <v>40725679.67834305</v>
      </c>
      <c r="F26" s="211">
        <f t="shared" si="2"/>
        <v>36916524.055324867</v>
      </c>
      <c r="G26" s="211">
        <f t="shared" si="3"/>
        <v>3809155.6230181828</v>
      </c>
      <c r="H26" s="186">
        <f>G26*(1+0.07)^-(B26-Assumptions!$D$4)</f>
        <v>701833.79059531423</v>
      </c>
      <c r="I26" s="102"/>
      <c r="K26" s="38" t="s">
        <v>84</v>
      </c>
      <c r="L26" s="76">
        <v>2019</v>
      </c>
      <c r="M26" s="76">
        <v>2040</v>
      </c>
      <c r="N26" s="76">
        <v>2019</v>
      </c>
      <c r="O26" s="76">
        <v>2040</v>
      </c>
      <c r="Q26" s="49"/>
    </row>
    <row r="27" spans="2:24" x14ac:dyDescent="0.25">
      <c r="B27" s="133">
        <f t="shared" si="1"/>
        <v>2046</v>
      </c>
      <c r="C27" s="212" cm="1">
        <f t="array" ref="C27">TREND($L$27:$M$27,$L$26:$M$26,$B27)</f>
        <v>1377617.1980169341</v>
      </c>
      <c r="D27" s="213" cm="1">
        <f t="array" ref="D27">TREND($N$27:$O$27,$N$26:$O$26,$B27)</f>
        <v>1248158.3099100105</v>
      </c>
      <c r="E27" s="220">
        <f t="shared" si="2"/>
        <v>41211024.057155155</v>
      </c>
      <c r="F27" s="211">
        <f t="shared" si="2"/>
        <v>37338298.484429397</v>
      </c>
      <c r="G27" s="211">
        <f t="shared" si="3"/>
        <v>3872725.572725758</v>
      </c>
      <c r="H27" s="186">
        <f>G27*(1+0.07)^-(B27-Assumptions!$D$4)</f>
        <v>666865.88929351885</v>
      </c>
      <c r="I27" s="102"/>
      <c r="K27" s="305" t="s">
        <v>112</v>
      </c>
      <c r="L27" s="303">
        <f>U18</f>
        <v>939561.91985396005</v>
      </c>
      <c r="M27" s="303">
        <f>V18</f>
        <v>1280271.5806473854</v>
      </c>
      <c r="N27" s="138">
        <f>W18</f>
        <v>867479.09958189551</v>
      </c>
      <c r="O27" s="138">
        <f>X18</f>
        <v>1163562.9298370949</v>
      </c>
      <c r="Q27" s="49"/>
    </row>
    <row r="28" spans="2:24" x14ac:dyDescent="0.25">
      <c r="B28" s="133">
        <f t="shared" si="1"/>
        <v>2047</v>
      </c>
      <c r="C28" s="212" cm="1">
        <f t="array" ref="C28">TREND($L$27:$M$27,$L$26:$M$26,$B28)</f>
        <v>1393841.4675785266</v>
      </c>
      <c r="D28" s="213" cm="1">
        <f t="array" ref="D28">TREND($N$27:$O$27,$N$26:$O$26,$B28)</f>
        <v>1262257.5399221629</v>
      </c>
      <c r="E28" s="220">
        <f t="shared" si="2"/>
        <v>41696368.435967371</v>
      </c>
      <c r="F28" s="211">
        <f t="shared" si="2"/>
        <v>37760072.913533926</v>
      </c>
      <c r="G28" s="211">
        <f t="shared" si="3"/>
        <v>3936295.5224334449</v>
      </c>
      <c r="H28" s="186">
        <f>G28*(1+0.07)^-(B28-Assumptions!$D$4)</f>
        <v>633469.48422817409</v>
      </c>
      <c r="I28" s="102"/>
      <c r="K28" s="305" t="s">
        <v>7</v>
      </c>
      <c r="L28" s="304">
        <f>SUM(L27:L27)</f>
        <v>939561.91985396005</v>
      </c>
      <c r="M28" s="304">
        <f>SUM(M27:M27)</f>
        <v>1280271.5806473854</v>
      </c>
      <c r="N28" s="304">
        <f>SUM(N27:N27)</f>
        <v>867479.09958189551</v>
      </c>
      <c r="O28" s="304">
        <f>SUM(O27:O27)</f>
        <v>1163562.9298370949</v>
      </c>
      <c r="Q28" s="49"/>
    </row>
    <row r="29" spans="2:24" ht="15" customHeight="1" x14ac:dyDescent="0.25">
      <c r="B29" s="133">
        <f t="shared" si="1"/>
        <v>2048</v>
      </c>
      <c r="C29" s="212" cm="1">
        <f t="array" ref="C29">TREND($L$27:$M$27,$L$26:$M$26,$B29)</f>
        <v>1410065.7371401191</v>
      </c>
      <c r="D29" s="213" cm="1">
        <f t="array" ref="D29">TREND($N$27:$O$27,$N$26:$O$26,$B29)</f>
        <v>1276356.7699343152</v>
      </c>
      <c r="E29" s="220">
        <f t="shared" si="2"/>
        <v>42181712.814779595</v>
      </c>
      <c r="F29" s="211">
        <f t="shared" si="2"/>
        <v>38181847.342638455</v>
      </c>
      <c r="G29" s="211">
        <f t="shared" si="3"/>
        <v>3999865.4721411392</v>
      </c>
      <c r="H29" s="186">
        <f>G29*(1+0.07)^-(B29-Assumptions!$D$4)</f>
        <v>601588.61643355328</v>
      </c>
      <c r="K29" s="102"/>
      <c r="M29" s="99"/>
      <c r="N29" s="99"/>
      <c r="O29" s="49"/>
      <c r="Q29" s="49"/>
    </row>
    <row r="30" spans="2:24" x14ac:dyDescent="0.25">
      <c r="B30" s="133">
        <f t="shared" si="1"/>
        <v>2049</v>
      </c>
      <c r="C30" s="212" cm="1">
        <f t="array" ref="C30">TREND($L$27:$M$27,$L$26:$M$26,$B30)</f>
        <v>1426290.0067017116</v>
      </c>
      <c r="D30" s="213" cm="1">
        <f t="array" ref="D30">TREND($N$27:$O$27,$N$26:$O$26,$B30)</f>
        <v>1290455.9999464676</v>
      </c>
      <c r="E30" s="220">
        <f t="shared" si="2"/>
        <v>42667057.193591811</v>
      </c>
      <c r="F30" s="211">
        <f t="shared" si="2"/>
        <v>38603621.771742985</v>
      </c>
      <c r="G30" s="211">
        <f t="shared" si="3"/>
        <v>4063435.4218488261</v>
      </c>
      <c r="H30" s="186">
        <f>G30*(1+0.07)^-(B30-Assumptions!$D$4)</f>
        <v>571167.92290997354</v>
      </c>
      <c r="K30" s="102"/>
      <c r="M30" s="99"/>
      <c r="N30" s="99"/>
      <c r="O30" s="49"/>
      <c r="Q30" s="49"/>
    </row>
    <row r="31" spans="2:24" x14ac:dyDescent="0.25">
      <c r="B31" s="133">
        <f t="shared" si="1"/>
        <v>2050</v>
      </c>
      <c r="C31" s="212" cm="1">
        <f t="array" ref="C31">TREND($L$27:$M$27,$L$26:$M$26,$B31)</f>
        <v>1442514.2762633041</v>
      </c>
      <c r="D31" s="213" cm="1">
        <f t="array" ref="D31">TREND($N$27:$O$27,$N$26:$O$26,$B31)</f>
        <v>1304555.2299586199</v>
      </c>
      <c r="E31" s="220">
        <f t="shared" si="2"/>
        <v>43152401.572404027</v>
      </c>
      <c r="F31" s="211">
        <f t="shared" si="2"/>
        <v>39025396.200847514</v>
      </c>
      <c r="G31" s="211">
        <f t="shared" si="3"/>
        <v>4127005.371556513</v>
      </c>
      <c r="H31" s="186">
        <f>G31*(1+0.07)^-(B31-Assumptions!$D$4)</f>
        <v>542152.79814288591</v>
      </c>
      <c r="K31" s="102"/>
      <c r="M31" s="99"/>
      <c r="N31" s="99"/>
      <c r="O31" s="49"/>
    </row>
    <row r="32" spans="2:24" x14ac:dyDescent="0.25">
      <c r="B32" s="133">
        <f t="shared" si="1"/>
        <v>2051</v>
      </c>
      <c r="C32" s="212" cm="1">
        <f t="array" ref="C32">TREND($L$27:$M$27,$L$26:$M$26,$B32)</f>
        <v>1458738.5458248928</v>
      </c>
      <c r="D32" s="213" cm="1">
        <f t="array" ref="D32">TREND($N$27:$O$27,$N$26:$O$26,$B32)</f>
        <v>1318654.4599707723</v>
      </c>
      <c r="E32" s="220">
        <f t="shared" si="2"/>
        <v>43637745.951216139</v>
      </c>
      <c r="F32" s="211">
        <f t="shared" si="2"/>
        <v>39447170.629952043</v>
      </c>
      <c r="G32" s="211">
        <f t="shared" si="3"/>
        <v>4190575.3212640956</v>
      </c>
      <c r="H32" s="186">
        <f>G32*(1+0.07)^-(B32-Assumptions!$D$4)</f>
        <v>514489.53193797491</v>
      </c>
      <c r="K32" s="102"/>
      <c r="M32" s="99"/>
      <c r="N32" s="99"/>
      <c r="O32" s="49"/>
    </row>
    <row r="33" spans="1:15" x14ac:dyDescent="0.25">
      <c r="B33" s="133">
        <f t="shared" si="1"/>
        <v>2052</v>
      </c>
      <c r="C33" s="212" cm="1">
        <f t="array" ref="C33">TREND($L$27:$M$27,$L$26:$M$26,$B33)</f>
        <v>1474962.8153864853</v>
      </c>
      <c r="D33" s="213" cm="1">
        <f t="array" ref="D33">TREND($N$27:$O$27,$N$26:$O$26,$B33)</f>
        <v>1332753.6899829246</v>
      </c>
      <c r="E33" s="220">
        <f t="shared" si="2"/>
        <v>44123090.330028355</v>
      </c>
      <c r="F33" s="211">
        <f t="shared" si="2"/>
        <v>39868945.05905658</v>
      </c>
      <c r="G33" s="211">
        <f t="shared" si="3"/>
        <v>4254145.2709717751</v>
      </c>
      <c r="H33" s="186">
        <f>G33*(1+0.07)^-(B33-Assumptions!$D$4)</f>
        <v>488125.42597990506</v>
      </c>
      <c r="K33" s="102"/>
      <c r="M33" s="99"/>
      <c r="N33" s="99"/>
      <c r="O33" s="49"/>
    </row>
    <row r="34" spans="1:15" x14ac:dyDescent="0.25">
      <c r="B34" s="133">
        <f t="shared" si="1"/>
        <v>2053</v>
      </c>
      <c r="C34" s="212" cm="1">
        <f t="array" ref="C34">TREND($L$27:$M$27,$L$26:$M$26,$B34)</f>
        <v>1491187.0849480778</v>
      </c>
      <c r="D34" s="213" cm="1">
        <f t="array" ref="D34">TREND($N$27:$O$27,$N$26:$O$26,$B34)</f>
        <v>1346852.919995077</v>
      </c>
      <c r="E34" s="220">
        <f t="shared" si="2"/>
        <v>44608434.708840579</v>
      </c>
      <c r="F34" s="211">
        <f t="shared" si="2"/>
        <v>40290719.488161109</v>
      </c>
      <c r="G34" s="211">
        <f t="shared" si="3"/>
        <v>4317715.2206794694</v>
      </c>
      <c r="H34" s="186">
        <f>G34*(1+0.07)^-(B34-Assumptions!$D$4)</f>
        <v>463008.89130843192</v>
      </c>
      <c r="K34" s="102"/>
      <c r="M34" s="99"/>
      <c r="N34" s="99"/>
      <c r="O34" s="49"/>
    </row>
    <row r="35" spans="1:15" ht="15.75" thickBot="1" x14ac:dyDescent="0.3">
      <c r="B35" s="134">
        <f t="shared" si="1"/>
        <v>2054</v>
      </c>
      <c r="C35" s="214" cm="1">
        <f t="array" ref="C35">TREND($L$27:$M$27,$L$26:$M$26,$B35)</f>
        <v>1507411.3545096703</v>
      </c>
      <c r="D35" s="215" cm="1">
        <f t="array" ref="D35">TREND($N$27:$O$27,$N$26:$O$26,$B35)</f>
        <v>1360952.1500072293</v>
      </c>
      <c r="E35" s="221">
        <f t="shared" si="2"/>
        <v>45093779.087652795</v>
      </c>
      <c r="F35" s="222">
        <f t="shared" si="2"/>
        <v>40712493.917265639</v>
      </c>
      <c r="G35" s="222">
        <f t="shared" si="3"/>
        <v>4381285.1703871563</v>
      </c>
      <c r="H35" s="187">
        <f>G35*(1+0.07)^-(B35-Assumptions!$D$4)</f>
        <v>439089.52871005196</v>
      </c>
      <c r="K35" s="102"/>
      <c r="M35" s="99"/>
      <c r="N35" s="99"/>
      <c r="O35" s="49"/>
    </row>
    <row r="36" spans="1:15" ht="15" customHeight="1" thickBot="1" x14ac:dyDescent="0.3">
      <c r="B36" s="4"/>
      <c r="C36" s="216"/>
      <c r="D36" s="216"/>
      <c r="E36" s="104"/>
      <c r="F36" s="104"/>
      <c r="G36" s="128" t="s">
        <v>2</v>
      </c>
      <c r="H36" s="182">
        <f>SUM(H6:H35)</f>
        <v>29891225.621684685</v>
      </c>
      <c r="K36" s="102"/>
      <c r="M36" s="99"/>
      <c r="N36" s="99"/>
      <c r="O36" s="49"/>
    </row>
    <row r="37" spans="1:15" ht="15" customHeight="1" x14ac:dyDescent="0.25">
      <c r="C37" s="49"/>
      <c r="D37" s="49"/>
      <c r="G37" s="21"/>
      <c r="H37" s="21"/>
      <c r="K37" s="101"/>
      <c r="M37" s="100"/>
      <c r="N37" s="99"/>
    </row>
    <row r="38" spans="1:15" ht="15" customHeight="1" x14ac:dyDescent="0.25">
      <c r="A38" s="37"/>
      <c r="B38" s="40" t="s">
        <v>3</v>
      </c>
      <c r="C38" s="37"/>
      <c r="D38" s="37"/>
      <c r="E38" s="37"/>
      <c r="F38" s="37"/>
    </row>
    <row r="39" spans="1:15" ht="15" customHeight="1" x14ac:dyDescent="0.25">
      <c r="A39" s="13" t="s">
        <v>53</v>
      </c>
      <c r="B39" s="493" t="str">
        <f>Assumptions!C44</f>
        <v>User travel time benefits were valued in accordance with the Benefit-Cost Analysis Guidance for Discretionary Grant Programs - March 2022 (Revised). The recommended values for travel time were provided in year 2020 dollars.</v>
      </c>
      <c r="C39" s="493"/>
      <c r="D39" s="493"/>
      <c r="E39" s="493"/>
      <c r="F39" s="493"/>
      <c r="G39" s="493"/>
      <c r="H39" s="493"/>
    </row>
    <row r="40" spans="1:15" x14ac:dyDescent="0.25">
      <c r="B40" s="493"/>
      <c r="C40" s="493"/>
      <c r="D40" s="493"/>
      <c r="E40" s="493"/>
      <c r="F40" s="493"/>
      <c r="G40" s="493"/>
      <c r="H40" s="493"/>
    </row>
    <row r="41" spans="1:15" ht="15" customHeight="1" x14ac:dyDescent="0.25">
      <c r="B41" s="493"/>
      <c r="C41" s="493"/>
      <c r="D41" s="493"/>
      <c r="E41" s="493"/>
      <c r="F41" s="493"/>
      <c r="G41" s="493"/>
      <c r="H41" s="493"/>
    </row>
    <row r="42" spans="1:15" x14ac:dyDescent="0.25">
      <c r="B42" s="414"/>
      <c r="C42" s="414"/>
      <c r="D42" s="414"/>
      <c r="E42" s="414"/>
      <c r="F42" s="414"/>
      <c r="G42" s="414"/>
      <c r="H42" s="414"/>
    </row>
    <row r="43" spans="1:15" ht="15" customHeight="1" x14ac:dyDescent="0.25">
      <c r="A43" s="13" t="s">
        <v>67</v>
      </c>
      <c r="B43" s="493" t="str">
        <f>Assumptions!C33</f>
        <v>Truck percentage in the project area is estimated based on year 2018 AADT and HCAADT counts performed by MnDOT (https://mndot.maps.arcgis.com/apps/webappviewer/index.html?id=7b3be07daed84e7fa170a91059ce63bb).</v>
      </c>
      <c r="C43" s="493"/>
      <c r="D43" s="493"/>
      <c r="E43" s="493"/>
      <c r="F43" s="493"/>
      <c r="G43" s="493"/>
      <c r="H43" s="493"/>
    </row>
    <row r="44" spans="1:15" x14ac:dyDescent="0.25">
      <c r="B44" s="493"/>
      <c r="C44" s="493"/>
      <c r="D44" s="493"/>
      <c r="E44" s="493"/>
      <c r="F44" s="493"/>
      <c r="G44" s="493"/>
      <c r="H44" s="493"/>
    </row>
    <row r="45" spans="1:15" x14ac:dyDescent="0.25">
      <c r="B45" s="101"/>
      <c r="C45" s="101"/>
      <c r="D45" s="101"/>
      <c r="E45" s="101"/>
      <c r="F45" s="101"/>
    </row>
    <row r="46" spans="1:15" ht="15" customHeight="1" x14ac:dyDescent="0.25">
      <c r="A46" s="13" t="s">
        <v>68</v>
      </c>
      <c r="B46" s="493" t="s">
        <v>149</v>
      </c>
      <c r="C46" s="493"/>
      <c r="D46" s="493"/>
      <c r="E46" s="493"/>
      <c r="F46" s="493"/>
      <c r="G46" s="493"/>
      <c r="H46" s="493"/>
    </row>
    <row r="47" spans="1:15" x14ac:dyDescent="0.25">
      <c r="A47" s="13"/>
      <c r="B47" s="493"/>
      <c r="C47" s="493"/>
      <c r="D47" s="493"/>
      <c r="E47" s="493"/>
      <c r="F47" s="493"/>
      <c r="G47" s="493"/>
      <c r="H47" s="493"/>
    </row>
    <row r="48" spans="1:15" x14ac:dyDescent="0.25">
      <c r="A48" s="13"/>
      <c r="B48" s="493"/>
      <c r="C48" s="493"/>
      <c r="D48" s="493"/>
      <c r="E48" s="493"/>
      <c r="F48" s="493"/>
      <c r="G48" s="493"/>
      <c r="H48" s="493"/>
    </row>
    <row r="49" spans="1:8" x14ac:dyDescent="0.25">
      <c r="A49" s="13"/>
      <c r="B49" s="493"/>
      <c r="C49" s="493"/>
      <c r="D49" s="493"/>
      <c r="E49" s="493"/>
      <c r="F49" s="493"/>
      <c r="G49" s="493"/>
      <c r="H49" s="493"/>
    </row>
    <row r="50" spans="1:8" x14ac:dyDescent="0.25">
      <c r="A50" s="13"/>
      <c r="B50" s="493"/>
      <c r="C50" s="493"/>
      <c r="D50" s="493"/>
      <c r="E50" s="493"/>
      <c r="F50" s="493"/>
      <c r="G50" s="493"/>
      <c r="H50" s="493"/>
    </row>
    <row r="51" spans="1:8" x14ac:dyDescent="0.25">
      <c r="A51" s="13"/>
      <c r="B51" s="493"/>
      <c r="C51" s="493"/>
      <c r="D51" s="493"/>
      <c r="E51" s="493"/>
      <c r="F51" s="493"/>
      <c r="G51" s="493"/>
      <c r="H51" s="493"/>
    </row>
    <row r="52" spans="1:8" x14ac:dyDescent="0.25">
      <c r="A52" s="13"/>
      <c r="B52" s="414"/>
      <c r="C52" s="414"/>
      <c r="D52" s="414"/>
      <c r="E52" s="414"/>
      <c r="F52" s="414"/>
      <c r="G52" s="414"/>
    </row>
    <row r="53" spans="1:8" ht="15" customHeight="1" x14ac:dyDescent="0.25">
      <c r="A53" s="13" t="s">
        <v>69</v>
      </c>
      <c r="B53" s="493" t="s">
        <v>151</v>
      </c>
      <c r="C53" s="493"/>
      <c r="D53" s="493"/>
      <c r="E53" s="493"/>
      <c r="F53" s="493"/>
      <c r="G53" s="493"/>
      <c r="H53" s="493"/>
    </row>
    <row r="54" spans="1:8" x14ac:dyDescent="0.25">
      <c r="B54" s="493"/>
      <c r="C54" s="493"/>
      <c r="D54" s="493"/>
      <c r="E54" s="493"/>
      <c r="F54" s="493"/>
      <c r="G54" s="493"/>
      <c r="H54" s="493"/>
    </row>
    <row r="55" spans="1:8" x14ac:dyDescent="0.25">
      <c r="B55" s="493"/>
      <c r="C55" s="493"/>
      <c r="D55" s="493"/>
      <c r="E55" s="493"/>
      <c r="F55" s="493"/>
      <c r="G55" s="493"/>
      <c r="H55" s="493"/>
    </row>
    <row r="56" spans="1:8" x14ac:dyDescent="0.25">
      <c r="B56" s="493"/>
      <c r="C56" s="493"/>
      <c r="D56" s="493"/>
      <c r="E56" s="493"/>
      <c r="F56" s="493"/>
      <c r="G56" s="493"/>
      <c r="H56" s="493"/>
    </row>
    <row r="57" spans="1:8" x14ac:dyDescent="0.25">
      <c r="B57" s="493"/>
      <c r="C57" s="493"/>
      <c r="D57" s="493"/>
      <c r="E57" s="493"/>
      <c r="F57" s="493"/>
      <c r="G57" s="493"/>
      <c r="H57" s="493"/>
    </row>
    <row r="58" spans="1:8" ht="15" customHeight="1" x14ac:dyDescent="0.25">
      <c r="B58" s="493"/>
      <c r="C58" s="493"/>
      <c r="D58" s="493"/>
      <c r="E58" s="493"/>
      <c r="F58" s="493"/>
      <c r="G58" s="493"/>
      <c r="H58" s="493"/>
    </row>
    <row r="59" spans="1:8" x14ac:dyDescent="0.25">
      <c r="B59" s="493"/>
      <c r="C59" s="493"/>
      <c r="D59" s="493"/>
      <c r="E59" s="493"/>
      <c r="F59" s="493"/>
      <c r="G59" s="493"/>
      <c r="H59" s="493"/>
    </row>
    <row r="60" spans="1:8" x14ac:dyDescent="0.25">
      <c r="B60" s="493"/>
      <c r="C60" s="493"/>
      <c r="D60" s="493"/>
      <c r="E60" s="493"/>
      <c r="F60" s="493"/>
      <c r="G60" s="493"/>
      <c r="H60" s="493"/>
    </row>
    <row r="61" spans="1:8" x14ac:dyDescent="0.25">
      <c r="B61" s="101"/>
      <c r="C61" s="101"/>
      <c r="D61" s="101"/>
      <c r="E61" s="101"/>
      <c r="F61" s="101"/>
      <c r="G61" s="101"/>
      <c r="H61" s="101"/>
    </row>
    <row r="62" spans="1:8" ht="15" customHeight="1" x14ac:dyDescent="0.25">
      <c r="A62" s="13" t="s">
        <v>70</v>
      </c>
      <c r="B62" s="493" t="s">
        <v>152</v>
      </c>
      <c r="C62" s="493"/>
      <c r="D62" s="493"/>
      <c r="E62" s="493"/>
      <c r="F62" s="493"/>
      <c r="G62" s="493"/>
      <c r="H62" s="493"/>
    </row>
    <row r="63" spans="1:8" x14ac:dyDescent="0.25">
      <c r="B63" s="493"/>
      <c r="C63" s="493"/>
      <c r="D63" s="493"/>
      <c r="E63" s="493"/>
      <c r="F63" s="493"/>
      <c r="G63" s="493"/>
      <c r="H63" s="493"/>
    </row>
    <row r="64" spans="1:8" x14ac:dyDescent="0.25">
      <c r="B64" s="101"/>
      <c r="C64" s="101"/>
      <c r="D64" s="101"/>
      <c r="E64" s="101"/>
      <c r="F64" s="101"/>
      <c r="G64" s="101"/>
      <c r="H64" s="101"/>
    </row>
    <row r="65" spans="2:8" x14ac:dyDescent="0.25">
      <c r="B65" s="101"/>
      <c r="C65" s="101"/>
      <c r="D65" s="101"/>
      <c r="E65" s="101"/>
      <c r="F65" s="101"/>
      <c r="G65" s="101"/>
      <c r="H65" s="101"/>
    </row>
    <row r="66" spans="2:8" x14ac:dyDescent="0.25">
      <c r="B66" s="101"/>
      <c r="C66" s="101"/>
      <c r="D66" s="101"/>
      <c r="E66" s="101"/>
      <c r="F66" s="101"/>
      <c r="G66" s="101"/>
      <c r="H66" s="101"/>
    </row>
    <row r="67" spans="2:8" x14ac:dyDescent="0.25">
      <c r="B67" s="101"/>
      <c r="C67" s="101"/>
      <c r="D67" s="101"/>
      <c r="E67" s="101"/>
      <c r="F67" s="101"/>
      <c r="G67" s="101"/>
      <c r="H67" s="101"/>
    </row>
    <row r="68" spans="2:8" x14ac:dyDescent="0.25">
      <c r="B68" s="492"/>
      <c r="C68" s="492"/>
      <c r="D68" s="492"/>
      <c r="E68" s="492"/>
      <c r="F68" s="492"/>
      <c r="G68" s="492"/>
    </row>
    <row r="69" spans="2:8" x14ac:dyDescent="0.25">
      <c r="B69" s="492"/>
      <c r="C69" s="492"/>
      <c r="D69" s="492"/>
      <c r="E69" s="492"/>
      <c r="F69" s="492"/>
      <c r="G69" s="492"/>
    </row>
    <row r="70" spans="2:8" x14ac:dyDescent="0.25">
      <c r="B70" s="492"/>
      <c r="C70" s="492"/>
      <c r="D70" s="492"/>
      <c r="E70" s="492"/>
      <c r="F70" s="492"/>
      <c r="G70" s="492"/>
    </row>
    <row r="71" spans="2:8" x14ac:dyDescent="0.25">
      <c r="B71" s="492"/>
      <c r="C71" s="492"/>
      <c r="D71" s="492"/>
      <c r="E71" s="492"/>
      <c r="F71" s="492"/>
      <c r="G71" s="492"/>
    </row>
  </sheetData>
  <mergeCells count="22">
    <mergeCell ref="U2:V2"/>
    <mergeCell ref="W2:X2"/>
    <mergeCell ref="B46:H51"/>
    <mergeCell ref="B53:H60"/>
    <mergeCell ref="N20:O20"/>
    <mergeCell ref="B4:B5"/>
    <mergeCell ref="C4:C5"/>
    <mergeCell ref="D4:D5"/>
    <mergeCell ref="E4:E5"/>
    <mergeCell ref="F4:F5"/>
    <mergeCell ref="G4:G5"/>
    <mergeCell ref="H4:H5"/>
    <mergeCell ref="K5:L5"/>
    <mergeCell ref="K9:L9"/>
    <mergeCell ref="K13:L13"/>
    <mergeCell ref="L20:M20"/>
    <mergeCell ref="L25:M25"/>
    <mergeCell ref="N25:O25"/>
    <mergeCell ref="B68:G71"/>
    <mergeCell ref="B39:H41"/>
    <mergeCell ref="B43:H44"/>
    <mergeCell ref="B62:H63"/>
  </mergeCells>
  <pageMargins left="0.25" right="0.25" top="0.75" bottom="0.75" header="0.3" footer="0.3"/>
  <pageSetup scale="4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C101A-3A0A-4F5F-B629-2EDE05E711A5}">
  <sheetPr>
    <tabColor rgb="FF00B050"/>
    <pageSetUpPr fitToPage="1"/>
  </sheetPr>
  <dimension ref="A1:H78"/>
  <sheetViews>
    <sheetView view="pageBreakPreview" zoomScale="85" zoomScaleNormal="100" zoomScaleSheetLayoutView="85" workbookViewId="0">
      <selection activeCell="B4" sqref="B4:B5"/>
    </sheetView>
  </sheetViews>
  <sheetFormatPr defaultRowHeight="15" x14ac:dyDescent="0.25"/>
  <cols>
    <col min="1" max="1" width="9.140625" style="127"/>
    <col min="2" max="8" width="15.7109375" style="127" customWidth="1"/>
    <col min="9" max="11" width="18.85546875" style="127" customWidth="1"/>
    <col min="12" max="12" width="19.42578125" style="127" customWidth="1"/>
    <col min="13" max="17" width="10.28515625" style="127" customWidth="1"/>
    <col min="18" max="16384" width="9.140625" style="127"/>
  </cols>
  <sheetData>
    <row r="1" spans="2:8" x14ac:dyDescent="0.25">
      <c r="B1" s="97">
        <v>1</v>
      </c>
      <c r="C1" s="97">
        <v>2</v>
      </c>
      <c r="D1" s="97">
        <v>3</v>
      </c>
      <c r="E1" s="97">
        <v>4</v>
      </c>
      <c r="F1" s="97">
        <v>5</v>
      </c>
      <c r="G1" s="97">
        <v>6</v>
      </c>
      <c r="H1" s="97"/>
    </row>
    <row r="2" spans="2:8" x14ac:dyDescent="0.25">
      <c r="B2" s="12" t="s">
        <v>104</v>
      </c>
      <c r="C2" s="12"/>
      <c r="D2" s="12"/>
      <c r="E2" s="12"/>
    </row>
    <row r="3" spans="2:8" ht="15.75" thickBot="1" x14ac:dyDescent="0.3"/>
    <row r="4" spans="2:8" ht="35.1" customHeight="1" x14ac:dyDescent="0.25">
      <c r="B4" s="506" t="s">
        <v>0</v>
      </c>
      <c r="C4" s="506" t="s">
        <v>332</v>
      </c>
      <c r="D4" s="506" t="s">
        <v>314</v>
      </c>
      <c r="E4" s="506" t="s">
        <v>315</v>
      </c>
      <c r="F4" s="508" t="s">
        <v>105</v>
      </c>
      <c r="G4" s="503" t="s">
        <v>1</v>
      </c>
      <c r="H4" s="208"/>
    </row>
    <row r="5" spans="2:8" ht="35.1" customHeight="1" thickBot="1" x14ac:dyDescent="0.3">
      <c r="B5" s="507"/>
      <c r="C5" s="507"/>
      <c r="D5" s="507"/>
      <c r="E5" s="507"/>
      <c r="F5" s="509"/>
      <c r="G5" s="504"/>
      <c r="H5" s="208"/>
    </row>
    <row r="6" spans="2:8" ht="16.5" customHeight="1" x14ac:dyDescent="0.25">
      <c r="B6" s="1">
        <f>Assumptions!D8</f>
        <v>2025</v>
      </c>
      <c r="C6" s="210">
        <f>'Air Quality'!F5</f>
        <v>580894.36170166731</v>
      </c>
      <c r="D6" s="223">
        <f>1*C6*Assumptions!$D$24*Assumptions!$D$14</f>
        <v>239709.31232875856</v>
      </c>
      <c r="E6" s="223">
        <f>1*C6*Assumptions!$D$25*Assumptions!$D$15</f>
        <v>45314.580912827179</v>
      </c>
      <c r="F6" s="223">
        <f>SUM(D6:E6)</f>
        <v>285023.89324158576</v>
      </c>
      <c r="G6" s="224">
        <f>F6*(1+0.07)^-(B6-Assumptions!$D$4)</f>
        <v>203218.09670387919</v>
      </c>
      <c r="H6" s="209"/>
    </row>
    <row r="7" spans="2:8" x14ac:dyDescent="0.25">
      <c r="B7" s="2">
        <f t="shared" ref="B7:B35" si="0">+B6+1</f>
        <v>2026</v>
      </c>
      <c r="C7" s="210">
        <f>'Air Quality'!F6</f>
        <v>595445.57001644373</v>
      </c>
      <c r="D7" s="166">
        <f>1*C7*Assumptions!$D$24*Assumptions!$D$14</f>
        <v>245713.94995076899</v>
      </c>
      <c r="E7" s="166">
        <f>1*C7*Assumptions!$D$25*Assumptions!$D$15</f>
        <v>46449.695918295212</v>
      </c>
      <c r="F7" s="166">
        <f t="shared" ref="F7:F35" si="1">SUM(D7:E7)</f>
        <v>292163.6458690642</v>
      </c>
      <c r="G7" s="167">
        <f>F7*(1+0.07)^-(B7-Assumptions!$D$4)</f>
        <v>194680.97350673229</v>
      </c>
      <c r="H7" s="209"/>
    </row>
    <row r="8" spans="2:8" x14ac:dyDescent="0.25">
      <c r="B8" s="2">
        <f t="shared" si="0"/>
        <v>2027</v>
      </c>
      <c r="C8" s="210">
        <f>'Air Quality'!F7</f>
        <v>609996.77833122015</v>
      </c>
      <c r="D8" s="166">
        <f>1*C8*Assumptions!$D$24*Assumptions!$D$14</f>
        <v>251718.58757277945</v>
      </c>
      <c r="E8" s="166">
        <f>1*C8*Assumptions!$D$25*Assumptions!$D$15</f>
        <v>47584.810923763245</v>
      </c>
      <c r="F8" s="166">
        <f t="shared" si="1"/>
        <v>299303.39849654271</v>
      </c>
      <c r="G8" s="167">
        <f>F8*(1+0.07)^-(B8-Assumptions!$D$4)</f>
        <v>186391.11415890287</v>
      </c>
      <c r="H8" s="209"/>
    </row>
    <row r="9" spans="2:8" x14ac:dyDescent="0.25">
      <c r="B9" s="2">
        <f t="shared" si="0"/>
        <v>2028</v>
      </c>
      <c r="C9" s="210">
        <f>'Air Quality'!F8</f>
        <v>624547.98664599657</v>
      </c>
      <c r="D9" s="166">
        <f>1*C9*Assumptions!$D$24*Assumptions!$D$14</f>
        <v>257723.22519478985</v>
      </c>
      <c r="E9" s="166">
        <f>1*C9*Assumptions!$D$25*Assumptions!$D$15</f>
        <v>48719.925929231293</v>
      </c>
      <c r="F9" s="166">
        <f t="shared" si="1"/>
        <v>306443.15112402115</v>
      </c>
      <c r="G9" s="167">
        <f>F9*(1+0.07)^-(B9-Assumptions!$D$4)</f>
        <v>178352.7039857803</v>
      </c>
      <c r="H9" s="209"/>
    </row>
    <row r="10" spans="2:8" ht="15" customHeight="1" x14ac:dyDescent="0.25">
      <c r="B10" s="2">
        <f t="shared" si="0"/>
        <v>2029</v>
      </c>
      <c r="C10" s="210">
        <f>'Air Quality'!F9</f>
        <v>639099.19496080279</v>
      </c>
      <c r="D10" s="166">
        <f>1*C10*Assumptions!$D$24*Assumptions!$D$14</f>
        <v>263727.86281681259</v>
      </c>
      <c r="E10" s="166">
        <f>1*C10*Assumptions!$D$25*Assumptions!$D$15</f>
        <v>49855.040934701654</v>
      </c>
      <c r="F10" s="166">
        <f t="shared" si="1"/>
        <v>313582.90375151427</v>
      </c>
      <c r="G10" s="167">
        <f>F10*(1+0.07)^-(B10-Assumptions!$D$4)</f>
        <v>170568.32244796585</v>
      </c>
      <c r="H10" s="209"/>
    </row>
    <row r="11" spans="2:8" x14ac:dyDescent="0.25">
      <c r="B11" s="2">
        <f t="shared" si="0"/>
        <v>2030</v>
      </c>
      <c r="C11" s="210">
        <f>'Air Quality'!F10</f>
        <v>653650.40327560902</v>
      </c>
      <c r="D11" s="166">
        <f>1*C11*Assumptions!$D$24*Assumptions!$D$14</f>
        <v>269732.50043883536</v>
      </c>
      <c r="E11" s="166">
        <f>1*C11*Assumptions!$D$25*Assumptions!$D$15</f>
        <v>50990.155940172008</v>
      </c>
      <c r="F11" s="166">
        <f t="shared" ref="F11:F26" si="2">SUM(D11:E11)</f>
        <v>320722.65637900739</v>
      </c>
      <c r="G11" s="167">
        <f>F11*(1+0.07)^-(B11-Assumptions!$D$4)</f>
        <v>163039.13534183474</v>
      </c>
      <c r="H11" s="209"/>
    </row>
    <row r="12" spans="2:8" x14ac:dyDescent="0.25">
      <c r="B12" s="2">
        <f t="shared" si="0"/>
        <v>2031</v>
      </c>
      <c r="C12" s="210">
        <f>'Air Quality'!F11</f>
        <v>668201.61159038544</v>
      </c>
      <c r="D12" s="166">
        <f>1*C12*Assumptions!$D$24*Assumptions!$D$14</f>
        <v>275737.13806084578</v>
      </c>
      <c r="E12" s="166">
        <f>1*C12*Assumptions!$D$25*Assumptions!$D$15</f>
        <v>52125.270945640048</v>
      </c>
      <c r="F12" s="166">
        <f t="shared" si="2"/>
        <v>327862.40900648583</v>
      </c>
      <c r="G12" s="167">
        <f>F12*(1+0.07)^-(B12-Assumptions!$D$4)</f>
        <v>155765.06872526204</v>
      </c>
      <c r="H12" s="209"/>
    </row>
    <row r="13" spans="2:8" x14ac:dyDescent="0.25">
      <c r="B13" s="2">
        <f t="shared" si="0"/>
        <v>2032</v>
      </c>
      <c r="C13" s="210">
        <f>'Air Quality'!F12</f>
        <v>682752.81990516186</v>
      </c>
      <c r="D13" s="166">
        <f>1*C13*Assumptions!$D$24*Assumptions!$D$14</f>
        <v>281741.77568285621</v>
      </c>
      <c r="E13" s="166">
        <f>1*C13*Assumptions!$D$25*Assumptions!$D$15</f>
        <v>53260.385951108081</v>
      </c>
      <c r="F13" s="166">
        <f t="shared" si="2"/>
        <v>335002.16163396428</v>
      </c>
      <c r="G13" s="167">
        <f>F13*(1+0.07)^-(B13-Assumptions!$D$4)</f>
        <v>148744.96613697795</v>
      </c>
      <c r="H13" s="209"/>
    </row>
    <row r="14" spans="2:8" ht="15" customHeight="1" x14ac:dyDescent="0.25">
      <c r="B14" s="2">
        <f t="shared" si="0"/>
        <v>2033</v>
      </c>
      <c r="C14" s="210">
        <f>'Air Quality'!F13</f>
        <v>697304.02821993828</v>
      </c>
      <c r="D14" s="166">
        <f>1*C14*Assumptions!$D$24*Assumptions!$D$14</f>
        <v>287746.41330486664</v>
      </c>
      <c r="E14" s="166">
        <f>1*C14*Assumptions!$D$25*Assumptions!$D$15</f>
        <v>54395.500956576121</v>
      </c>
      <c r="F14" s="166">
        <f t="shared" si="2"/>
        <v>342141.91426144278</v>
      </c>
      <c r="G14" s="167">
        <f>F14*(1+0.07)^-(B14-Assumptions!$D$4)</f>
        <v>141976.73055102697</v>
      </c>
      <c r="H14" s="209"/>
    </row>
    <row r="15" spans="2:8" x14ac:dyDescent="0.25">
      <c r="B15" s="2">
        <f t="shared" si="0"/>
        <v>2034</v>
      </c>
      <c r="C15" s="210">
        <f>'Air Quality'!F14</f>
        <v>711855.2365347147</v>
      </c>
      <c r="D15" s="166">
        <f>1*C15*Assumptions!$D$24*Assumptions!$D$14</f>
        <v>293751.05092687707</v>
      </c>
      <c r="E15" s="166">
        <f>1*C15*Assumptions!$D$25*Assumptions!$D$15</f>
        <v>55530.615962044154</v>
      </c>
      <c r="F15" s="166">
        <f t="shared" si="2"/>
        <v>349281.66688892123</v>
      </c>
      <c r="G15" s="167">
        <f>F15*(1+0.07)^-(B15-Assumptions!$D$4)</f>
        <v>135457.45239079374</v>
      </c>
      <c r="H15" s="209"/>
    </row>
    <row r="16" spans="2:8" x14ac:dyDescent="0.25">
      <c r="B16" s="2">
        <f t="shared" si="0"/>
        <v>2035</v>
      </c>
      <c r="C16" s="210">
        <f>'Air Quality'!F15</f>
        <v>726406.44484952092</v>
      </c>
      <c r="D16" s="166">
        <f>1*C16*Assumptions!$D$24*Assumptions!$D$14</f>
        <v>299755.68854889978</v>
      </c>
      <c r="E16" s="166">
        <f>1*C16*Assumptions!$D$25*Assumptions!$D$15</f>
        <v>56665.730967514515</v>
      </c>
      <c r="F16" s="166">
        <f t="shared" si="2"/>
        <v>356421.41951641429</v>
      </c>
      <c r="G16" s="167">
        <f>F16*(1+0.07)^-(B16-Assumptions!$D$4)</f>
        <v>129183.52481900401</v>
      </c>
      <c r="H16" s="209"/>
    </row>
    <row r="17" spans="2:8" x14ac:dyDescent="0.25">
      <c r="B17" s="2">
        <f t="shared" si="0"/>
        <v>2036</v>
      </c>
      <c r="C17" s="210">
        <f>'Air Quality'!F16</f>
        <v>740957.65316429734</v>
      </c>
      <c r="D17" s="166">
        <f>1*C17*Assumptions!$D$24*Assumptions!$D$14</f>
        <v>305760.32617091027</v>
      </c>
      <c r="E17" s="166">
        <f>1*C17*Assumptions!$D$25*Assumptions!$D$15</f>
        <v>57800.845972982563</v>
      </c>
      <c r="F17" s="166">
        <f t="shared" si="2"/>
        <v>363561.17214389285</v>
      </c>
      <c r="G17" s="167">
        <f>F17*(1+0.07)^-(B17-Assumptions!$D$4)</f>
        <v>123150.74742062122</v>
      </c>
      <c r="H17" s="209"/>
    </row>
    <row r="18" spans="2:8" x14ac:dyDescent="0.25">
      <c r="B18" s="2">
        <f t="shared" si="0"/>
        <v>2037</v>
      </c>
      <c r="C18" s="210">
        <f>'Air Quality'!F17</f>
        <v>755508.86147910357</v>
      </c>
      <c r="D18" s="166">
        <f>1*C18*Assumptions!$D$24*Assumptions!$D$14</f>
        <v>311764.96379293298</v>
      </c>
      <c r="E18" s="166">
        <f>1*C18*Assumptions!$D$25*Assumptions!$D$15</f>
        <v>58935.960978452909</v>
      </c>
      <c r="F18" s="166">
        <f t="shared" si="2"/>
        <v>370700.92477138591</v>
      </c>
      <c r="G18" s="167">
        <f>F18*(1+0.07)^-(B18-Assumptions!$D$4)</f>
        <v>117354.41930398345</v>
      </c>
      <c r="H18" s="209"/>
    </row>
    <row r="19" spans="2:8" x14ac:dyDescent="0.25">
      <c r="B19" s="2">
        <f t="shared" si="0"/>
        <v>2038</v>
      </c>
      <c r="C19" s="210">
        <f>'Air Quality'!F18</f>
        <v>770060.06979387999</v>
      </c>
      <c r="D19" s="166">
        <f>1*C19*Assumptions!$D$24*Assumptions!$D$14</f>
        <v>317769.6014149434</v>
      </c>
      <c r="E19" s="166">
        <f>1*C19*Assumptions!$D$25*Assumptions!$D$15</f>
        <v>60071.075983920957</v>
      </c>
      <c r="F19" s="166">
        <f t="shared" si="2"/>
        <v>377840.67739886435</v>
      </c>
      <c r="G19" s="167">
        <f>F19*(1+0.07)^-(B19-Assumptions!$D$4)</f>
        <v>111789.4225608336</v>
      </c>
      <c r="H19" s="209"/>
    </row>
    <row r="20" spans="2:8" x14ac:dyDescent="0.25">
      <c r="B20" s="2">
        <f t="shared" si="0"/>
        <v>2039</v>
      </c>
      <c r="C20" s="210">
        <f>'Air Quality'!F19</f>
        <v>784611.27810865641</v>
      </c>
      <c r="D20" s="166">
        <f>1*C20*Assumptions!$D$24*Assumptions!$D$14</f>
        <v>323774.23903695383</v>
      </c>
      <c r="E20" s="166">
        <f>1*C20*Assumptions!$D$25*Assumptions!$D$15</f>
        <v>61206.19098938899</v>
      </c>
      <c r="F20" s="166">
        <f t="shared" si="2"/>
        <v>384980.4300263428</v>
      </c>
      <c r="G20" s="167">
        <f>F20*(1+0.07)^-(B20-Assumptions!$D$4)</f>
        <v>106450.29694838019</v>
      </c>
      <c r="H20" s="209"/>
    </row>
    <row r="21" spans="2:8" x14ac:dyDescent="0.25">
      <c r="B21" s="2">
        <f t="shared" si="0"/>
        <v>2040</v>
      </c>
      <c r="C21" s="210">
        <f>'Air Quality'!F20</f>
        <v>799162.48642343283</v>
      </c>
      <c r="D21" s="166">
        <f>1*C21*Assumptions!$D$24*Assumptions!$D$14</f>
        <v>329778.87665896432</v>
      </c>
      <c r="E21" s="166">
        <f>1*C21*Assumptions!$D$25*Assumptions!$D$15</f>
        <v>62341.305994857023</v>
      </c>
      <c r="F21" s="166">
        <f t="shared" si="2"/>
        <v>392120.18265382136</v>
      </c>
      <c r="G21" s="167">
        <f>F21*(1+0.07)^-(B21-Assumptions!$D$4)</f>
        <v>101331.30658459257</v>
      </c>
      <c r="H21" s="209"/>
    </row>
    <row r="22" spans="2:8" x14ac:dyDescent="0.25">
      <c r="B22" s="2">
        <f t="shared" si="0"/>
        <v>2041</v>
      </c>
      <c r="C22" s="210">
        <f>'Air Quality'!F21</f>
        <v>813713.69473823905</v>
      </c>
      <c r="D22" s="166">
        <f>1*C22*Assumptions!$D$24*Assumptions!$D$14</f>
        <v>335783.51428098703</v>
      </c>
      <c r="E22" s="166">
        <f>1*C22*Assumptions!$D$25*Assumptions!$D$15</f>
        <v>63476.421000327391</v>
      </c>
      <c r="F22" s="166">
        <f t="shared" si="2"/>
        <v>399259.93528131442</v>
      </c>
      <c r="G22" s="167">
        <f>F22*(1+0.07)^-(B22-Assumptions!$D$4)</f>
        <v>96426.499382174792</v>
      </c>
      <c r="H22" s="209"/>
    </row>
    <row r="23" spans="2:8" x14ac:dyDescent="0.25">
      <c r="B23" s="2">
        <f t="shared" si="0"/>
        <v>2042</v>
      </c>
      <c r="C23" s="210">
        <f>'Air Quality'!F22</f>
        <v>828264.90305301547</v>
      </c>
      <c r="D23" s="166">
        <f>1*C23*Assumptions!$D$24*Assumptions!$D$14</f>
        <v>341788.15190299746</v>
      </c>
      <c r="E23" s="166">
        <f>1*C23*Assumptions!$D$25*Assumptions!$D$15</f>
        <v>64611.536005795424</v>
      </c>
      <c r="F23" s="166">
        <f t="shared" si="2"/>
        <v>406399.68790879287</v>
      </c>
      <c r="G23" s="167">
        <f>F23*(1+0.07)^-(B23-Assumptions!$D$4)</f>
        <v>91729.759885804611</v>
      </c>
      <c r="H23" s="209"/>
    </row>
    <row r="24" spans="2:8" x14ac:dyDescent="0.25">
      <c r="B24" s="2">
        <f t="shared" si="0"/>
        <v>2043</v>
      </c>
      <c r="C24" s="210">
        <f>'Air Quality'!F23</f>
        <v>842816.11136779189</v>
      </c>
      <c r="D24" s="166">
        <f>1*C24*Assumptions!$D$24*Assumptions!$D$14</f>
        <v>347792.78952500789</v>
      </c>
      <c r="E24" s="166">
        <f>1*C24*Assumptions!$D$25*Assumptions!$D$15</f>
        <v>65746.651011263457</v>
      </c>
      <c r="F24" s="166">
        <f t="shared" si="2"/>
        <v>413539.44053627132</v>
      </c>
      <c r="G24" s="167">
        <f>F24*(1+0.07)^-(B24-Assumptions!$D$4)</f>
        <v>87234.856121449106</v>
      </c>
      <c r="H24" s="209"/>
    </row>
    <row r="25" spans="2:8" x14ac:dyDescent="0.25">
      <c r="B25" s="2">
        <f t="shared" si="0"/>
        <v>2044</v>
      </c>
      <c r="C25" s="210">
        <f>'Air Quality'!F24</f>
        <v>857367.31968256831</v>
      </c>
      <c r="D25" s="166">
        <f>1*C25*Assumptions!$D$24*Assumptions!$D$14</f>
        <v>353797.42714701837</v>
      </c>
      <c r="E25" s="166">
        <f>1*C25*Assumptions!$D$25*Assumptions!$D$15</f>
        <v>66881.766016731504</v>
      </c>
      <c r="F25" s="166">
        <f t="shared" si="2"/>
        <v>420679.19316374988</v>
      </c>
      <c r="G25" s="167">
        <f>F25*(1+0.07)^-(B25-Assumptions!$D$4)</f>
        <v>82935.481015020094</v>
      </c>
      <c r="H25" s="209"/>
    </row>
    <row r="26" spans="2:8" x14ac:dyDescent="0.25">
      <c r="B26" s="2">
        <f t="shared" si="0"/>
        <v>2045</v>
      </c>
      <c r="C26" s="210">
        <f>'Air Quality'!F25</f>
        <v>871918.52799737453</v>
      </c>
      <c r="D26" s="166">
        <f>1*C26*Assumptions!$D$24*Assumptions!$D$14</f>
        <v>359802.06476904103</v>
      </c>
      <c r="E26" s="166">
        <f>1*C26*Assumptions!$D$25*Assumptions!$D$15</f>
        <v>68016.881022201866</v>
      </c>
      <c r="F26" s="166">
        <f t="shared" si="2"/>
        <v>427818.94579124288</v>
      </c>
      <c r="G26" s="167">
        <f>F26*(1+0.07)^-(B26-Assumptions!$D$4)</f>
        <v>78825.288890468102</v>
      </c>
    </row>
    <row r="27" spans="2:8" x14ac:dyDescent="0.25">
      <c r="B27" s="2">
        <f t="shared" si="0"/>
        <v>2046</v>
      </c>
      <c r="C27" s="210">
        <f>'Air Quality'!F26</f>
        <v>886469.73631218076</v>
      </c>
      <c r="D27" s="166">
        <f>1*C27*Assumptions!$D$24*Assumptions!$D$14</f>
        <v>365806.70239106379</v>
      </c>
      <c r="E27" s="166">
        <f>1*C27*Assumptions!$D$25*Assumptions!$D$15</f>
        <v>69151.996027672212</v>
      </c>
      <c r="F27" s="166">
        <f t="shared" si="1"/>
        <v>434958.69841873599</v>
      </c>
      <c r="G27" s="167">
        <f>F27*(1+0.07)^-(B27-Assumptions!$D$4)</f>
        <v>74897.927513828006</v>
      </c>
    </row>
    <row r="28" spans="2:8" x14ac:dyDescent="0.25">
      <c r="B28" s="2">
        <f t="shared" si="0"/>
        <v>2047</v>
      </c>
      <c r="C28" s="210">
        <f>'Air Quality'!F27</f>
        <v>901020.94462695718</v>
      </c>
      <c r="D28" s="166">
        <f>1*C28*Assumptions!$D$24*Assumptions!$D$14</f>
        <v>371811.34001307428</v>
      </c>
      <c r="E28" s="166">
        <f>1*C28*Assumptions!$D$25*Assumptions!$D$15</f>
        <v>70287.11103314026</v>
      </c>
      <c r="F28" s="166">
        <f t="shared" si="1"/>
        <v>442098.45104621456</v>
      </c>
      <c r="G28" s="167">
        <f>F28*(1+0.07)^-(B28-Assumptions!$D$4)</f>
        <v>71147.06610980969</v>
      </c>
      <c r="H28" s="275"/>
    </row>
    <row r="29" spans="2:8" ht="15" customHeight="1" x14ac:dyDescent="0.25">
      <c r="B29" s="2">
        <f t="shared" si="0"/>
        <v>2048</v>
      </c>
      <c r="C29" s="210">
        <f>'Air Quality'!F28</f>
        <v>915572.1529417336</v>
      </c>
      <c r="D29" s="166">
        <f>1*C29*Assumptions!$D$24*Assumptions!$D$14</f>
        <v>377815.97763508465</v>
      </c>
      <c r="E29" s="166">
        <f>1*C29*Assumptions!$D$25*Assumptions!$D$15</f>
        <v>71422.226038608293</v>
      </c>
      <c r="F29" s="166">
        <f t="shared" si="1"/>
        <v>449238.20367369294</v>
      </c>
      <c r="G29" s="167">
        <f>F29*(1+0.07)^-(B29-Assumptions!$D$4)</f>
        <v>67566.419740732585</v>
      </c>
      <c r="H29" s="275"/>
    </row>
    <row r="30" spans="2:8" ht="15" customHeight="1" x14ac:dyDescent="0.25">
      <c r="B30" s="2">
        <f t="shared" si="0"/>
        <v>2049</v>
      </c>
      <c r="C30" s="210">
        <f>'Air Quality'!F29</f>
        <v>930123.36125651002</v>
      </c>
      <c r="D30" s="166">
        <f>1*C30*Assumptions!$D$24*Assumptions!$D$14</f>
        <v>383820.61525709508</v>
      </c>
      <c r="E30" s="166">
        <f>1*C30*Assumptions!$D$25*Assumptions!$D$15</f>
        <v>72557.341044076325</v>
      </c>
      <c r="F30" s="166">
        <f t="shared" si="1"/>
        <v>456377.95630117139</v>
      </c>
      <c r="G30" s="167">
        <f>F30*(1+0.07)^-(B30-Assumptions!$D$4)</f>
        <v>64149.77040384143</v>
      </c>
      <c r="H30" s="275"/>
    </row>
    <row r="31" spans="2:8" ht="15" customHeight="1" x14ac:dyDescent="0.25">
      <c r="B31" s="2">
        <f t="shared" si="0"/>
        <v>2050</v>
      </c>
      <c r="C31" s="210">
        <f>'Air Quality'!F30</f>
        <v>944674.56957128644</v>
      </c>
      <c r="D31" s="166">
        <f>1*C31*Assumptions!$D$24*Assumptions!$D$14</f>
        <v>389825.25287910557</v>
      </c>
      <c r="E31" s="166">
        <f>1*C31*Assumptions!$D$25*Assumptions!$D$15</f>
        <v>73692.456049544358</v>
      </c>
      <c r="F31" s="166">
        <f t="shared" si="1"/>
        <v>463517.7089286499</v>
      </c>
      <c r="G31" s="167">
        <f>F31*(1+0.07)^-(B31-Assumptions!$D$4)</f>
        <v>60890.985172057015</v>
      </c>
    </row>
    <row r="32" spans="2:8" x14ac:dyDescent="0.25">
      <c r="B32" s="2">
        <f t="shared" si="0"/>
        <v>2051</v>
      </c>
      <c r="C32" s="210">
        <f>'Air Quality'!F31</f>
        <v>959225.77788609266</v>
      </c>
      <c r="D32" s="166">
        <f>1*C32*Assumptions!$D$24*Assumptions!$D$14</f>
        <v>395829.89050112828</v>
      </c>
      <c r="E32" s="166">
        <f>1*C32*Assumptions!$D$25*Assumptions!$D$15</f>
        <v>74827.57105501472</v>
      </c>
      <c r="F32" s="166">
        <f t="shared" si="1"/>
        <v>470657.46155614301</v>
      </c>
      <c r="G32" s="167">
        <f>F32*(1+0.07)^-(B32-Assumptions!$D$4)</f>
        <v>57784.031674698759</v>
      </c>
      <c r="H32" s="209"/>
    </row>
    <row r="33" spans="1:8" x14ac:dyDescent="0.25">
      <c r="B33" s="2">
        <f t="shared" si="0"/>
        <v>2052</v>
      </c>
      <c r="C33" s="210">
        <f>'Air Quality'!F32</f>
        <v>973776.98620089889</v>
      </c>
      <c r="D33" s="166">
        <f>1*C33*Assumptions!$D$24*Assumptions!$D$14</f>
        <v>401834.52812315099</v>
      </c>
      <c r="E33" s="166">
        <f>1*C33*Assumptions!$D$25*Assumptions!$D$15</f>
        <v>75962.686060485095</v>
      </c>
      <c r="F33" s="166">
        <f t="shared" si="1"/>
        <v>477797.21418363607</v>
      </c>
      <c r="G33" s="167">
        <f>F33*(1+0.07)^-(B33-Assumptions!$D$4)</f>
        <v>54822.991188573978</v>
      </c>
      <c r="H33" s="209"/>
    </row>
    <row r="34" spans="1:8" ht="15" customHeight="1" x14ac:dyDescent="0.25">
      <c r="B34" s="2">
        <f t="shared" si="0"/>
        <v>2053</v>
      </c>
      <c r="C34" s="210">
        <f>'Air Quality'!F33</f>
        <v>988328.19451567531</v>
      </c>
      <c r="D34" s="166">
        <f>1*C34*Assumptions!$D$24*Assumptions!$D$14</f>
        <v>407839.16574516147</v>
      </c>
      <c r="E34" s="166">
        <f>1*C34*Assumptions!$D$25*Assumptions!$D$15</f>
        <v>77097.801065953128</v>
      </c>
      <c r="F34" s="166">
        <f t="shared" si="1"/>
        <v>484936.96681111457</v>
      </c>
      <c r="G34" s="167">
        <f>F34*(1+0.07)^-(B34-Assumptions!$D$4)</f>
        <v>52002.069585857076</v>
      </c>
      <c r="H34" s="275"/>
    </row>
    <row r="35" spans="1:8" ht="15.75" thickBot="1" x14ac:dyDescent="0.3">
      <c r="B35" s="3">
        <f t="shared" si="0"/>
        <v>2054</v>
      </c>
      <c r="C35" s="306">
        <f>'Air Quality'!F34</f>
        <v>1002879.4028304517</v>
      </c>
      <c r="D35" s="225">
        <f>1*C35*Assumptions!$D$24*Assumptions!$D$14</f>
        <v>413843.80336717184</v>
      </c>
      <c r="E35" s="225">
        <f>1*C35*Assumptions!$D$25*Assumptions!$D$15</f>
        <v>78232.916071421161</v>
      </c>
      <c r="F35" s="225">
        <f t="shared" si="1"/>
        <v>492076.71943859302</v>
      </c>
      <c r="G35" s="226">
        <f>F35*(1+0.07)^-(B35-Assumptions!$D$4)</f>
        <v>49315.606363141029</v>
      </c>
      <c r="H35" s="275"/>
    </row>
    <row r="36" spans="1:8" ht="15.75" thickBot="1" x14ac:dyDescent="0.3">
      <c r="B36" s="4"/>
      <c r="C36" s="4"/>
      <c r="D36" s="162" t="s">
        <v>2</v>
      </c>
      <c r="E36" s="162"/>
      <c r="F36" s="169"/>
      <c r="G36" s="308">
        <f>SUM(G6:G35)</f>
        <v>3357183.0346340276</v>
      </c>
      <c r="H36" s="275"/>
    </row>
    <row r="37" spans="1:8" x14ac:dyDescent="0.25">
      <c r="H37" s="275"/>
    </row>
    <row r="38" spans="1:8" x14ac:dyDescent="0.25">
      <c r="B38" s="12" t="s">
        <v>3</v>
      </c>
      <c r="C38" s="12"/>
      <c r="D38" s="12"/>
      <c r="E38" s="12"/>
      <c r="H38" s="275"/>
    </row>
    <row r="39" spans="1:8" ht="15" customHeight="1" x14ac:dyDescent="0.25">
      <c r="A39" s="13" t="s">
        <v>53</v>
      </c>
      <c r="B39" s="493" t="str">
        <f>Assumptions!C47</f>
        <v>Vehicle operational costs  were valued in accordance with the Benefit-Cost Analysis Guidance for Discretionary Grant Programs - March 2022 (Revised). The recommended values for travel time were provided in year 2020 dollars.</v>
      </c>
      <c r="C39" s="493"/>
      <c r="D39" s="493"/>
      <c r="E39" s="493"/>
      <c r="F39" s="493"/>
      <c r="G39" s="493"/>
      <c r="H39" s="275"/>
    </row>
    <row r="40" spans="1:8" x14ac:dyDescent="0.25">
      <c r="B40" s="493"/>
      <c r="C40" s="493"/>
      <c r="D40" s="493"/>
      <c r="E40" s="493"/>
      <c r="F40" s="493"/>
      <c r="G40" s="493"/>
      <c r="H40" s="170"/>
    </row>
    <row r="41" spans="1:8" x14ac:dyDescent="0.25">
      <c r="B41" s="493"/>
      <c r="C41" s="493"/>
      <c r="D41" s="493"/>
      <c r="E41" s="493"/>
      <c r="F41" s="493"/>
      <c r="G41" s="493"/>
      <c r="H41" s="163"/>
    </row>
    <row r="42" spans="1:8" x14ac:dyDescent="0.25">
      <c r="B42" s="493"/>
      <c r="C42" s="493"/>
      <c r="D42" s="493"/>
      <c r="E42" s="493"/>
      <c r="F42" s="493"/>
      <c r="G42" s="493"/>
      <c r="H42" s="163"/>
    </row>
    <row r="43" spans="1:8" x14ac:dyDescent="0.25">
      <c r="B43" s="414"/>
      <c r="C43" s="414"/>
      <c r="D43" s="414"/>
      <c r="E43" s="414"/>
      <c r="F43" s="414"/>
      <c r="G43" s="414"/>
      <c r="H43" s="163"/>
    </row>
    <row r="44" spans="1:8" ht="15" customHeight="1" x14ac:dyDescent="0.25">
      <c r="A44" s="13" t="s">
        <v>67</v>
      </c>
      <c r="B44" s="493" t="s">
        <v>153</v>
      </c>
      <c r="C44" s="493"/>
      <c r="D44" s="493"/>
      <c r="E44" s="493"/>
      <c r="F44" s="493"/>
      <c r="G44" s="493"/>
      <c r="H44" s="163"/>
    </row>
    <row r="45" spans="1:8" x14ac:dyDescent="0.25">
      <c r="B45" s="493"/>
      <c r="C45" s="493"/>
      <c r="D45" s="493"/>
      <c r="E45" s="493"/>
      <c r="F45" s="493"/>
      <c r="G45" s="493"/>
      <c r="H45" s="163"/>
    </row>
    <row r="46" spans="1:8" x14ac:dyDescent="0.25">
      <c r="B46" s="493"/>
      <c r="C46" s="493"/>
      <c r="D46" s="493"/>
      <c r="E46" s="493"/>
      <c r="F46" s="493"/>
      <c r="G46" s="493"/>
      <c r="H46" s="163"/>
    </row>
    <row r="47" spans="1:8" x14ac:dyDescent="0.25">
      <c r="B47" s="414"/>
      <c r="C47" s="414"/>
      <c r="D47" s="414"/>
      <c r="E47" s="414"/>
      <c r="F47" s="414"/>
      <c r="G47" s="414"/>
      <c r="H47" s="163"/>
    </row>
    <row r="48" spans="1:8" ht="15" customHeight="1" x14ac:dyDescent="0.25">
      <c r="A48" s="13" t="s">
        <v>68</v>
      </c>
      <c r="B48" s="492" t="s">
        <v>339</v>
      </c>
      <c r="C48" s="492"/>
      <c r="D48" s="492"/>
      <c r="E48" s="492"/>
      <c r="F48" s="492"/>
      <c r="G48" s="492"/>
      <c r="H48" s="163"/>
    </row>
    <row r="49" spans="1:7" x14ac:dyDescent="0.25">
      <c r="B49" s="492"/>
      <c r="C49" s="492"/>
      <c r="D49" s="492"/>
      <c r="E49" s="492"/>
      <c r="F49" s="492"/>
      <c r="G49" s="492"/>
    </row>
    <row r="50" spans="1:7" x14ac:dyDescent="0.25">
      <c r="B50" s="492"/>
      <c r="C50" s="492"/>
      <c r="D50" s="492"/>
      <c r="E50" s="492"/>
      <c r="F50" s="492"/>
      <c r="G50" s="492"/>
    </row>
    <row r="51" spans="1:7" x14ac:dyDescent="0.25">
      <c r="B51" s="492"/>
      <c r="C51" s="492"/>
      <c r="D51" s="492"/>
      <c r="E51" s="492"/>
      <c r="F51" s="492"/>
      <c r="G51" s="492"/>
    </row>
    <row r="52" spans="1:7" x14ac:dyDescent="0.25">
      <c r="B52" s="492"/>
      <c r="C52" s="492"/>
      <c r="D52" s="492"/>
      <c r="E52" s="492"/>
      <c r="F52" s="492"/>
      <c r="G52" s="492"/>
    </row>
    <row r="53" spans="1:7" x14ac:dyDescent="0.25">
      <c r="B53" s="492"/>
      <c r="C53" s="492"/>
      <c r="D53" s="492"/>
      <c r="E53" s="492"/>
      <c r="F53" s="492"/>
      <c r="G53" s="492"/>
    </row>
    <row r="54" spans="1:7" x14ac:dyDescent="0.25">
      <c r="B54" s="492"/>
      <c r="C54" s="492"/>
      <c r="D54" s="492"/>
      <c r="E54" s="492"/>
      <c r="F54" s="492"/>
      <c r="G54" s="492"/>
    </row>
    <row r="55" spans="1:7" x14ac:dyDescent="0.25">
      <c r="B55" s="492"/>
      <c r="C55" s="492"/>
      <c r="D55" s="492"/>
      <c r="E55" s="492"/>
      <c r="F55" s="492"/>
      <c r="G55" s="492"/>
    </row>
    <row r="56" spans="1:7" x14ac:dyDescent="0.25">
      <c r="B56" s="101"/>
      <c r="C56" s="101"/>
      <c r="D56" s="101"/>
      <c r="E56" s="101"/>
      <c r="F56" s="101"/>
      <c r="G56" s="101"/>
    </row>
    <row r="57" spans="1:7" x14ac:dyDescent="0.25">
      <c r="B57" s="101"/>
      <c r="C57" s="101"/>
      <c r="D57" s="101"/>
      <c r="E57" s="101"/>
    </row>
    <row r="58" spans="1:7" x14ac:dyDescent="0.25">
      <c r="B58" s="101"/>
      <c r="C58" s="101"/>
      <c r="D58" s="101"/>
      <c r="E58" s="101"/>
    </row>
    <row r="59" spans="1:7" x14ac:dyDescent="0.25">
      <c r="B59" s="101"/>
      <c r="C59" s="101"/>
      <c r="D59" s="101"/>
      <c r="E59" s="101"/>
    </row>
    <row r="60" spans="1:7" x14ac:dyDescent="0.25">
      <c r="A60" s="13"/>
      <c r="B60" s="101"/>
      <c r="C60" s="101"/>
      <c r="D60" s="101"/>
      <c r="E60" s="101"/>
    </row>
    <row r="62" spans="1:7" x14ac:dyDescent="0.25">
      <c r="B62" s="101"/>
      <c r="C62" s="101"/>
      <c r="D62" s="101"/>
      <c r="E62" s="101"/>
    </row>
    <row r="63" spans="1:7" x14ac:dyDescent="0.25">
      <c r="A63" s="13"/>
      <c r="B63" s="101"/>
      <c r="C63" s="101"/>
      <c r="D63" s="101"/>
      <c r="E63" s="101"/>
    </row>
    <row r="64" spans="1:7" x14ac:dyDescent="0.25">
      <c r="B64" s="101"/>
      <c r="C64" s="101"/>
      <c r="D64" s="101"/>
      <c r="E64" s="101"/>
    </row>
    <row r="68" spans="1:1" x14ac:dyDescent="0.25">
      <c r="A68" s="13"/>
    </row>
    <row r="72" spans="1:1" x14ac:dyDescent="0.25">
      <c r="A72" s="13"/>
    </row>
    <row r="74" spans="1:1" x14ac:dyDescent="0.25">
      <c r="A74" s="13"/>
    </row>
    <row r="78" spans="1:1" x14ac:dyDescent="0.25">
      <c r="A78" s="13"/>
    </row>
  </sheetData>
  <mergeCells count="9">
    <mergeCell ref="B44:G46"/>
    <mergeCell ref="B48:G55"/>
    <mergeCell ref="B39:G42"/>
    <mergeCell ref="G4:G5"/>
    <mergeCell ref="E4:E5"/>
    <mergeCell ref="B4:B5"/>
    <mergeCell ref="C4:C5"/>
    <mergeCell ref="D4:D5"/>
    <mergeCell ref="F4:F5"/>
  </mergeCells>
  <pageMargins left="0.25" right="0.25" top="0.75" bottom="0.75" header="0.3" footer="0.3"/>
  <pageSetup paperSize="4"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B050"/>
    <pageSetUpPr fitToPage="1"/>
  </sheetPr>
  <dimension ref="A1:AE97"/>
  <sheetViews>
    <sheetView view="pageBreakPreview" zoomScale="85" zoomScaleNormal="85" zoomScaleSheetLayoutView="85" workbookViewId="0">
      <selection activeCell="B53" sqref="B53"/>
    </sheetView>
  </sheetViews>
  <sheetFormatPr defaultRowHeight="15" x14ac:dyDescent="0.25"/>
  <cols>
    <col min="1" max="1" width="9.140625" style="37"/>
    <col min="2" max="2" width="15.7109375" style="37" customWidth="1"/>
    <col min="3" max="14" width="12.85546875" style="37" customWidth="1"/>
    <col min="15" max="15" width="15.7109375" style="37" customWidth="1"/>
    <col min="16" max="16" width="15.85546875" style="37" customWidth="1"/>
    <col min="17" max="17" width="15.28515625" style="37" customWidth="1"/>
    <col min="18" max="18" width="27" style="37" bestFit="1" customWidth="1"/>
    <col min="19" max="19" width="29.42578125" style="37" customWidth="1"/>
    <col min="20" max="20" width="26.28515625" style="37" customWidth="1"/>
    <col min="21" max="21" width="17.7109375" style="37" bestFit="1" customWidth="1"/>
    <col min="22" max="22" width="21.28515625" style="37" customWidth="1"/>
    <col min="23" max="25" width="15.7109375" style="37" customWidth="1"/>
    <col min="26" max="26" width="24.7109375" style="37" customWidth="1"/>
    <col min="27" max="29" width="13.7109375" style="37" customWidth="1"/>
    <col min="30" max="30" width="20" style="37" customWidth="1"/>
    <col min="31" max="31" width="9" style="37" customWidth="1"/>
    <col min="32" max="16384" width="9.140625" style="37"/>
  </cols>
  <sheetData>
    <row r="1" spans="1:31" ht="15" customHeight="1" x14ac:dyDescent="0.25">
      <c r="A1" s="62"/>
      <c r="B1" s="97">
        <v>1</v>
      </c>
      <c r="C1" s="97">
        <v>2</v>
      </c>
      <c r="D1" s="97">
        <v>3</v>
      </c>
      <c r="E1" s="97">
        <v>4</v>
      </c>
      <c r="F1" s="97">
        <v>5</v>
      </c>
      <c r="G1" s="97">
        <v>6</v>
      </c>
      <c r="H1" s="97">
        <v>7</v>
      </c>
      <c r="I1" s="97">
        <v>8</v>
      </c>
      <c r="J1" s="97">
        <v>9</v>
      </c>
      <c r="K1" s="97">
        <v>10</v>
      </c>
      <c r="L1" s="97">
        <v>11</v>
      </c>
      <c r="M1" s="97">
        <v>12</v>
      </c>
      <c r="N1" s="97">
        <v>13</v>
      </c>
      <c r="O1" s="97">
        <v>14</v>
      </c>
      <c r="P1" s="97">
        <v>15</v>
      </c>
    </row>
    <row r="2" spans="1:31" ht="15" customHeight="1" x14ac:dyDescent="0.25">
      <c r="A2" s="83"/>
      <c r="AE2" s="39"/>
    </row>
    <row r="3" spans="1:31" x14ac:dyDescent="0.25">
      <c r="B3" s="12" t="s">
        <v>54</v>
      </c>
      <c r="C3" s="12"/>
      <c r="D3" s="12"/>
      <c r="E3" s="12"/>
      <c r="F3" s="12"/>
      <c r="G3" s="12"/>
      <c r="H3" s="12"/>
      <c r="I3" s="12"/>
      <c r="J3" s="12"/>
      <c r="K3" s="12"/>
      <c r="L3" s="12"/>
      <c r="M3" s="12"/>
      <c r="N3" s="12"/>
    </row>
    <row r="4" spans="1:31" ht="15.75" thickBot="1" x14ac:dyDescent="0.3">
      <c r="B4" s="12"/>
      <c r="C4" s="12"/>
      <c r="D4" s="12"/>
      <c r="E4" s="12"/>
      <c r="F4" s="12"/>
      <c r="G4" s="12"/>
      <c r="H4" s="12"/>
      <c r="I4" s="12"/>
      <c r="J4" s="12"/>
      <c r="K4" s="12"/>
      <c r="L4" s="12"/>
      <c r="M4" s="12"/>
      <c r="N4" s="12"/>
    </row>
    <row r="5" spans="1:31" ht="30" customHeight="1" thickBot="1" x14ac:dyDescent="0.3">
      <c r="B5" s="515" t="s">
        <v>0</v>
      </c>
      <c r="C5" s="517" t="s">
        <v>178</v>
      </c>
      <c r="D5" s="518"/>
      <c r="E5" s="518"/>
      <c r="F5" s="518"/>
      <c r="G5" s="519"/>
      <c r="H5" s="515" t="s">
        <v>179</v>
      </c>
      <c r="I5" s="517" t="s">
        <v>180</v>
      </c>
      <c r="J5" s="518"/>
      <c r="K5" s="518"/>
      <c r="L5" s="518"/>
      <c r="M5" s="519"/>
      <c r="N5" s="515" t="s">
        <v>181</v>
      </c>
      <c r="O5" s="511" t="s">
        <v>155</v>
      </c>
      <c r="P5" s="513" t="s">
        <v>1</v>
      </c>
      <c r="AA5" s="45"/>
      <c r="AB5" s="45"/>
    </row>
    <row r="6" spans="1:31" ht="30" customHeight="1" thickBot="1" x14ac:dyDescent="0.3">
      <c r="B6" s="516"/>
      <c r="C6" s="365" t="s">
        <v>55</v>
      </c>
      <c r="D6" s="366" t="s">
        <v>56</v>
      </c>
      <c r="E6" s="366" t="s">
        <v>57</v>
      </c>
      <c r="F6" s="366" t="s">
        <v>58</v>
      </c>
      <c r="G6" s="367" t="s">
        <v>177</v>
      </c>
      <c r="H6" s="516"/>
      <c r="I6" s="365" t="s">
        <v>55</v>
      </c>
      <c r="J6" s="366" t="s">
        <v>56</v>
      </c>
      <c r="K6" s="366" t="s">
        <v>57</v>
      </c>
      <c r="L6" s="366" t="s">
        <v>58</v>
      </c>
      <c r="M6" s="367" t="s">
        <v>177</v>
      </c>
      <c r="N6" s="516"/>
      <c r="O6" s="512"/>
      <c r="P6" s="514"/>
      <c r="X6" s="94"/>
      <c r="AA6" s="45"/>
      <c r="AB6" s="45"/>
    </row>
    <row r="7" spans="1:31" x14ac:dyDescent="0.25">
      <c r="B7" s="60">
        <f>Assumptions!$D$8</f>
        <v>2025</v>
      </c>
      <c r="C7" s="368">
        <v>7.933085501858736E-2</v>
      </c>
      <c r="D7" s="369">
        <v>0.25001239157372984</v>
      </c>
      <c r="E7" s="369">
        <v>2.0433705080545228</v>
      </c>
      <c r="F7" s="369">
        <v>7.3272862453531591</v>
      </c>
      <c r="G7" s="370">
        <v>17.95</v>
      </c>
      <c r="H7" s="377">
        <f>SUMPRODUCT(C7:G7,$R$9:$V$9)</f>
        <v>2113894.2379182153</v>
      </c>
      <c r="I7" s="368">
        <v>2.3372093023255811E-2</v>
      </c>
      <c r="J7" s="369">
        <v>8.9593023255813947E-2</v>
      </c>
      <c r="K7" s="369">
        <v>1.0205813953488372</v>
      </c>
      <c r="L7" s="369">
        <v>2.8864534883720929</v>
      </c>
      <c r="M7" s="370">
        <v>5.6099999999999994</v>
      </c>
      <c r="N7" s="377">
        <f>SUMPRODUCT(I7:M7,$R$9:$V$9)</f>
        <v>752491.11627906968</v>
      </c>
      <c r="O7" s="189">
        <f>H7-N7</f>
        <v>1361403.1216391455</v>
      </c>
      <c r="P7" s="181">
        <f>O7*(1+0.07)^-(B7-Assumptions!$D$4)</f>
        <v>970661.61043463426</v>
      </c>
      <c r="R7" s="468" t="s">
        <v>310</v>
      </c>
      <c r="S7" s="127"/>
      <c r="T7" s="127"/>
      <c r="U7" s="127"/>
      <c r="V7" s="127"/>
      <c r="W7" s="97"/>
      <c r="X7" s="94"/>
      <c r="AA7" s="45"/>
      <c r="AB7" s="48"/>
    </row>
    <row r="8" spans="1:31" x14ac:dyDescent="0.25">
      <c r="B8" s="41">
        <f>+B7+1</f>
        <v>2026</v>
      </c>
      <c r="C8" s="371">
        <v>8.0230483271375469E-2</v>
      </c>
      <c r="D8" s="372">
        <v>0.25284758364312271</v>
      </c>
      <c r="E8" s="372">
        <v>2.0665427509293681</v>
      </c>
      <c r="F8" s="372">
        <v>7.4103791821561344</v>
      </c>
      <c r="G8" s="373">
        <v>18.22</v>
      </c>
      <c r="H8" s="378">
        <f t="shared" ref="H8:H36" si="0">SUMPRODUCT(C8:G8,$R$9:$V$9)</f>
        <v>2138171.8736059479</v>
      </c>
      <c r="I8" s="371">
        <v>2.3720930232558141E-2</v>
      </c>
      <c r="J8" s="372">
        <v>9.0930232558139548E-2</v>
      </c>
      <c r="K8" s="372">
        <v>1.0358139534883721</v>
      </c>
      <c r="L8" s="372">
        <v>2.9295348837209305</v>
      </c>
      <c r="M8" s="373">
        <v>5.71</v>
      </c>
      <c r="N8" s="378">
        <f t="shared" ref="N8:N36" si="1">SUMPRODUCT(I8:M8,$R$9:$V$9)</f>
        <v>763797.16279069777</v>
      </c>
      <c r="O8" s="190">
        <f t="shared" ref="O8:O36" si="2">H8-N8</f>
        <v>1374374.7108152502</v>
      </c>
      <c r="P8" s="175">
        <f>O8*(1+0.07)^-(B8-Assumptions!$D$4)</f>
        <v>915803.90116181015</v>
      </c>
      <c r="R8" s="413" t="s">
        <v>55</v>
      </c>
      <c r="S8" s="413" t="s">
        <v>56</v>
      </c>
      <c r="T8" s="413" t="s">
        <v>57</v>
      </c>
      <c r="U8" s="413" t="s">
        <v>58</v>
      </c>
      <c r="V8" s="413" t="s">
        <v>59</v>
      </c>
      <c r="X8" s="81"/>
      <c r="AA8" s="45"/>
      <c r="AB8" s="45"/>
    </row>
    <row r="9" spans="1:31" ht="15" customHeight="1" x14ac:dyDescent="0.25">
      <c r="B9" s="41">
        <f t="shared" ref="B9:B36" si="3">+B8+1</f>
        <v>2027</v>
      </c>
      <c r="C9" s="371">
        <v>8.1048327137546464E-2</v>
      </c>
      <c r="D9" s="372">
        <v>0.25542503097893432</v>
      </c>
      <c r="E9" s="372">
        <v>2.0876084262701364</v>
      </c>
      <c r="F9" s="372">
        <v>7.485918215613383</v>
      </c>
      <c r="G9" s="373">
        <v>18.489999999999998</v>
      </c>
      <c r="H9" s="378">
        <f t="shared" si="0"/>
        <v>2160355.3605947956</v>
      </c>
      <c r="I9" s="371">
        <v>2.4069767441860464E-2</v>
      </c>
      <c r="J9" s="372">
        <v>9.2267441860465121E-2</v>
      </c>
      <c r="K9" s="372">
        <v>1.0510465116279069</v>
      </c>
      <c r="L9" s="372">
        <v>2.9726162790697672</v>
      </c>
      <c r="M9" s="373">
        <v>5.81</v>
      </c>
      <c r="N9" s="378">
        <f t="shared" si="1"/>
        <v>775103.2093023255</v>
      </c>
      <c r="O9" s="190">
        <f t="shared" si="2"/>
        <v>1385252.1512924701</v>
      </c>
      <c r="P9" s="175">
        <f>O9*(1+0.07)^-(B9-Assumptions!$D$4)</f>
        <v>862665.41966246022</v>
      </c>
      <c r="R9" s="469">
        <v>12837400</v>
      </c>
      <c r="S9" s="469">
        <v>554800</v>
      </c>
      <c r="T9" s="469">
        <v>151000</v>
      </c>
      <c r="U9" s="469">
        <v>77200</v>
      </c>
      <c r="V9" s="469">
        <v>4600</v>
      </c>
      <c r="X9" s="123"/>
      <c r="AA9" s="45"/>
      <c r="AB9" s="45"/>
    </row>
    <row r="10" spans="1:31" x14ac:dyDescent="0.25">
      <c r="B10" s="41">
        <f t="shared" si="3"/>
        <v>2028</v>
      </c>
      <c r="C10" s="371">
        <v>8.1947955390334573E-2</v>
      </c>
      <c r="D10" s="372">
        <v>0.25826022304832713</v>
      </c>
      <c r="E10" s="372">
        <v>2.1107806691449813</v>
      </c>
      <c r="F10" s="372">
        <v>7.5690111524163566</v>
      </c>
      <c r="G10" s="373">
        <v>18.75</v>
      </c>
      <c r="H10" s="378">
        <f t="shared" si="0"/>
        <v>2184586.9962825282</v>
      </c>
      <c r="I10" s="371">
        <v>2.441860465116279E-2</v>
      </c>
      <c r="J10" s="372">
        <v>9.3604651162790709E-2</v>
      </c>
      <c r="K10" s="372">
        <v>1.066279069767442</v>
      </c>
      <c r="L10" s="372">
        <v>3.0156976744186048</v>
      </c>
      <c r="M10" s="373">
        <v>5.91</v>
      </c>
      <c r="N10" s="378">
        <f t="shared" si="1"/>
        <v>786409.25581395358</v>
      </c>
      <c r="O10" s="190">
        <f t="shared" si="2"/>
        <v>1398177.7404685747</v>
      </c>
      <c r="P10" s="175">
        <f>O10*(1+0.07)^-(B10-Assumptions!$D$4)</f>
        <v>813752.17475288385</v>
      </c>
      <c r="R10" s="81"/>
      <c r="S10" s="119"/>
      <c r="T10" s="93"/>
      <c r="U10" s="82"/>
      <c r="V10" s="45"/>
      <c r="W10" s="45"/>
      <c r="X10" s="123"/>
      <c r="AC10" s="394"/>
      <c r="AD10" s="394"/>
      <c r="AE10" s="394"/>
    </row>
    <row r="11" spans="1:31" x14ac:dyDescent="0.25">
      <c r="B11" s="41">
        <f t="shared" si="3"/>
        <v>2029</v>
      </c>
      <c r="C11" s="371">
        <v>8.2765799256505568E-2</v>
      </c>
      <c r="D11" s="372">
        <v>0.26083767038413874</v>
      </c>
      <c r="E11" s="372">
        <v>2.1318463444857496</v>
      </c>
      <c r="F11" s="372">
        <v>7.6445501858736051</v>
      </c>
      <c r="G11" s="373">
        <v>19.02</v>
      </c>
      <c r="H11" s="378">
        <f t="shared" si="0"/>
        <v>2206770.4832713753</v>
      </c>
      <c r="I11" s="371">
        <v>2.4767441860465114E-2</v>
      </c>
      <c r="J11" s="372">
        <v>9.4941860465116282E-2</v>
      </c>
      <c r="K11" s="372">
        <v>1.0815116279069767</v>
      </c>
      <c r="L11" s="372">
        <v>3.058779069767442</v>
      </c>
      <c r="M11" s="373">
        <v>6.01</v>
      </c>
      <c r="N11" s="378">
        <f t="shared" si="1"/>
        <v>797715.30232558143</v>
      </c>
      <c r="O11" s="190">
        <f t="shared" si="2"/>
        <v>1409055.1809457939</v>
      </c>
      <c r="P11" s="175">
        <f>O11*(1+0.07)^-(B11-Assumptions!$D$4)</f>
        <v>766432.65807942965</v>
      </c>
      <c r="X11" s="123"/>
      <c r="AC11" s="510"/>
      <c r="AD11" s="394"/>
      <c r="AE11" s="395"/>
    </row>
    <row r="12" spans="1:31" x14ac:dyDescent="0.25">
      <c r="B12" s="41">
        <f t="shared" si="3"/>
        <v>2030</v>
      </c>
      <c r="C12" s="371">
        <v>8.3665427509293677E-2</v>
      </c>
      <c r="D12" s="372">
        <v>0.26367286245353161</v>
      </c>
      <c r="E12" s="372">
        <v>2.1550185873605949</v>
      </c>
      <c r="F12" s="372">
        <v>7.7276431226765805</v>
      </c>
      <c r="G12" s="373">
        <v>19.29</v>
      </c>
      <c r="H12" s="378">
        <f t="shared" si="0"/>
        <v>2231048.1189591079</v>
      </c>
      <c r="I12" s="371">
        <v>2.5116279069767444E-2</v>
      </c>
      <c r="J12" s="372">
        <v>9.6279069767441869E-2</v>
      </c>
      <c r="K12" s="372">
        <v>1.0967441860465117</v>
      </c>
      <c r="L12" s="372">
        <v>3.1018604651162796</v>
      </c>
      <c r="M12" s="373">
        <v>6.1199999999999992</v>
      </c>
      <c r="N12" s="378">
        <f t="shared" si="1"/>
        <v>809067.3488372094</v>
      </c>
      <c r="O12" s="190">
        <f t="shared" si="2"/>
        <v>1421980.7701218985</v>
      </c>
      <c r="P12" s="175">
        <f>O12*(1+0.07)^-(B12-Assumptions!$D$4)</f>
        <v>722862.917920648</v>
      </c>
      <c r="X12" s="123"/>
      <c r="AC12" s="510"/>
      <c r="AD12" s="394"/>
      <c r="AE12" s="395"/>
    </row>
    <row r="13" spans="1:31" x14ac:dyDescent="0.25">
      <c r="B13" s="41">
        <f t="shared" si="3"/>
        <v>2031</v>
      </c>
      <c r="C13" s="371">
        <v>8.4483271375464686E-2</v>
      </c>
      <c r="D13" s="372">
        <v>0.26625030978934322</v>
      </c>
      <c r="E13" s="372">
        <v>2.1760842627013632</v>
      </c>
      <c r="F13" s="372">
        <v>7.803182156133829</v>
      </c>
      <c r="G13" s="373">
        <v>19.55</v>
      </c>
      <c r="H13" s="378">
        <f t="shared" si="0"/>
        <v>2253185.6059479555</v>
      </c>
      <c r="I13" s="371">
        <v>2.5465116279069767E-2</v>
      </c>
      <c r="J13" s="372">
        <v>9.7616279069767442E-2</v>
      </c>
      <c r="K13" s="372">
        <v>1.1119767441860464</v>
      </c>
      <c r="L13" s="372">
        <v>3.1449418604651163</v>
      </c>
      <c r="M13" s="373">
        <v>6.22</v>
      </c>
      <c r="N13" s="378">
        <f t="shared" si="1"/>
        <v>820373.39534883713</v>
      </c>
      <c r="O13" s="190">
        <f t="shared" si="2"/>
        <v>1432812.2105991184</v>
      </c>
      <c r="P13" s="175">
        <f>O13*(1+0.07)^-(B13-Assumptions!$D$4)</f>
        <v>680718.75983181491</v>
      </c>
      <c r="X13" s="123"/>
      <c r="AC13" s="510"/>
      <c r="AD13" s="394"/>
      <c r="AE13" s="395"/>
    </row>
    <row r="14" spans="1:31" x14ac:dyDescent="0.25">
      <c r="B14" s="41">
        <f t="shared" si="3"/>
        <v>2032</v>
      </c>
      <c r="C14" s="371">
        <v>8.530111524163568E-2</v>
      </c>
      <c r="D14" s="372">
        <v>0.26882775712515489</v>
      </c>
      <c r="E14" s="372">
        <v>2.1971499380421311</v>
      </c>
      <c r="F14" s="372">
        <v>7.8787211895910776</v>
      </c>
      <c r="G14" s="373">
        <v>19.82</v>
      </c>
      <c r="H14" s="378">
        <f t="shared" si="0"/>
        <v>2275369.0929368027</v>
      </c>
      <c r="I14" s="371">
        <v>2.581395348837209E-2</v>
      </c>
      <c r="J14" s="372">
        <v>9.8953488372093015E-2</v>
      </c>
      <c r="K14" s="372">
        <v>1.1272093023255814</v>
      </c>
      <c r="L14" s="372">
        <v>3.1880232558139534</v>
      </c>
      <c r="M14" s="373">
        <v>6.33</v>
      </c>
      <c r="N14" s="378">
        <f t="shared" si="1"/>
        <v>831725.4418604651</v>
      </c>
      <c r="O14" s="190">
        <f t="shared" si="2"/>
        <v>1443643.6510763376</v>
      </c>
      <c r="P14" s="175">
        <f>O14*(1+0.07)^-(B14-Assumptions!$D$4)</f>
        <v>640995.0459598531</v>
      </c>
      <c r="Y14" s="45"/>
      <c r="AA14" s="45"/>
      <c r="AB14" s="45"/>
      <c r="AC14" s="510"/>
      <c r="AD14" s="394"/>
      <c r="AE14" s="395"/>
    </row>
    <row r="15" spans="1:31" x14ac:dyDescent="0.25">
      <c r="B15" s="41">
        <f t="shared" si="3"/>
        <v>2033</v>
      </c>
      <c r="C15" s="371">
        <v>8.620074349442379E-2</v>
      </c>
      <c r="D15" s="372">
        <v>0.2716629491945477</v>
      </c>
      <c r="E15" s="372">
        <v>2.2203221809169764</v>
      </c>
      <c r="F15" s="372">
        <v>7.9618141263940512</v>
      </c>
      <c r="G15" s="373">
        <v>20.09</v>
      </c>
      <c r="H15" s="378">
        <f t="shared" si="0"/>
        <v>2299646.7286245353</v>
      </c>
      <c r="I15" s="371">
        <v>2.6104651162790697E-2</v>
      </c>
      <c r="J15" s="372">
        <v>0.10006782945736435</v>
      </c>
      <c r="K15" s="372">
        <v>1.1399031007751939</v>
      </c>
      <c r="L15" s="372">
        <v>3.2239244186046516</v>
      </c>
      <c r="M15" s="373">
        <v>6.42</v>
      </c>
      <c r="N15" s="378">
        <f t="shared" si="1"/>
        <v>841177.81395348837</v>
      </c>
      <c r="O15" s="190">
        <f t="shared" si="2"/>
        <v>1458468.9146710469</v>
      </c>
      <c r="P15" s="175">
        <f>O15*(1+0.07)^-(B15-Assumptions!$D$4)</f>
        <v>605212.74793906556</v>
      </c>
      <c r="Y15" s="45"/>
      <c r="AA15" s="45"/>
      <c r="AB15" s="45"/>
      <c r="AC15" s="46"/>
      <c r="AD15" s="46"/>
      <c r="AE15" s="46"/>
    </row>
    <row r="16" spans="1:31" x14ac:dyDescent="0.25">
      <c r="B16" s="41">
        <f t="shared" si="3"/>
        <v>2034</v>
      </c>
      <c r="C16" s="371">
        <v>8.7018587360594798E-2</v>
      </c>
      <c r="D16" s="372">
        <v>0.27424039653035936</v>
      </c>
      <c r="E16" s="372">
        <v>2.2413878562577447</v>
      </c>
      <c r="F16" s="372">
        <v>8.0373531598513015</v>
      </c>
      <c r="G16" s="373">
        <v>20.36</v>
      </c>
      <c r="H16" s="378">
        <f t="shared" si="0"/>
        <v>2321830.2156133829</v>
      </c>
      <c r="I16" s="371">
        <v>2.6453488372093027E-2</v>
      </c>
      <c r="J16" s="372">
        <v>0.10140503875968994</v>
      </c>
      <c r="K16" s="372">
        <v>1.1551356589147288</v>
      </c>
      <c r="L16" s="372">
        <v>3.2670058139534892</v>
      </c>
      <c r="M16" s="373">
        <v>6.51</v>
      </c>
      <c r="N16" s="378">
        <f t="shared" si="1"/>
        <v>852437.86046511645</v>
      </c>
      <c r="O16" s="190">
        <f t="shared" si="2"/>
        <v>1469392.3551482665</v>
      </c>
      <c r="P16" s="175">
        <f>O16*(1+0.07)^-(B16-Assumptions!$D$4)</f>
        <v>569855.6891455499</v>
      </c>
      <c r="R16" s="125"/>
      <c r="S16" s="124"/>
      <c r="T16" s="124"/>
      <c r="U16" s="124"/>
      <c r="V16" s="124"/>
      <c r="Y16" s="45"/>
      <c r="AA16" s="45"/>
      <c r="AB16" s="45"/>
      <c r="AC16" s="46"/>
      <c r="AD16" s="46"/>
      <c r="AE16" s="46"/>
    </row>
    <row r="17" spans="2:31" x14ac:dyDescent="0.25">
      <c r="B17" s="41">
        <f t="shared" si="3"/>
        <v>2035</v>
      </c>
      <c r="C17" s="371">
        <v>8.7836431226765807E-2</v>
      </c>
      <c r="D17" s="372">
        <v>0.27681784386617098</v>
      </c>
      <c r="E17" s="372">
        <v>2.262453531598513</v>
      </c>
      <c r="F17" s="372">
        <v>8.11289219330855</v>
      </c>
      <c r="G17" s="373">
        <v>20.63</v>
      </c>
      <c r="H17" s="378">
        <f t="shared" si="0"/>
        <v>2344013.7026022305</v>
      </c>
      <c r="I17" s="371">
        <v>2.6744186046511624E-2</v>
      </c>
      <c r="J17" s="372">
        <v>0.10251937984496123</v>
      </c>
      <c r="K17" s="372">
        <v>1.1678294573643411</v>
      </c>
      <c r="L17" s="372">
        <v>3.3029069767441861</v>
      </c>
      <c r="M17" s="373">
        <v>6.6000000000000005</v>
      </c>
      <c r="N17" s="378">
        <f t="shared" si="1"/>
        <v>861890.2325581396</v>
      </c>
      <c r="O17" s="190">
        <f t="shared" si="2"/>
        <v>1482123.4700440909</v>
      </c>
      <c r="P17" s="175">
        <f>O17*(1+0.07)^-(B17-Assumptions!$D$4)</f>
        <v>537189.75233600289</v>
      </c>
      <c r="R17" s="125"/>
      <c r="S17" s="124"/>
      <c r="T17" s="124"/>
      <c r="U17" s="124"/>
      <c r="V17" s="124"/>
      <c r="Y17" s="45"/>
      <c r="AA17" s="94"/>
      <c r="AB17" s="45"/>
      <c r="AC17" s="45"/>
      <c r="AD17" s="45"/>
      <c r="AE17" s="45"/>
    </row>
    <row r="18" spans="2:31" x14ac:dyDescent="0.25">
      <c r="B18" s="41">
        <f t="shared" si="3"/>
        <v>2036</v>
      </c>
      <c r="C18" s="371">
        <v>8.8736059479553903E-2</v>
      </c>
      <c r="D18" s="372">
        <v>0.27965303593556379</v>
      </c>
      <c r="E18" s="372">
        <v>2.2856257744733579</v>
      </c>
      <c r="F18" s="372">
        <v>8.1959851301115236</v>
      </c>
      <c r="G18" s="373">
        <v>20.89</v>
      </c>
      <c r="H18" s="378">
        <f t="shared" si="0"/>
        <v>2368245.3382899626</v>
      </c>
      <c r="I18" s="371">
        <v>2.7093023255813954E-2</v>
      </c>
      <c r="J18" s="372">
        <v>0.10385658914728683</v>
      </c>
      <c r="K18" s="372">
        <v>1.183062015503876</v>
      </c>
      <c r="L18" s="372">
        <v>3.3459883720930237</v>
      </c>
      <c r="M18" s="373">
        <v>6.6899999999999995</v>
      </c>
      <c r="N18" s="378">
        <f t="shared" si="1"/>
        <v>873150.27906976757</v>
      </c>
      <c r="O18" s="190">
        <f t="shared" si="2"/>
        <v>1495095.059220195</v>
      </c>
      <c r="P18" s="175">
        <f>O18*(1+0.07)^-(B18-Assumptions!$D$4)</f>
        <v>506440.42355263344</v>
      </c>
      <c r="R18" s="84"/>
      <c r="S18" s="84"/>
      <c r="T18" s="84"/>
      <c r="U18" s="84"/>
      <c r="V18" s="84"/>
      <c r="Y18" s="45"/>
      <c r="Z18" s="40" t="s">
        <v>187</v>
      </c>
      <c r="AE18" s="98"/>
    </row>
    <row r="19" spans="2:31" x14ac:dyDescent="0.25">
      <c r="B19" s="41">
        <f t="shared" si="3"/>
        <v>2037</v>
      </c>
      <c r="C19" s="371">
        <v>8.9553903345724897E-2</v>
      </c>
      <c r="D19" s="372">
        <v>0.28223048327137545</v>
      </c>
      <c r="E19" s="372">
        <v>2.3066914498141262</v>
      </c>
      <c r="F19" s="372">
        <v>8.2715241635687722</v>
      </c>
      <c r="G19" s="373">
        <v>21.17</v>
      </c>
      <c r="H19" s="378">
        <f t="shared" si="0"/>
        <v>2390474.8252788102</v>
      </c>
      <c r="I19" s="371">
        <v>2.7441860465116277E-2</v>
      </c>
      <c r="J19" s="372">
        <v>0.10519379844961241</v>
      </c>
      <c r="K19" s="372">
        <v>1.1982945736434107</v>
      </c>
      <c r="L19" s="372">
        <v>3.3890697674418604</v>
      </c>
      <c r="M19" s="373">
        <v>6.7799999999999994</v>
      </c>
      <c r="N19" s="378">
        <f t="shared" si="1"/>
        <v>884410.3255813953</v>
      </c>
      <c r="O19" s="190">
        <f t="shared" si="2"/>
        <v>1506064.4996974149</v>
      </c>
      <c r="P19" s="175">
        <f>O19*(1+0.07)^-(B19-Assumptions!$D$4)</f>
        <v>476781.45099134417</v>
      </c>
      <c r="R19" s="125"/>
      <c r="S19" s="124"/>
      <c r="T19" s="124"/>
      <c r="U19" s="124"/>
      <c r="V19" s="124"/>
      <c r="Y19" s="45"/>
      <c r="Z19" s="386"/>
      <c r="AA19" s="387" t="s">
        <v>43</v>
      </c>
      <c r="AB19" s="387" t="s">
        <v>44</v>
      </c>
      <c r="AC19" s="387" t="s">
        <v>188</v>
      </c>
      <c r="AD19" s="388" t="s">
        <v>182</v>
      </c>
      <c r="AE19" s="50"/>
    </row>
    <row r="20" spans="2:31" x14ac:dyDescent="0.25">
      <c r="B20" s="41">
        <f t="shared" si="3"/>
        <v>2038</v>
      </c>
      <c r="C20" s="371">
        <v>9.037174721189592E-2</v>
      </c>
      <c r="D20" s="372">
        <v>0.28480793060718712</v>
      </c>
      <c r="E20" s="372">
        <v>2.327757125154895</v>
      </c>
      <c r="F20" s="372">
        <v>8.3470631970260225</v>
      </c>
      <c r="G20" s="373">
        <v>21.43</v>
      </c>
      <c r="H20" s="378">
        <f t="shared" si="0"/>
        <v>2412612.3122676583</v>
      </c>
      <c r="I20" s="371">
        <v>2.77906976744186E-2</v>
      </c>
      <c r="J20" s="372">
        <v>0.10653100775193798</v>
      </c>
      <c r="K20" s="372">
        <v>1.2135271317829457</v>
      </c>
      <c r="L20" s="372">
        <v>3.4321511627906975</v>
      </c>
      <c r="M20" s="373">
        <v>6.87</v>
      </c>
      <c r="N20" s="378">
        <f t="shared" si="1"/>
        <v>895670.37209302315</v>
      </c>
      <c r="O20" s="190">
        <f t="shared" si="2"/>
        <v>1516941.940174635</v>
      </c>
      <c r="P20" s="175">
        <f>O20*(1+0.07)^-(B20-Assumptions!$D$4)</f>
        <v>448808.38325255114</v>
      </c>
      <c r="R20" s="125"/>
      <c r="W20" s="124"/>
      <c r="X20" s="124"/>
      <c r="Y20" s="51"/>
      <c r="Z20" s="380" t="s">
        <v>183</v>
      </c>
      <c r="AA20" s="381">
        <f>SUM(C7:G36)</f>
        <v>991.63999999999976</v>
      </c>
      <c r="AB20" s="381">
        <f>SUM(I7:M36)</f>
        <v>354.71999999999991</v>
      </c>
      <c r="AC20" s="381">
        <f>AA20-AB20</f>
        <v>636.91999999999985</v>
      </c>
      <c r="AD20" s="382">
        <f>AC20/AA20</f>
        <v>0.64228954055907383</v>
      </c>
      <c r="AE20" s="50"/>
    </row>
    <row r="21" spans="2:31" x14ac:dyDescent="0.25">
      <c r="B21" s="41">
        <f t="shared" si="3"/>
        <v>2039</v>
      </c>
      <c r="C21" s="371">
        <v>9.1271375464684015E-2</v>
      </c>
      <c r="D21" s="372">
        <v>0.28764312267657993</v>
      </c>
      <c r="E21" s="372">
        <v>2.3509293680297398</v>
      </c>
      <c r="F21" s="372">
        <v>8.4301561338289961</v>
      </c>
      <c r="G21" s="373">
        <v>21.71</v>
      </c>
      <c r="H21" s="378">
        <f t="shared" si="0"/>
        <v>2436935.9479553904</v>
      </c>
      <c r="I21" s="371">
        <v>2.8081395348837208E-2</v>
      </c>
      <c r="J21" s="372">
        <v>0.10764534883720932</v>
      </c>
      <c r="K21" s="372">
        <v>1.2262209302325582</v>
      </c>
      <c r="L21" s="372">
        <v>3.4680523255813958</v>
      </c>
      <c r="M21" s="373">
        <v>6.9599999999999991</v>
      </c>
      <c r="N21" s="378">
        <f t="shared" si="1"/>
        <v>905122.74418604653</v>
      </c>
      <c r="O21" s="190">
        <f t="shared" si="2"/>
        <v>1531813.2037693439</v>
      </c>
      <c r="P21" s="175">
        <f>O21*(1+0.07)^-(B21-Assumptions!$D$4)</f>
        <v>423559.1154582547</v>
      </c>
      <c r="R21" s="125"/>
      <c r="W21" s="124"/>
      <c r="X21" s="124"/>
      <c r="Z21" s="380" t="s">
        <v>184</v>
      </c>
      <c r="AA21" s="381">
        <f>SUM(C7:F36)</f>
        <v>336.04000000000019</v>
      </c>
      <c r="AB21" s="381">
        <f>SUM(I7:L36)</f>
        <v>145.77000000000001</v>
      </c>
      <c r="AC21" s="381">
        <f>AA21-AB21</f>
        <v>190.27000000000018</v>
      </c>
      <c r="AD21" s="382">
        <f>AC21/AA21</f>
        <v>0.56621235567194406</v>
      </c>
      <c r="AE21" s="45"/>
    </row>
    <row r="22" spans="2:31" x14ac:dyDescent="0.25">
      <c r="B22" s="41">
        <f t="shared" si="3"/>
        <v>2040</v>
      </c>
      <c r="C22" s="371">
        <v>9.208921933085501E-2</v>
      </c>
      <c r="D22" s="372">
        <v>0.29022057001239154</v>
      </c>
      <c r="E22" s="372">
        <v>2.3719950433705081</v>
      </c>
      <c r="F22" s="372">
        <v>8.5056951672862446</v>
      </c>
      <c r="G22" s="373">
        <v>21.98</v>
      </c>
      <c r="H22" s="378">
        <f t="shared" si="0"/>
        <v>2459119.4349442376</v>
      </c>
      <c r="I22" s="371">
        <v>2.8430232558139534E-2</v>
      </c>
      <c r="J22" s="372">
        <v>0.10898255813953488</v>
      </c>
      <c r="K22" s="372">
        <v>1.2414534883720929</v>
      </c>
      <c r="L22" s="372">
        <v>3.5111337209302325</v>
      </c>
      <c r="M22" s="373">
        <v>7.03</v>
      </c>
      <c r="N22" s="378">
        <f t="shared" si="1"/>
        <v>916290.79069767427</v>
      </c>
      <c r="O22" s="190">
        <f t="shared" si="2"/>
        <v>1542828.6442465633</v>
      </c>
      <c r="P22" s="175">
        <f>O22*(1+0.07)^-(B22-Assumptions!$D$4)</f>
        <v>398696.23975886987</v>
      </c>
      <c r="R22" s="351"/>
      <c r="W22" s="84"/>
      <c r="X22" s="84"/>
      <c r="Z22" s="383" t="s">
        <v>185</v>
      </c>
      <c r="AA22" s="384">
        <f>MROUND(SUM(H7:H36),100000)/10^6</f>
        <v>73.400000000000006</v>
      </c>
      <c r="AB22" s="384">
        <f>MROUND(SUM(N7:N36),100000)/10^6</f>
        <v>27.3</v>
      </c>
      <c r="AC22" s="384">
        <f>AA22-AB22</f>
        <v>46.100000000000009</v>
      </c>
      <c r="AD22" s="385">
        <f>AC22/AA22</f>
        <v>0.62806539509536796</v>
      </c>
      <c r="AE22" s="45"/>
    </row>
    <row r="23" spans="2:31" x14ac:dyDescent="0.25">
      <c r="B23" s="41">
        <f t="shared" si="3"/>
        <v>2041</v>
      </c>
      <c r="C23" s="371">
        <v>9.2907063197026019E-2</v>
      </c>
      <c r="D23" s="372">
        <v>0.29279801734820321</v>
      </c>
      <c r="E23" s="372">
        <v>2.3930607187112765</v>
      </c>
      <c r="F23" s="372">
        <v>8.581234200743495</v>
      </c>
      <c r="G23" s="373">
        <v>22.25</v>
      </c>
      <c r="H23" s="378">
        <f t="shared" si="0"/>
        <v>2481302.9219330857</v>
      </c>
      <c r="I23" s="371">
        <v>2.8779069767441861E-2</v>
      </c>
      <c r="J23" s="372">
        <v>0.11031976744186048</v>
      </c>
      <c r="K23" s="372">
        <v>1.2566860465116281</v>
      </c>
      <c r="L23" s="372">
        <v>3.5542151162790701</v>
      </c>
      <c r="M23" s="373">
        <v>7.12</v>
      </c>
      <c r="N23" s="378">
        <f t="shared" si="1"/>
        <v>927550.83720930235</v>
      </c>
      <c r="O23" s="190">
        <f t="shared" si="2"/>
        <v>1553752.0847237832</v>
      </c>
      <c r="P23" s="175">
        <f>O23*(1+0.07)^-(B23-Assumptions!$D$4)</f>
        <v>375251.46201335487</v>
      </c>
      <c r="W23" s="124"/>
      <c r="X23" s="124"/>
      <c r="Y23" s="45"/>
      <c r="Z23" s="45" t="s">
        <v>186</v>
      </c>
      <c r="AE23" s="118"/>
    </row>
    <row r="24" spans="2:31" x14ac:dyDescent="0.25">
      <c r="B24" s="41">
        <f t="shared" si="3"/>
        <v>2042</v>
      </c>
      <c r="C24" s="371">
        <v>9.3724907063197027E-2</v>
      </c>
      <c r="D24" s="372">
        <v>0.29537546468401488</v>
      </c>
      <c r="E24" s="372">
        <v>2.4141263940520448</v>
      </c>
      <c r="F24" s="372">
        <v>8.6567732342007435</v>
      </c>
      <c r="G24" s="373">
        <v>22.52</v>
      </c>
      <c r="H24" s="378">
        <f t="shared" si="0"/>
        <v>2503486.4089219333</v>
      </c>
      <c r="I24" s="371">
        <v>2.9069767441860465E-2</v>
      </c>
      <c r="J24" s="372">
        <v>0.11143410852713179</v>
      </c>
      <c r="K24" s="372">
        <v>1.2693798449612403</v>
      </c>
      <c r="L24" s="372">
        <v>3.5901162790697678</v>
      </c>
      <c r="M24" s="373">
        <v>7.21</v>
      </c>
      <c r="N24" s="378">
        <f t="shared" si="1"/>
        <v>937003.20930232573</v>
      </c>
      <c r="O24" s="190">
        <f t="shared" si="2"/>
        <v>1566483.1996196075</v>
      </c>
      <c r="P24" s="175">
        <f>O24*(1+0.07)^-(B24-Assumptions!$D$4)</f>
        <v>353575.88118645945</v>
      </c>
      <c r="Y24" s="45"/>
      <c r="AA24" s="45"/>
      <c r="AB24" s="45"/>
      <c r="AC24" s="117"/>
      <c r="AD24" s="45"/>
      <c r="AE24" s="118"/>
    </row>
    <row r="25" spans="2:31" x14ac:dyDescent="0.25">
      <c r="B25" s="41">
        <f t="shared" si="3"/>
        <v>2043</v>
      </c>
      <c r="C25" s="371">
        <v>9.4542750929368036E-2</v>
      </c>
      <c r="D25" s="372">
        <v>0.29795291201982654</v>
      </c>
      <c r="E25" s="372">
        <v>2.4351920693928131</v>
      </c>
      <c r="F25" s="372">
        <v>8.7323122676579938</v>
      </c>
      <c r="G25" s="373">
        <v>22.79</v>
      </c>
      <c r="H25" s="378">
        <f t="shared" si="0"/>
        <v>2525669.8959107809</v>
      </c>
      <c r="I25" s="371">
        <v>2.9418604651162795E-2</v>
      </c>
      <c r="J25" s="372">
        <v>0.11277131782945739</v>
      </c>
      <c r="K25" s="372">
        <v>1.2846124031007753</v>
      </c>
      <c r="L25" s="372">
        <v>3.6331976744186054</v>
      </c>
      <c r="M25" s="373">
        <v>7.29</v>
      </c>
      <c r="N25" s="378">
        <f t="shared" si="1"/>
        <v>948217.25581395358</v>
      </c>
      <c r="O25" s="190">
        <f t="shared" si="2"/>
        <v>1577452.6400968274</v>
      </c>
      <c r="P25" s="175">
        <f>O25*(1+0.07)^-(B25-Assumptions!$D$4)</f>
        <v>332758.71805310232</v>
      </c>
      <c r="Z25" s="45"/>
      <c r="AA25" s="45"/>
      <c r="AB25" s="45"/>
      <c r="AC25" s="45"/>
      <c r="AD25" s="45"/>
      <c r="AE25" s="45"/>
    </row>
    <row r="26" spans="2:31" x14ac:dyDescent="0.25">
      <c r="B26" s="41">
        <f t="shared" si="3"/>
        <v>2044</v>
      </c>
      <c r="C26" s="371">
        <v>9.5442379182156131E-2</v>
      </c>
      <c r="D26" s="372">
        <v>0.3007881040892193</v>
      </c>
      <c r="E26" s="372">
        <v>2.4583643122676579</v>
      </c>
      <c r="F26" s="372">
        <v>8.8154052044609674</v>
      </c>
      <c r="G26" s="373">
        <v>23.06</v>
      </c>
      <c r="H26" s="378">
        <f t="shared" si="0"/>
        <v>2549947.531598513</v>
      </c>
      <c r="I26" s="371">
        <v>2.9767441860465118E-2</v>
      </c>
      <c r="J26" s="372">
        <v>0.11410852713178296</v>
      </c>
      <c r="K26" s="372">
        <v>1.2998449612403102</v>
      </c>
      <c r="L26" s="372">
        <v>3.6762790697674421</v>
      </c>
      <c r="M26" s="373">
        <v>7.38</v>
      </c>
      <c r="N26" s="378">
        <f t="shared" si="1"/>
        <v>959477.30232558143</v>
      </c>
      <c r="O26" s="190">
        <f t="shared" si="2"/>
        <v>1590470.2292729316</v>
      </c>
      <c r="P26" s="175">
        <f>O26*(1+0.07)^-(B26-Assumptions!$D$4)</f>
        <v>313555.8298303457</v>
      </c>
      <c r="Z26" s="45"/>
      <c r="AA26" s="45"/>
      <c r="AB26" s="45"/>
      <c r="AC26" s="45"/>
      <c r="AD26" s="45"/>
      <c r="AE26" s="45"/>
    </row>
    <row r="27" spans="2:31" x14ac:dyDescent="0.25">
      <c r="B27" s="41">
        <f t="shared" si="3"/>
        <v>2045</v>
      </c>
      <c r="C27" s="371">
        <v>9.626022304832714E-2</v>
      </c>
      <c r="D27" s="372">
        <v>0.30336555142503097</v>
      </c>
      <c r="E27" s="372">
        <v>2.4794299876084263</v>
      </c>
      <c r="F27" s="372">
        <v>8.890944237918216</v>
      </c>
      <c r="G27" s="373">
        <v>23.33</v>
      </c>
      <c r="H27" s="378">
        <f t="shared" si="0"/>
        <v>2572131.0185873606</v>
      </c>
      <c r="I27" s="371">
        <v>3.0058139534883722E-2</v>
      </c>
      <c r="J27" s="372">
        <v>0.11522286821705427</v>
      </c>
      <c r="K27" s="372">
        <v>1.3125387596899225</v>
      </c>
      <c r="L27" s="372">
        <v>3.7121802325581399</v>
      </c>
      <c r="M27" s="373">
        <v>7.47</v>
      </c>
      <c r="N27" s="378">
        <f t="shared" si="1"/>
        <v>968929.6744186047</v>
      </c>
      <c r="O27" s="190">
        <f t="shared" si="2"/>
        <v>1603201.3441687559</v>
      </c>
      <c r="P27" s="175">
        <f>O27*(1+0.07)^-(B27-Assumptions!$D$4)</f>
        <v>295388.52906564221</v>
      </c>
      <c r="Q27" s="61"/>
      <c r="Z27" s="45"/>
      <c r="AA27" s="45"/>
      <c r="AB27" s="45"/>
      <c r="AC27" s="45"/>
      <c r="AD27" s="45"/>
      <c r="AE27" s="45"/>
    </row>
    <row r="28" spans="2:31" x14ac:dyDescent="0.25">
      <c r="B28" s="41">
        <f t="shared" si="3"/>
        <v>2046</v>
      </c>
      <c r="C28" s="371">
        <v>9.7078066914498135E-2</v>
      </c>
      <c r="D28" s="372">
        <v>0.30594299876084258</v>
      </c>
      <c r="E28" s="372">
        <v>2.5004956629491946</v>
      </c>
      <c r="F28" s="372">
        <v>8.9664832713754645</v>
      </c>
      <c r="G28" s="373">
        <v>23.61</v>
      </c>
      <c r="H28" s="378">
        <f t="shared" si="0"/>
        <v>2594360.5055762078</v>
      </c>
      <c r="I28" s="371">
        <v>3.0406976744186045E-2</v>
      </c>
      <c r="J28" s="372">
        <v>0.11656007751937984</v>
      </c>
      <c r="K28" s="372">
        <v>1.3277713178294572</v>
      </c>
      <c r="L28" s="372">
        <v>3.7552616279069766</v>
      </c>
      <c r="M28" s="373">
        <v>7.5500000000000007</v>
      </c>
      <c r="N28" s="378">
        <f t="shared" si="1"/>
        <v>980143.72093023243</v>
      </c>
      <c r="O28" s="190">
        <f t="shared" si="2"/>
        <v>1614216.7846459753</v>
      </c>
      <c r="P28" s="175">
        <f>O28*(1+0.07)^-(B28-Assumptions!$D$4)</f>
        <v>277960.8550594534</v>
      </c>
      <c r="Y28" s="94"/>
      <c r="Z28" s="94"/>
      <c r="AA28" s="45"/>
      <c r="AB28" s="45"/>
      <c r="AC28" s="45"/>
      <c r="AD28" s="45"/>
      <c r="AE28" s="45"/>
    </row>
    <row r="29" spans="2:31" x14ac:dyDescent="0.25">
      <c r="B29" s="41">
        <f t="shared" si="3"/>
        <v>2047</v>
      </c>
      <c r="C29" s="371">
        <v>9.7895910780669143E-2</v>
      </c>
      <c r="D29" s="372">
        <v>0.3085204460966543</v>
      </c>
      <c r="E29" s="372">
        <v>2.5215613382899629</v>
      </c>
      <c r="F29" s="372">
        <v>9.0420223048327149</v>
      </c>
      <c r="G29" s="373">
        <v>23.88</v>
      </c>
      <c r="H29" s="378">
        <f t="shared" si="0"/>
        <v>2616543.9925650558</v>
      </c>
      <c r="I29" s="371">
        <v>3.0697674418604649E-2</v>
      </c>
      <c r="J29" s="372">
        <v>0.11767441860465115</v>
      </c>
      <c r="K29" s="372">
        <v>1.3404651162790697</v>
      </c>
      <c r="L29" s="372">
        <v>3.7911627906976744</v>
      </c>
      <c r="M29" s="373">
        <v>7.63</v>
      </c>
      <c r="N29" s="378">
        <f t="shared" si="1"/>
        <v>989550.0930232557</v>
      </c>
      <c r="O29" s="190">
        <f t="shared" si="2"/>
        <v>1626993.8995418001</v>
      </c>
      <c r="P29" s="175">
        <f>O29*(1+0.07)^-(B29-Assumptions!$D$4)</f>
        <v>261832.72584878848</v>
      </c>
      <c r="Y29" s="81"/>
      <c r="AA29" s="94"/>
      <c r="AB29" s="45"/>
      <c r="AC29" s="45"/>
      <c r="AD29" s="45"/>
      <c r="AE29" s="45"/>
    </row>
    <row r="30" spans="2:31" ht="15" customHeight="1" x14ac:dyDescent="0.25">
      <c r="B30" s="41">
        <f t="shared" si="3"/>
        <v>2048</v>
      </c>
      <c r="C30" s="371">
        <v>9.8713754646840152E-2</v>
      </c>
      <c r="D30" s="372">
        <v>0.31109789343246591</v>
      </c>
      <c r="E30" s="372">
        <v>2.5426270136307312</v>
      </c>
      <c r="F30" s="372">
        <v>9.1175613382899634</v>
      </c>
      <c r="G30" s="373">
        <v>24.15</v>
      </c>
      <c r="H30" s="378">
        <f t="shared" si="0"/>
        <v>2638727.4795539035</v>
      </c>
      <c r="I30" s="371">
        <v>3.1046511627906975E-2</v>
      </c>
      <c r="J30" s="372">
        <v>0.11901162790697675</v>
      </c>
      <c r="K30" s="372">
        <v>1.3556976744186047</v>
      </c>
      <c r="L30" s="372">
        <v>3.834244186046512</v>
      </c>
      <c r="M30" s="373">
        <v>7.7100000000000009</v>
      </c>
      <c r="N30" s="378">
        <f t="shared" si="1"/>
        <v>1000764.1395348838</v>
      </c>
      <c r="O30" s="190">
        <f t="shared" si="2"/>
        <v>1637963.3400190198</v>
      </c>
      <c r="P30" s="175">
        <f>O30*(1+0.07)^-(B30-Assumptions!$D$4)</f>
        <v>246353.31021856773</v>
      </c>
      <c r="Y30" s="96"/>
      <c r="AA30" s="45"/>
      <c r="AB30" s="94"/>
      <c r="AC30" s="94"/>
      <c r="AD30" s="45"/>
      <c r="AE30" s="45"/>
    </row>
    <row r="31" spans="2:31" ht="15.75" customHeight="1" x14ac:dyDescent="0.25">
      <c r="B31" s="41">
        <f t="shared" si="3"/>
        <v>2049</v>
      </c>
      <c r="C31" s="371">
        <v>9.9531598513011146E-2</v>
      </c>
      <c r="D31" s="372">
        <v>0.31367534076827758</v>
      </c>
      <c r="E31" s="372">
        <v>2.5636926889714995</v>
      </c>
      <c r="F31" s="372">
        <v>9.193100371747212</v>
      </c>
      <c r="G31" s="373">
        <v>24.42</v>
      </c>
      <c r="H31" s="378">
        <f t="shared" si="0"/>
        <v>2660910.9665427511</v>
      </c>
      <c r="I31" s="371">
        <v>3.1395348837209305E-2</v>
      </c>
      <c r="J31" s="372">
        <v>0.12034883720930234</v>
      </c>
      <c r="K31" s="372">
        <v>1.3709302325581396</v>
      </c>
      <c r="L31" s="372">
        <v>3.8773255813953496</v>
      </c>
      <c r="M31" s="373">
        <v>7.79</v>
      </c>
      <c r="N31" s="378">
        <f t="shared" si="1"/>
        <v>1011978.1860465116</v>
      </c>
      <c r="O31" s="190">
        <f t="shared" si="2"/>
        <v>1648932.7804962394</v>
      </c>
      <c r="P31" s="175">
        <f>O31*(1+0.07)^-(B31-Assumptions!$D$4)</f>
        <v>231778.63395837753</v>
      </c>
      <c r="Q31" s="257"/>
      <c r="Y31" s="96"/>
      <c r="AB31" s="51"/>
      <c r="AC31" s="51"/>
    </row>
    <row r="32" spans="2:31" ht="15" customHeight="1" x14ac:dyDescent="0.25">
      <c r="B32" s="41">
        <f t="shared" si="3"/>
        <v>2050</v>
      </c>
      <c r="C32" s="371">
        <v>0.10043122676579926</v>
      </c>
      <c r="D32" s="372">
        <v>0.31651053283767033</v>
      </c>
      <c r="E32" s="372">
        <v>2.5868649318463444</v>
      </c>
      <c r="F32" s="372">
        <v>9.2761933085501855</v>
      </c>
      <c r="G32" s="373">
        <v>24.7</v>
      </c>
      <c r="H32" s="378">
        <f t="shared" si="0"/>
        <v>2685234.6022304832</v>
      </c>
      <c r="I32" s="371">
        <v>3.1744186046511629E-2</v>
      </c>
      <c r="J32" s="372">
        <v>0.12168604651162791</v>
      </c>
      <c r="K32" s="372">
        <v>1.3861627906976743</v>
      </c>
      <c r="L32" s="372">
        <v>3.9204069767441863</v>
      </c>
      <c r="M32" s="373">
        <v>7.88</v>
      </c>
      <c r="N32" s="378">
        <f t="shared" si="1"/>
        <v>1023238.2325581396</v>
      </c>
      <c r="O32" s="190">
        <f t="shared" si="2"/>
        <v>1661996.3696723436</v>
      </c>
      <c r="P32" s="175">
        <f>O32*(1+0.07)^-(B32-Assumptions!$D$4)</f>
        <v>218331.67180524973</v>
      </c>
      <c r="Q32" s="257"/>
      <c r="Y32" s="96"/>
      <c r="AE32" s="95"/>
    </row>
    <row r="33" spans="1:31" ht="15" customHeight="1" x14ac:dyDescent="0.25">
      <c r="B33" s="41">
        <f t="shared" si="3"/>
        <v>2051</v>
      </c>
      <c r="C33" s="371">
        <v>0.10124907063197026</v>
      </c>
      <c r="D33" s="372">
        <v>0.31908798017348206</v>
      </c>
      <c r="E33" s="372">
        <v>2.6079306071871131</v>
      </c>
      <c r="F33" s="372">
        <v>9.3517323420074359</v>
      </c>
      <c r="G33" s="373">
        <v>24.97</v>
      </c>
      <c r="H33" s="378">
        <f t="shared" si="0"/>
        <v>2707418.0892193308</v>
      </c>
      <c r="I33" s="371">
        <v>3.2034883720930232E-2</v>
      </c>
      <c r="J33" s="372">
        <v>0.12280038759689922</v>
      </c>
      <c r="K33" s="372">
        <v>1.3988565891472868</v>
      </c>
      <c r="L33" s="372">
        <v>3.956308139534884</v>
      </c>
      <c r="M33" s="373">
        <v>7.96</v>
      </c>
      <c r="N33" s="378">
        <f t="shared" si="1"/>
        <v>1032644.6046511629</v>
      </c>
      <c r="O33" s="190">
        <f t="shared" si="2"/>
        <v>1674773.4845681679</v>
      </c>
      <c r="P33" s="175">
        <f>O33*(1+0.07)^-(B33-Assumptions!$D$4)</f>
        <v>205616.97621931502</v>
      </c>
      <c r="Q33" s="257"/>
      <c r="Y33" s="96"/>
      <c r="AE33" s="95"/>
    </row>
    <row r="34" spans="1:31" ht="15" customHeight="1" x14ac:dyDescent="0.25">
      <c r="B34" s="41">
        <f t="shared" si="3"/>
        <v>2052</v>
      </c>
      <c r="C34" s="371">
        <v>0.10206691449814127</v>
      </c>
      <c r="D34" s="372">
        <v>0.32166542750929367</v>
      </c>
      <c r="E34" s="372">
        <v>2.628996282527881</v>
      </c>
      <c r="F34" s="372">
        <v>9.4272713754646844</v>
      </c>
      <c r="G34" s="373">
        <v>25.25</v>
      </c>
      <c r="H34" s="378">
        <f t="shared" si="0"/>
        <v>2729647.5762081789</v>
      </c>
      <c r="I34" s="371">
        <v>3.2383720930232562E-2</v>
      </c>
      <c r="J34" s="372">
        <v>0.12413759689922482</v>
      </c>
      <c r="K34" s="372">
        <v>1.4140891472868218</v>
      </c>
      <c r="L34" s="372">
        <v>3.9993895348837216</v>
      </c>
      <c r="M34" s="373">
        <v>8.0400000000000009</v>
      </c>
      <c r="N34" s="378">
        <f t="shared" si="1"/>
        <v>1043858.6511627908</v>
      </c>
      <c r="O34" s="190">
        <f t="shared" si="2"/>
        <v>1685788.9250453881</v>
      </c>
      <c r="P34" s="175">
        <f>O34*(1+0.07)^-(B34-Assumptions!$D$4)</f>
        <v>193429.32239876623</v>
      </c>
      <c r="Q34" s="257"/>
    </row>
    <row r="35" spans="1:31" ht="15" customHeight="1" x14ac:dyDescent="0.25">
      <c r="B35" s="41">
        <f t="shared" si="3"/>
        <v>2053</v>
      </c>
      <c r="C35" s="371">
        <v>0.10288475836431227</v>
      </c>
      <c r="D35" s="372">
        <v>0.32424287484510533</v>
      </c>
      <c r="E35" s="372">
        <v>2.6500619578686493</v>
      </c>
      <c r="F35" s="372">
        <v>9.502810408921933</v>
      </c>
      <c r="G35" s="373">
        <v>25.52</v>
      </c>
      <c r="H35" s="378">
        <f t="shared" si="0"/>
        <v>2751831.063197026</v>
      </c>
      <c r="I35" s="371">
        <v>3.2732558139534886E-2</v>
      </c>
      <c r="J35" s="372">
        <v>0.12547480620155038</v>
      </c>
      <c r="K35" s="372">
        <v>1.4293217054263565</v>
      </c>
      <c r="L35" s="372">
        <v>4.0424709302325583</v>
      </c>
      <c r="M35" s="373">
        <v>8.129999999999999</v>
      </c>
      <c r="N35" s="378">
        <f t="shared" si="1"/>
        <v>1055118.6976744186</v>
      </c>
      <c r="O35" s="190">
        <f t="shared" si="2"/>
        <v>1696712.3655226075</v>
      </c>
      <c r="P35" s="175">
        <f>O35*(1+0.07)^-(B35-Assumptions!$D$4)</f>
        <v>181946.43951212289</v>
      </c>
      <c r="Q35" s="257"/>
    </row>
    <row r="36" spans="1:31" ht="15" customHeight="1" thickBot="1" x14ac:dyDescent="0.3">
      <c r="B36" s="42">
        <f t="shared" si="3"/>
        <v>2054</v>
      </c>
      <c r="C36" s="374">
        <v>0.10370260223048326</v>
      </c>
      <c r="D36" s="375">
        <v>0.32682032218091694</v>
      </c>
      <c r="E36" s="375">
        <v>2.6711276332094176</v>
      </c>
      <c r="F36" s="375">
        <v>9.5783494423791815</v>
      </c>
      <c r="G36" s="376">
        <v>25.8</v>
      </c>
      <c r="H36" s="379">
        <f t="shared" si="0"/>
        <v>2774060.5501858732</v>
      </c>
      <c r="I36" s="374">
        <v>3.3081395348837209E-2</v>
      </c>
      <c r="J36" s="375">
        <v>0.12681201550387597</v>
      </c>
      <c r="K36" s="375">
        <v>1.4445542635658914</v>
      </c>
      <c r="L36" s="375">
        <v>4.0855523255813955</v>
      </c>
      <c r="M36" s="376">
        <v>8.2100000000000009</v>
      </c>
      <c r="N36" s="379">
        <f t="shared" si="1"/>
        <v>1066332.7441860465</v>
      </c>
      <c r="O36" s="191">
        <f t="shared" si="2"/>
        <v>1707727.8059998266</v>
      </c>
      <c r="P36" s="177">
        <f>O36*(1+0.07)^-(B36-Assumptions!$D$4)</f>
        <v>171147.36163938267</v>
      </c>
      <c r="Q36" s="257"/>
    </row>
    <row r="37" spans="1:31" ht="15" customHeight="1" thickBot="1" x14ac:dyDescent="0.3">
      <c r="B37" s="43"/>
      <c r="C37" s="43"/>
      <c r="D37" s="43"/>
      <c r="E37" s="43"/>
      <c r="F37" s="43"/>
      <c r="G37" s="43"/>
      <c r="H37" s="43"/>
      <c r="I37" s="43"/>
      <c r="J37" s="43"/>
      <c r="K37" s="43"/>
      <c r="L37" s="43"/>
      <c r="M37" s="43"/>
      <c r="N37" s="43"/>
      <c r="O37" s="128" t="s">
        <v>2</v>
      </c>
      <c r="P37" s="120">
        <f>SUM(P7:P36)</f>
        <v>13999364.007046731</v>
      </c>
      <c r="Q37" s="126"/>
    </row>
    <row r="38" spans="1:31" ht="15" customHeight="1" x14ac:dyDescent="0.25">
      <c r="Q38" s="47"/>
    </row>
    <row r="39" spans="1:31" x14ac:dyDescent="0.25">
      <c r="Q39" s="47"/>
      <c r="Z39" s="390"/>
      <c r="AA39" s="390"/>
      <c r="AB39" s="390"/>
      <c r="AC39" s="390"/>
    </row>
    <row r="40" spans="1:31" x14ac:dyDescent="0.25">
      <c r="Q40" s="47"/>
      <c r="Z40" s="391"/>
      <c r="AA40" s="392"/>
      <c r="AB40" s="392"/>
      <c r="AC40" s="393"/>
    </row>
    <row r="41" spans="1:31" ht="15" customHeight="1" x14ac:dyDescent="0.25">
      <c r="A41" s="127"/>
      <c r="B41" s="12" t="s">
        <v>3</v>
      </c>
      <c r="C41" s="12"/>
      <c r="D41" s="12"/>
      <c r="E41" s="12"/>
      <c r="F41" s="12"/>
      <c r="G41" s="12"/>
      <c r="H41" s="12"/>
      <c r="I41" s="12"/>
      <c r="J41" s="12"/>
      <c r="K41" s="12"/>
      <c r="L41" s="12"/>
      <c r="M41" s="12"/>
      <c r="N41" s="12"/>
      <c r="O41" s="127"/>
      <c r="P41" s="127"/>
      <c r="Q41" s="47"/>
    </row>
    <row r="42" spans="1:31" ht="15" customHeight="1" x14ac:dyDescent="0.25">
      <c r="A42" s="13" t="s">
        <v>53</v>
      </c>
      <c r="B42" s="470" t="s">
        <v>350</v>
      </c>
      <c r="C42" s="470"/>
      <c r="D42" s="470"/>
      <c r="E42" s="470"/>
      <c r="F42" s="470"/>
      <c r="G42" s="470"/>
      <c r="H42" s="470"/>
      <c r="I42" s="470"/>
      <c r="J42" s="470"/>
      <c r="K42" s="470"/>
      <c r="L42" s="470"/>
      <c r="M42" s="470"/>
      <c r="N42" s="470"/>
      <c r="O42" s="470"/>
      <c r="P42" s="470"/>
      <c r="Q42" s="47"/>
    </row>
    <row r="43" spans="1:31" ht="15" customHeight="1" x14ac:dyDescent="0.25">
      <c r="A43" s="13"/>
      <c r="B43" s="470"/>
      <c r="C43" s="470"/>
      <c r="D43" s="470"/>
      <c r="E43" s="470"/>
      <c r="F43" s="470"/>
      <c r="G43" s="470"/>
      <c r="H43" s="470"/>
      <c r="I43" s="470"/>
      <c r="J43" s="470"/>
      <c r="K43" s="470"/>
      <c r="L43" s="470"/>
      <c r="M43" s="470"/>
      <c r="N43" s="470"/>
      <c r="O43" s="470"/>
      <c r="P43" s="470"/>
      <c r="Q43" s="47"/>
    </row>
    <row r="44" spans="1:31" ht="15" customHeight="1" x14ac:dyDescent="0.25">
      <c r="A44" s="13"/>
      <c r="B44" s="470"/>
      <c r="C44" s="470"/>
      <c r="D44" s="470"/>
      <c r="E44" s="470"/>
      <c r="F44" s="470"/>
      <c r="G44" s="470"/>
      <c r="H44" s="470"/>
      <c r="I44" s="470"/>
      <c r="J44" s="470"/>
      <c r="K44" s="470"/>
      <c r="L44" s="470"/>
      <c r="M44" s="470"/>
      <c r="N44" s="470"/>
      <c r="O44" s="470"/>
      <c r="P44" s="470"/>
      <c r="Q44" s="47"/>
    </row>
    <row r="45" spans="1:31" ht="15" customHeight="1" x14ac:dyDescent="0.25">
      <c r="A45" s="13"/>
      <c r="B45" s="470"/>
      <c r="C45" s="470"/>
      <c r="D45" s="470"/>
      <c r="E45" s="470"/>
      <c r="F45" s="470"/>
      <c r="G45" s="470"/>
      <c r="H45" s="470"/>
      <c r="I45" s="470"/>
      <c r="J45" s="470"/>
      <c r="K45" s="470"/>
      <c r="L45" s="470"/>
      <c r="M45" s="470"/>
      <c r="N45" s="470"/>
      <c r="O45" s="470"/>
      <c r="P45" s="470"/>
      <c r="Q45" s="47"/>
    </row>
    <row r="46" spans="1:31" ht="15" customHeight="1" x14ac:dyDescent="0.25">
      <c r="A46" s="13"/>
      <c r="B46" s="470"/>
      <c r="C46" s="470"/>
      <c r="D46" s="470"/>
      <c r="E46" s="470"/>
      <c r="F46" s="470"/>
      <c r="G46" s="470"/>
      <c r="H46" s="470"/>
      <c r="I46" s="470"/>
      <c r="J46" s="470"/>
      <c r="K46" s="470"/>
      <c r="L46" s="470"/>
      <c r="M46" s="470"/>
      <c r="N46" s="470"/>
      <c r="O46" s="470"/>
      <c r="P46" s="470"/>
      <c r="Q46" s="47"/>
    </row>
    <row r="47" spans="1:31" ht="15" customHeight="1" x14ac:dyDescent="0.25">
      <c r="A47" s="13"/>
      <c r="B47" s="470"/>
      <c r="C47" s="470"/>
      <c r="D47" s="470"/>
      <c r="E47" s="470"/>
      <c r="F47" s="470"/>
      <c r="G47" s="470"/>
      <c r="H47" s="470"/>
      <c r="I47" s="470"/>
      <c r="J47" s="470"/>
      <c r="K47" s="470"/>
      <c r="L47" s="470"/>
      <c r="M47" s="470"/>
      <c r="N47" s="470"/>
      <c r="O47" s="470"/>
      <c r="P47" s="470"/>
      <c r="Q47" s="47"/>
    </row>
    <row r="48" spans="1:31" ht="15" customHeight="1" x14ac:dyDescent="0.25">
      <c r="A48" s="13"/>
      <c r="B48" s="470"/>
      <c r="C48" s="470"/>
      <c r="D48" s="470"/>
      <c r="E48" s="470"/>
      <c r="F48" s="470"/>
      <c r="G48" s="470"/>
      <c r="H48" s="470"/>
      <c r="I48" s="470"/>
      <c r="J48" s="470"/>
      <c r="K48" s="470"/>
      <c r="L48" s="470"/>
      <c r="M48" s="470"/>
      <c r="N48" s="470"/>
      <c r="O48" s="470"/>
      <c r="P48" s="470"/>
      <c r="Q48" s="47"/>
    </row>
    <row r="49" spans="1:17" x14ac:dyDescent="0.25">
      <c r="A49" s="127"/>
      <c r="B49" s="470"/>
      <c r="C49" s="470"/>
      <c r="D49" s="470"/>
      <c r="E49" s="470"/>
      <c r="F49" s="470"/>
      <c r="G49" s="470"/>
      <c r="H49" s="470"/>
      <c r="I49" s="470"/>
      <c r="J49" s="470"/>
      <c r="K49" s="470"/>
      <c r="L49" s="470"/>
      <c r="M49" s="470"/>
      <c r="N49" s="470"/>
      <c r="O49" s="470"/>
      <c r="P49" s="470"/>
      <c r="Q49" s="84"/>
    </row>
    <row r="50" spans="1:17" x14ac:dyDescent="0.25">
      <c r="A50" s="13"/>
      <c r="B50" s="470"/>
      <c r="C50" s="470"/>
      <c r="D50" s="470"/>
      <c r="E50" s="470"/>
      <c r="F50" s="470"/>
      <c r="G50" s="470"/>
      <c r="H50" s="470"/>
      <c r="I50" s="470"/>
      <c r="J50" s="470"/>
      <c r="K50" s="470"/>
      <c r="L50" s="470"/>
      <c r="M50" s="470"/>
      <c r="N50" s="470"/>
      <c r="O50" s="470"/>
      <c r="P50" s="470"/>
      <c r="Q50" s="84"/>
    </row>
    <row r="51" spans="1:17" ht="15" customHeight="1" x14ac:dyDescent="0.25">
      <c r="A51" s="127"/>
      <c r="B51" s="470"/>
      <c r="C51" s="470"/>
      <c r="D51" s="470"/>
      <c r="E51" s="470"/>
      <c r="F51" s="470"/>
      <c r="G51" s="470"/>
      <c r="H51" s="470"/>
      <c r="I51" s="470"/>
      <c r="J51" s="470"/>
      <c r="K51" s="470"/>
      <c r="L51" s="470"/>
      <c r="M51" s="470"/>
      <c r="N51" s="470"/>
      <c r="O51" s="470"/>
      <c r="P51" s="470"/>
      <c r="Q51" s="125"/>
    </row>
    <row r="52" spans="1:17" ht="15" customHeight="1" x14ac:dyDescent="0.25">
      <c r="A52" s="127"/>
      <c r="B52" s="470"/>
      <c r="C52" s="470"/>
      <c r="D52" s="470"/>
      <c r="E52" s="470"/>
      <c r="F52" s="470"/>
      <c r="G52" s="470"/>
      <c r="H52" s="470"/>
      <c r="I52" s="470"/>
      <c r="J52" s="470"/>
      <c r="K52" s="470"/>
      <c r="L52" s="470"/>
      <c r="M52" s="470"/>
      <c r="N52" s="470"/>
      <c r="O52" s="470"/>
      <c r="P52" s="470"/>
      <c r="Q52" s="84"/>
    </row>
    <row r="53" spans="1:17" x14ac:dyDescent="0.25">
      <c r="A53" s="127"/>
      <c r="B53" s="163"/>
      <c r="C53" s="163"/>
      <c r="D53" s="163"/>
      <c r="E53" s="163"/>
      <c r="F53" s="163"/>
      <c r="G53" s="163"/>
      <c r="H53" s="163"/>
      <c r="I53" s="163"/>
      <c r="J53" s="163"/>
      <c r="K53" s="163"/>
      <c r="L53" s="163"/>
      <c r="M53" s="163"/>
      <c r="N53" s="163"/>
      <c r="O53" s="127"/>
      <c r="P53" s="127"/>
      <c r="Q53" s="125"/>
    </row>
    <row r="54" spans="1:17" ht="15" customHeight="1" x14ac:dyDescent="0.25">
      <c r="A54" s="13" t="s">
        <v>67</v>
      </c>
      <c r="B54" s="493" t="s">
        <v>340</v>
      </c>
      <c r="C54" s="493"/>
      <c r="D54" s="493"/>
      <c r="E54" s="493"/>
      <c r="F54" s="493"/>
      <c r="G54" s="493"/>
      <c r="H54" s="493"/>
      <c r="I54" s="493"/>
      <c r="J54" s="493"/>
      <c r="K54" s="493"/>
      <c r="L54" s="493"/>
      <c r="M54" s="493"/>
      <c r="N54" s="493"/>
      <c r="O54" s="493"/>
      <c r="P54" s="493"/>
      <c r="Q54" s="125"/>
    </row>
    <row r="55" spans="1:17" x14ac:dyDescent="0.25">
      <c r="A55" s="13"/>
      <c r="B55" s="493"/>
      <c r="C55" s="493"/>
      <c r="D55" s="493"/>
      <c r="E55" s="493"/>
      <c r="F55" s="493"/>
      <c r="G55" s="493"/>
      <c r="H55" s="493"/>
      <c r="I55" s="493"/>
      <c r="J55" s="493"/>
      <c r="K55" s="493"/>
      <c r="L55" s="493"/>
      <c r="M55" s="493"/>
      <c r="N55" s="493"/>
      <c r="O55" s="493"/>
      <c r="P55" s="493"/>
      <c r="Q55" s="351"/>
    </row>
    <row r="56" spans="1:17" x14ac:dyDescent="0.25">
      <c r="A56" s="127"/>
      <c r="B56" s="493"/>
      <c r="C56" s="493"/>
      <c r="D56" s="493"/>
      <c r="E56" s="493"/>
      <c r="F56" s="493"/>
      <c r="G56" s="493"/>
      <c r="H56" s="493"/>
      <c r="I56" s="493"/>
      <c r="J56" s="493"/>
      <c r="K56" s="493"/>
      <c r="L56" s="493"/>
      <c r="M56" s="493"/>
      <c r="N56" s="493"/>
      <c r="O56" s="493"/>
      <c r="P56" s="493"/>
    </row>
    <row r="57" spans="1:17" x14ac:dyDescent="0.25">
      <c r="A57" s="127"/>
      <c r="B57" s="493"/>
      <c r="C57" s="493"/>
      <c r="D57" s="493"/>
      <c r="E57" s="493"/>
      <c r="F57" s="493"/>
      <c r="G57" s="493"/>
      <c r="H57" s="493"/>
      <c r="I57" s="493"/>
      <c r="J57" s="493"/>
      <c r="K57" s="493"/>
      <c r="L57" s="493"/>
      <c r="M57" s="493"/>
      <c r="N57" s="493"/>
      <c r="O57" s="493"/>
      <c r="P57" s="493"/>
    </row>
    <row r="58" spans="1:17" x14ac:dyDescent="0.25">
      <c r="A58" s="13"/>
      <c r="B58" s="127"/>
      <c r="C58" s="127"/>
      <c r="D58" s="127"/>
      <c r="E58" s="127"/>
      <c r="F58" s="127"/>
      <c r="G58" s="127"/>
      <c r="H58" s="127"/>
      <c r="I58" s="127"/>
      <c r="J58" s="127"/>
      <c r="K58" s="127"/>
      <c r="L58" s="127"/>
      <c r="M58" s="127"/>
      <c r="N58" s="127"/>
      <c r="O58" s="101"/>
      <c r="P58" s="101"/>
    </row>
    <row r="59" spans="1:17" x14ac:dyDescent="0.25">
      <c r="A59" s="44"/>
      <c r="B59" s="84"/>
      <c r="C59" s="84"/>
      <c r="D59" s="84"/>
      <c r="E59" s="84"/>
      <c r="F59" s="84"/>
      <c r="G59" s="84"/>
      <c r="H59" s="84"/>
      <c r="I59" s="84"/>
      <c r="J59" s="84"/>
      <c r="K59" s="84"/>
      <c r="L59" s="84"/>
      <c r="M59" s="84"/>
      <c r="N59" s="84"/>
      <c r="O59" s="84"/>
      <c r="P59" s="84"/>
    </row>
    <row r="60" spans="1:17" ht="15" customHeight="1" x14ac:dyDescent="0.25">
      <c r="B60" s="84"/>
      <c r="C60" s="84"/>
      <c r="D60" s="84"/>
      <c r="E60" s="84"/>
      <c r="F60" s="84"/>
      <c r="G60" s="84"/>
      <c r="H60" s="84"/>
      <c r="I60" s="84"/>
      <c r="J60" s="84"/>
      <c r="K60" s="84"/>
      <c r="L60" s="84"/>
      <c r="M60" s="84"/>
      <c r="N60" s="84"/>
      <c r="O60" s="84"/>
      <c r="P60" s="84"/>
    </row>
    <row r="61" spans="1:17" x14ac:dyDescent="0.25">
      <c r="B61" s="84"/>
      <c r="C61" s="84"/>
      <c r="D61" s="84"/>
      <c r="E61" s="84"/>
      <c r="F61" s="84"/>
      <c r="G61" s="84"/>
      <c r="H61" s="84"/>
      <c r="I61" s="84"/>
      <c r="J61" s="84"/>
      <c r="K61" s="84"/>
      <c r="L61" s="84"/>
      <c r="M61" s="84"/>
      <c r="N61" s="84"/>
      <c r="O61" s="84"/>
      <c r="P61" s="84"/>
    </row>
    <row r="62" spans="1:17" x14ac:dyDescent="0.25">
      <c r="B62" s="84"/>
      <c r="C62" s="84"/>
      <c r="D62" s="84"/>
      <c r="E62" s="84"/>
      <c r="F62" s="84"/>
      <c r="G62" s="84"/>
      <c r="H62" s="84"/>
      <c r="I62" s="84"/>
      <c r="J62" s="84"/>
      <c r="K62" s="84"/>
      <c r="L62" s="84"/>
      <c r="M62" s="84"/>
      <c r="N62" s="84"/>
      <c r="O62" s="84"/>
      <c r="P62" s="84"/>
    </row>
    <row r="63" spans="1:17" ht="15" customHeight="1" x14ac:dyDescent="0.25">
      <c r="B63" s="84"/>
      <c r="C63" s="84"/>
      <c r="D63" s="84"/>
      <c r="E63" s="84"/>
      <c r="F63" s="84"/>
      <c r="G63" s="84"/>
      <c r="H63" s="84"/>
      <c r="I63" s="84"/>
      <c r="J63" s="84"/>
      <c r="K63" s="84"/>
      <c r="L63" s="84"/>
      <c r="M63" s="84"/>
      <c r="N63" s="84"/>
      <c r="O63" s="84"/>
      <c r="P63" s="84"/>
    </row>
    <row r="64" spans="1:17" x14ac:dyDescent="0.25">
      <c r="B64" s="77"/>
      <c r="C64" s="77"/>
      <c r="D64" s="77"/>
      <c r="E64" s="77"/>
      <c r="F64" s="77"/>
      <c r="G64" s="77"/>
      <c r="H64" s="77"/>
      <c r="I64" s="77"/>
      <c r="J64" s="77"/>
      <c r="K64" s="77"/>
      <c r="L64" s="77"/>
      <c r="M64" s="77"/>
      <c r="N64" s="77"/>
    </row>
    <row r="65" spans="1:14" x14ac:dyDescent="0.25">
      <c r="B65" s="78"/>
      <c r="C65" s="78"/>
      <c r="D65" s="78"/>
      <c r="E65" s="78"/>
      <c r="F65" s="78"/>
      <c r="G65" s="78"/>
      <c r="H65" s="78"/>
      <c r="I65" s="78"/>
      <c r="J65" s="78"/>
      <c r="K65" s="78"/>
      <c r="L65" s="78"/>
      <c r="M65" s="78"/>
      <c r="N65" s="78"/>
    </row>
    <row r="66" spans="1:14" x14ac:dyDescent="0.25">
      <c r="A66" s="44"/>
      <c r="B66" s="77"/>
      <c r="C66" s="77"/>
      <c r="D66" s="77"/>
      <c r="E66" s="77"/>
      <c r="F66" s="77"/>
      <c r="G66" s="77"/>
      <c r="H66" s="77"/>
      <c r="I66" s="77"/>
      <c r="J66" s="77"/>
      <c r="K66" s="77"/>
      <c r="L66" s="77"/>
      <c r="M66" s="77"/>
      <c r="N66" s="77"/>
    </row>
    <row r="67" spans="1:14" ht="15" customHeight="1" x14ac:dyDescent="0.25">
      <c r="B67" s="77"/>
      <c r="C67" s="77"/>
      <c r="D67" s="77"/>
      <c r="E67" s="77"/>
      <c r="F67" s="77"/>
      <c r="G67" s="77"/>
      <c r="H67" s="77"/>
      <c r="I67" s="77"/>
      <c r="J67" s="77"/>
      <c r="K67" s="77"/>
      <c r="L67" s="77"/>
      <c r="M67" s="77"/>
      <c r="N67" s="77"/>
    </row>
    <row r="68" spans="1:14" ht="15" customHeight="1" x14ac:dyDescent="0.25">
      <c r="B68" s="77"/>
      <c r="C68" s="77"/>
      <c r="D68" s="77"/>
      <c r="E68" s="77"/>
      <c r="F68" s="77"/>
      <c r="G68" s="77"/>
      <c r="H68" s="77"/>
      <c r="I68" s="77"/>
      <c r="J68" s="77"/>
      <c r="K68" s="77"/>
      <c r="L68" s="77"/>
      <c r="M68" s="77"/>
      <c r="N68" s="77"/>
    </row>
    <row r="69" spans="1:14" x14ac:dyDescent="0.25">
      <c r="B69" s="77"/>
      <c r="C69" s="77"/>
      <c r="D69" s="77"/>
      <c r="E69" s="77"/>
      <c r="F69" s="77"/>
      <c r="G69" s="77"/>
      <c r="H69" s="77"/>
      <c r="I69" s="77"/>
      <c r="J69" s="77"/>
      <c r="K69" s="77"/>
      <c r="L69" s="77"/>
      <c r="M69" s="77"/>
      <c r="N69" s="77"/>
    </row>
    <row r="70" spans="1:14" x14ac:dyDescent="0.25">
      <c r="B70" s="77"/>
      <c r="C70" s="77"/>
      <c r="D70" s="77"/>
      <c r="E70" s="77"/>
      <c r="F70" s="77"/>
      <c r="G70" s="77"/>
      <c r="H70" s="77"/>
      <c r="I70" s="77"/>
      <c r="J70" s="77"/>
      <c r="K70" s="77"/>
      <c r="L70" s="77"/>
      <c r="M70" s="77"/>
      <c r="N70" s="77"/>
    </row>
    <row r="71" spans="1:14" x14ac:dyDescent="0.25">
      <c r="B71" s="47"/>
      <c r="C71" s="47"/>
      <c r="D71" s="47"/>
      <c r="E71" s="47"/>
      <c r="F71" s="47"/>
      <c r="G71" s="47"/>
      <c r="H71" s="47"/>
      <c r="I71" s="47"/>
      <c r="J71" s="47"/>
      <c r="K71" s="47"/>
      <c r="L71" s="47"/>
      <c r="M71" s="47"/>
      <c r="N71" s="47"/>
    </row>
    <row r="72" spans="1:14" ht="15" customHeight="1" x14ac:dyDescent="0.25">
      <c r="B72" s="47"/>
      <c r="C72" s="47"/>
      <c r="D72" s="47"/>
      <c r="E72" s="47"/>
      <c r="F72" s="47"/>
      <c r="G72" s="47"/>
      <c r="H72" s="47"/>
      <c r="I72" s="47"/>
      <c r="J72" s="47"/>
      <c r="K72" s="47"/>
      <c r="L72" s="47"/>
      <c r="M72" s="47"/>
      <c r="N72" s="47"/>
    </row>
    <row r="73" spans="1:14" x14ac:dyDescent="0.25">
      <c r="B73" s="47"/>
      <c r="C73" s="47"/>
      <c r="D73" s="47"/>
      <c r="E73" s="47"/>
      <c r="F73" s="47"/>
      <c r="G73" s="47"/>
      <c r="H73" s="47"/>
      <c r="I73" s="47"/>
      <c r="J73" s="47"/>
      <c r="K73" s="47"/>
      <c r="L73" s="47"/>
      <c r="M73" s="47"/>
      <c r="N73" s="47"/>
    </row>
    <row r="74" spans="1:14" ht="15" customHeight="1" x14ac:dyDescent="0.25">
      <c r="A74" s="44"/>
      <c r="B74" s="47"/>
      <c r="C74" s="47"/>
      <c r="D74" s="47"/>
      <c r="E74" s="47"/>
      <c r="F74" s="47"/>
      <c r="G74" s="47"/>
      <c r="H74" s="47"/>
      <c r="I74" s="47"/>
      <c r="J74" s="47"/>
      <c r="K74" s="47"/>
      <c r="L74" s="47"/>
      <c r="M74" s="47"/>
      <c r="N74" s="47"/>
    </row>
    <row r="75" spans="1:14" x14ac:dyDescent="0.25">
      <c r="B75" s="47"/>
      <c r="C75" s="47"/>
      <c r="D75" s="47"/>
      <c r="E75" s="47"/>
      <c r="F75" s="47"/>
      <c r="G75" s="47"/>
      <c r="H75" s="47"/>
      <c r="I75" s="47"/>
      <c r="J75" s="47"/>
      <c r="K75" s="47"/>
      <c r="L75" s="47"/>
      <c r="M75" s="47"/>
      <c r="N75" s="47"/>
    </row>
    <row r="76" spans="1:14" x14ac:dyDescent="0.25">
      <c r="B76" s="47"/>
      <c r="C76" s="47"/>
      <c r="D76" s="47"/>
      <c r="E76" s="47"/>
      <c r="F76" s="47"/>
      <c r="G76" s="47"/>
      <c r="H76" s="47"/>
      <c r="I76" s="47"/>
      <c r="J76" s="47"/>
      <c r="K76" s="47"/>
      <c r="L76" s="47"/>
      <c r="M76" s="47"/>
      <c r="N76" s="47"/>
    </row>
    <row r="77" spans="1:14" x14ac:dyDescent="0.25">
      <c r="B77" s="47"/>
      <c r="C77" s="47"/>
      <c r="D77" s="47"/>
      <c r="E77" s="47"/>
      <c r="F77" s="47"/>
      <c r="G77" s="47"/>
      <c r="H77" s="47"/>
      <c r="I77" s="47"/>
      <c r="J77" s="47"/>
      <c r="K77" s="47"/>
      <c r="L77" s="47"/>
      <c r="M77" s="47"/>
      <c r="N77" s="47"/>
    </row>
    <row r="78" spans="1:14" x14ac:dyDescent="0.25">
      <c r="B78" s="47"/>
      <c r="C78" s="47"/>
      <c r="D78" s="47"/>
      <c r="E78" s="47"/>
      <c r="F78" s="47"/>
      <c r="G78" s="47"/>
      <c r="H78" s="47"/>
      <c r="I78" s="47"/>
      <c r="J78" s="47"/>
      <c r="K78" s="47"/>
      <c r="L78" s="47"/>
      <c r="M78" s="47"/>
      <c r="N78" s="47"/>
    </row>
    <row r="79" spans="1:14" x14ac:dyDescent="0.25">
      <c r="A79" s="44"/>
      <c r="B79" s="47"/>
      <c r="C79" s="47"/>
      <c r="D79" s="47"/>
      <c r="E79" s="47"/>
      <c r="F79" s="47"/>
      <c r="G79" s="47"/>
      <c r="H79" s="47"/>
      <c r="I79" s="47"/>
      <c r="J79" s="47"/>
      <c r="K79" s="47"/>
      <c r="L79" s="47"/>
      <c r="M79" s="47"/>
      <c r="N79" s="47"/>
    </row>
    <row r="81" spans="1:14" x14ac:dyDescent="0.25">
      <c r="B81" s="47"/>
      <c r="C81" s="47"/>
      <c r="D81" s="47"/>
      <c r="E81" s="47"/>
      <c r="F81" s="47"/>
      <c r="G81" s="47"/>
      <c r="H81" s="47"/>
      <c r="I81" s="47"/>
      <c r="J81" s="47"/>
      <c r="K81" s="47"/>
      <c r="L81" s="47"/>
      <c r="M81" s="47"/>
      <c r="N81" s="47"/>
    </row>
    <row r="82" spans="1:14" x14ac:dyDescent="0.25">
      <c r="A82" s="44"/>
      <c r="B82" s="47"/>
      <c r="C82" s="47"/>
      <c r="D82" s="47"/>
      <c r="E82" s="47"/>
      <c r="F82" s="47"/>
      <c r="G82" s="47"/>
      <c r="H82" s="47"/>
      <c r="I82" s="47"/>
      <c r="J82" s="47"/>
      <c r="K82" s="47"/>
      <c r="L82" s="47"/>
      <c r="M82" s="47"/>
      <c r="N82" s="47"/>
    </row>
    <row r="83" spans="1:14" x14ac:dyDescent="0.25">
      <c r="B83" s="47"/>
      <c r="C83" s="47"/>
      <c r="D83" s="47"/>
      <c r="E83" s="47"/>
      <c r="F83" s="47"/>
      <c r="G83" s="47"/>
      <c r="H83" s="47"/>
      <c r="I83" s="47"/>
      <c r="J83" s="47"/>
      <c r="K83" s="47"/>
      <c r="L83" s="47"/>
      <c r="M83" s="47"/>
      <c r="N83" s="47"/>
    </row>
    <row r="87" spans="1:14" x14ac:dyDescent="0.25">
      <c r="A87" s="44"/>
    </row>
    <row r="91" spans="1:14" x14ac:dyDescent="0.25">
      <c r="A91" s="44"/>
    </row>
    <row r="93" spans="1:14" x14ac:dyDescent="0.25">
      <c r="A93" s="44"/>
    </row>
    <row r="97" spans="1:1" x14ac:dyDescent="0.25">
      <c r="A97" s="44"/>
    </row>
  </sheetData>
  <mergeCells count="11">
    <mergeCell ref="AC11:AC12"/>
    <mergeCell ref="AC13:AC14"/>
    <mergeCell ref="B54:P57"/>
    <mergeCell ref="B42:P52"/>
    <mergeCell ref="O5:O6"/>
    <mergeCell ref="P5:P6"/>
    <mergeCell ref="B5:B6"/>
    <mergeCell ref="C5:G5"/>
    <mergeCell ref="H5:H6"/>
    <mergeCell ref="I5:M5"/>
    <mergeCell ref="N5:N6"/>
  </mergeCells>
  <pageMargins left="0.25" right="0.25" top="0.75" bottom="0.75" header="0.3" footer="0.3"/>
  <pageSetup paperSize="3"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C3525-ABFD-44DC-BBD2-D07898DFA8D7}">
  <sheetPr>
    <tabColor rgb="FF00B050"/>
    <pageSetUpPr fitToPage="1"/>
  </sheetPr>
  <dimension ref="A1:AS77"/>
  <sheetViews>
    <sheetView view="pageBreakPreview" zoomScale="70" zoomScaleNormal="85" zoomScaleSheetLayoutView="70" workbookViewId="0">
      <selection activeCell="B3" sqref="B3:B4"/>
    </sheetView>
  </sheetViews>
  <sheetFormatPr defaultRowHeight="15" x14ac:dyDescent="0.25"/>
  <cols>
    <col min="1" max="1" width="9.140625" style="127"/>
    <col min="2" max="3" width="15.7109375" style="127" customWidth="1"/>
    <col min="4" max="5" width="18.5703125" style="127" customWidth="1"/>
    <col min="6" max="15" width="15.7109375" style="127" customWidth="1"/>
    <col min="16" max="16" width="17.7109375" style="127" customWidth="1"/>
    <col min="17" max="17" width="15.7109375" style="127" customWidth="1"/>
    <col min="18" max="22" width="15.42578125" style="127" customWidth="1"/>
    <col min="23" max="23" width="21.85546875" style="127" customWidth="1"/>
    <col min="24" max="24" width="50.42578125" style="127" customWidth="1"/>
    <col min="25" max="28" width="17.7109375" style="127" customWidth="1"/>
    <col min="29" max="29" width="9.140625" style="127"/>
    <col min="30" max="30" width="15.7109375" style="127" customWidth="1"/>
    <col min="31" max="31" width="12.28515625" style="127" customWidth="1"/>
    <col min="32" max="32" width="19.140625" style="127" customWidth="1"/>
    <col min="33" max="33" width="13.85546875" style="127" customWidth="1"/>
    <col min="34" max="37" width="13.140625" style="127" customWidth="1"/>
    <col min="38" max="40" width="9.140625" style="127"/>
    <col min="41" max="43" width="25.7109375" style="127" customWidth="1"/>
    <col min="44" max="44" width="37" style="127" bestFit="1" customWidth="1"/>
    <col min="45" max="45" width="38.85546875" style="127" bestFit="1" customWidth="1"/>
    <col min="46" max="16384" width="9.140625" style="127"/>
  </cols>
  <sheetData>
    <row r="1" spans="2:45" ht="15.75" thickBot="1" x14ac:dyDescent="0.3">
      <c r="B1" s="12" t="s">
        <v>100</v>
      </c>
      <c r="C1" s="12"/>
      <c r="D1" s="12"/>
      <c r="E1" s="12"/>
    </row>
    <row r="2" spans="2:45" ht="18.75" thickBot="1" x14ac:dyDescent="0.3">
      <c r="C2" s="520" t="s">
        <v>353</v>
      </c>
      <c r="D2" s="521"/>
      <c r="E2" s="522"/>
      <c r="F2" s="533" t="s">
        <v>117</v>
      </c>
      <c r="G2" s="534"/>
      <c r="H2" s="534"/>
      <c r="I2" s="534"/>
      <c r="J2" s="534"/>
      <c r="K2" s="534"/>
      <c r="L2" s="534"/>
      <c r="M2" s="534"/>
      <c r="N2" s="534"/>
      <c r="O2" s="531" t="s">
        <v>118</v>
      </c>
      <c r="P2" s="532"/>
    </row>
    <row r="3" spans="2:45" ht="35.1" customHeight="1" x14ac:dyDescent="0.25">
      <c r="B3" s="527" t="s">
        <v>0</v>
      </c>
      <c r="C3" s="506" t="s">
        <v>352</v>
      </c>
      <c r="D3" s="497" t="s">
        <v>330</v>
      </c>
      <c r="E3" s="529" t="s">
        <v>160</v>
      </c>
      <c r="F3" s="506" t="s">
        <v>332</v>
      </c>
      <c r="G3" s="497" t="s">
        <v>316</v>
      </c>
      <c r="H3" s="501" t="s">
        <v>328</v>
      </c>
      <c r="I3" s="499" t="s">
        <v>327</v>
      </c>
      <c r="J3" s="497" t="s">
        <v>317</v>
      </c>
      <c r="K3" s="501" t="s">
        <v>329</v>
      </c>
      <c r="L3" s="499" t="s">
        <v>318</v>
      </c>
      <c r="M3" s="506" t="s">
        <v>319</v>
      </c>
      <c r="N3" s="535" t="s">
        <v>1</v>
      </c>
      <c r="O3" s="541" t="s">
        <v>119</v>
      </c>
      <c r="P3" s="537" t="s">
        <v>1</v>
      </c>
      <c r="R3" s="156"/>
    </row>
    <row r="4" spans="2:45" ht="35.1" customHeight="1" thickBot="1" x14ac:dyDescent="0.3">
      <c r="B4" s="528"/>
      <c r="C4" s="523"/>
      <c r="D4" s="525"/>
      <c r="E4" s="530"/>
      <c r="F4" s="523"/>
      <c r="G4" s="525"/>
      <c r="H4" s="524"/>
      <c r="I4" s="526"/>
      <c r="J4" s="525"/>
      <c r="K4" s="524"/>
      <c r="L4" s="526"/>
      <c r="M4" s="523"/>
      <c r="N4" s="536"/>
      <c r="O4" s="542"/>
      <c r="P4" s="538"/>
    </row>
    <row r="5" spans="2:45" x14ac:dyDescent="0.25">
      <c r="B5" s="1">
        <f>Assumptions!$D$8</f>
        <v>2025</v>
      </c>
      <c r="C5" s="290">
        <f>($F5*$V$7*Assumptions!$D$14+$F5*$V$8*Assumptions!$D$15)/10^6</f>
        <v>228.69711425723409</v>
      </c>
      <c r="D5" s="291">
        <f t="shared" ref="D5:D34" si="0">C5*_xlfn.XLOOKUP($B5,$R$13:$R$48,$V$13:$V$48)</f>
        <v>12807.03839840511</v>
      </c>
      <c r="E5" s="292">
        <f>D5*(1+0.03)^-($B5-Assumptions!$D$4)</f>
        <v>11047.463824409544</v>
      </c>
      <c r="F5" s="281">
        <f>TREND($Y$21:$Z$21,$Y$20:$Z$20,$B5)-TREND($AA$21:$AB$21,$AA$20:$AB$20,$B5)</f>
        <v>580894.36170166731</v>
      </c>
      <c r="G5" s="293">
        <f>($F5*S$7*Assumptions!$D$14+$F5*S$8*Assumptions!$D$15)/10^6</f>
        <v>0.22261453305440501</v>
      </c>
      <c r="H5" s="294">
        <f>($F5*T$7*Assumptions!$D$14+$F5*T$8*Assumptions!$D$15)/10^6</f>
        <v>1.3333190058746822E-3</v>
      </c>
      <c r="I5" s="295">
        <f>($F5*U$7*Assumptions!$D$14+$F5*U$8*Assumptions!$D$15)/10^6</f>
        <v>4.6661956040418267E-3</v>
      </c>
      <c r="J5" s="296">
        <f t="shared" ref="J5" si="1">G5*_xlfn.XLOOKUP($B5,$R$13:$R$48,$S$13:$S$48)</f>
        <v>3673.1397953976825</v>
      </c>
      <c r="K5" s="297">
        <f>H5*_xlfn.XLOOKUP($B5,$R$13:$R$48,$T$13:$T$48)</f>
        <v>59.86602336377323</v>
      </c>
      <c r="L5" s="292">
        <f>I5*_xlfn.XLOOKUP($B5,$R$13:$R$48,$U$13:$U$48)</f>
        <v>3740.8890157603323</v>
      </c>
      <c r="M5" s="298">
        <f t="shared" ref="M5" si="2">SUM(J5:L5)</f>
        <v>7473.8948345217887</v>
      </c>
      <c r="N5" s="299">
        <f>M5*(1+0.07)^-(B5-Assumptions!$D$4)</f>
        <v>5328.7837239284136</v>
      </c>
      <c r="O5" s="270">
        <f t="shared" ref="O5:P5" si="3">M5+D5</f>
        <v>20280.933232926898</v>
      </c>
      <c r="P5" s="164">
        <f t="shared" si="3"/>
        <v>16376.247548337957</v>
      </c>
      <c r="R5" s="157" t="s">
        <v>320</v>
      </c>
      <c r="S5" s="157"/>
      <c r="T5" s="157"/>
      <c r="U5" s="157"/>
      <c r="V5" s="157"/>
      <c r="X5" s="12" t="s">
        <v>358</v>
      </c>
      <c r="AE5" s="12" t="s">
        <v>175</v>
      </c>
    </row>
    <row r="6" spans="2:45" ht="18" x14ac:dyDescent="0.35">
      <c r="B6" s="2">
        <f t="shared" ref="B6:B34" si="4">+B5+1</f>
        <v>2026</v>
      </c>
      <c r="C6" s="269">
        <f>($F6*$V$7*Assumptions!$D$14+$F6*$V$8*Assumptions!$D$15)/10^6</f>
        <v>234.42590002268162</v>
      </c>
      <c r="D6" s="270">
        <f t="shared" si="0"/>
        <v>13362.276301292852</v>
      </c>
      <c r="E6" s="164">
        <f>D6*(1+0.03)^-($B6-Assumptions!$D$4)</f>
        <v>11190.696035789855</v>
      </c>
      <c r="F6" s="282">
        <f t="shared" ref="F6:F34" si="5">TREND($Y$21:$Z$21,$Y$20:$Z$20,$B6)-TREND($AA$21:$AB$21,$AA$20:$AB$20,$B6)</f>
        <v>595445.57001644373</v>
      </c>
      <c r="G6" s="284">
        <f>($F6*S$7*Assumptions!$D$14+$F6*S$8*Assumptions!$D$15)/10^6</f>
        <v>0.22819095220724739</v>
      </c>
      <c r="H6" s="285">
        <f>($F6*T$7*Assumptions!$D$14+$F6*T$8*Assumptions!$D$15)/10^6</f>
        <v>1.3667181983676149E-3</v>
      </c>
      <c r="I6" s="286">
        <f>($F6*U$7*Assumptions!$D$14+$F6*U$8*Assumptions!$D$15)/10^6</f>
        <v>4.7830822339498952E-3</v>
      </c>
      <c r="J6" s="261">
        <f t="shared" ref="J6:J34" si="6">G6*_xlfn.XLOOKUP($B6,$R$13:$R$48,$S$13:$S$48)</f>
        <v>3833.6079970817559</v>
      </c>
      <c r="K6" s="158">
        <f t="shared" ref="K6:K34" si="7">G6*_xlfn.XLOOKUP($B6,$R$13:$R$48,$S$13:$S$48)</f>
        <v>3833.6079970817559</v>
      </c>
      <c r="L6" s="159">
        <f t="shared" ref="L6:L34" si="8">H6*_xlfn.XLOOKUP($B6,$R$13:$R$48,$U$13:$U$48)</f>
        <v>1113.1919725704224</v>
      </c>
      <c r="M6" s="165">
        <f t="shared" ref="M6:M34" si="9">SUM(J6:L6)</f>
        <v>8780.4079667339338</v>
      </c>
      <c r="N6" s="300">
        <f>M6*(1+0.07)^-(B6-Assumptions!$D$4)</f>
        <v>5850.7565705697125</v>
      </c>
      <c r="O6" s="302">
        <f t="shared" ref="O6:O34" si="10">M6+D6</f>
        <v>22142.684268026787</v>
      </c>
      <c r="P6" s="159">
        <f t="shared" ref="P6:P34" si="11">N6+E6</f>
        <v>17041.452606359569</v>
      </c>
      <c r="R6" s="135" t="s">
        <v>101</v>
      </c>
      <c r="S6" s="137" t="s">
        <v>354</v>
      </c>
      <c r="T6" s="137" t="s">
        <v>355</v>
      </c>
      <c r="U6" s="137" t="s">
        <v>356</v>
      </c>
      <c r="V6" s="136" t="s">
        <v>357</v>
      </c>
      <c r="X6" s="311" t="s">
        <v>199</v>
      </c>
      <c r="Y6" s="415">
        <f>AVERAGE(AS21:AS22)</f>
        <v>0.27500000000000002</v>
      </c>
      <c r="AE6" s="311" t="s">
        <v>165</v>
      </c>
      <c r="AF6" s="311" t="s">
        <v>166</v>
      </c>
      <c r="AG6" s="311" t="s">
        <v>167</v>
      </c>
      <c r="AH6" s="348" t="s">
        <v>156</v>
      </c>
      <c r="AI6" s="348" t="s">
        <v>157</v>
      </c>
      <c r="AJ6" s="348" t="s">
        <v>158</v>
      </c>
      <c r="AK6" s="348" t="s">
        <v>159</v>
      </c>
      <c r="AO6" s="127" t="s">
        <v>206</v>
      </c>
    </row>
    <row r="7" spans="2:45" ht="15.75" x14ac:dyDescent="0.25">
      <c r="B7" s="2">
        <f t="shared" si="4"/>
        <v>2027</v>
      </c>
      <c r="C7" s="269">
        <f>($F7*$V$7*Assumptions!$D$14+$F7*$V$8*Assumptions!$D$15)/10^6</f>
        <v>240.15468578812914</v>
      </c>
      <c r="D7" s="270">
        <f t="shared" si="0"/>
        <v>13928.97177571149</v>
      </c>
      <c r="E7" s="164">
        <f>D7*(1+0.03)^-($B7-Assumptions!$D$4)</f>
        <v>11325.528712572173</v>
      </c>
      <c r="F7" s="282">
        <f t="shared" si="5"/>
        <v>609996.77833122015</v>
      </c>
      <c r="G7" s="284">
        <f>($F7*S$7*Assumptions!$D$14+$F7*S$8*Assumptions!$D$15)/10^6</f>
        <v>0.23376737136008974</v>
      </c>
      <c r="H7" s="285">
        <f>($F7*T$7*Assumptions!$D$14+$F7*T$8*Assumptions!$D$15)/10^6</f>
        <v>1.4001173908605475E-3</v>
      </c>
      <c r="I7" s="286">
        <f>($F7*U$7*Assumptions!$D$14+$F7*U$8*Assumptions!$D$15)/10^6</f>
        <v>4.8999688638579645E-3</v>
      </c>
      <c r="J7" s="261">
        <f t="shared" si="6"/>
        <v>3997.4220502575345</v>
      </c>
      <c r="K7" s="158">
        <f t="shared" si="7"/>
        <v>3997.4220502575345</v>
      </c>
      <c r="L7" s="159">
        <f t="shared" si="8"/>
        <v>1158.4571291980169</v>
      </c>
      <c r="M7" s="165">
        <f t="shared" si="9"/>
        <v>9153.3012297130863</v>
      </c>
      <c r="N7" s="300">
        <f>M7*(1+0.07)^-(B7-Assumptions!$D$4)</f>
        <v>5700.2159781957344</v>
      </c>
      <c r="O7" s="302">
        <f t="shared" si="10"/>
        <v>23082.273005424577</v>
      </c>
      <c r="P7" s="159">
        <f t="shared" si="11"/>
        <v>17025.744690767908</v>
      </c>
      <c r="R7" s="135" t="s">
        <v>102</v>
      </c>
      <c r="S7" s="357">
        <f>AH25</f>
        <v>0.22790983982547491</v>
      </c>
      <c r="T7" s="357">
        <f t="shared" ref="T7:V7" si="12">AI25</f>
        <v>2.0699004398994176E-3</v>
      </c>
      <c r="U7" s="357">
        <f t="shared" si="12"/>
        <v>5.8180715878192544E-3</v>
      </c>
      <c r="V7" s="357">
        <f t="shared" si="12"/>
        <v>317.22468262036</v>
      </c>
      <c r="X7" s="127" t="s">
        <v>200</v>
      </c>
      <c r="AE7" s="348">
        <v>11</v>
      </c>
      <c r="AF7" s="311" t="s">
        <v>168</v>
      </c>
      <c r="AG7" s="311" t="s">
        <v>169</v>
      </c>
      <c r="AH7" s="360">
        <v>0.73690802096518104</v>
      </c>
      <c r="AI7" s="360">
        <v>2.4081927794970298E-3</v>
      </c>
      <c r="AJ7" s="360">
        <v>1.78605259703664E-2</v>
      </c>
      <c r="AK7" s="360">
        <v>362.51238716242</v>
      </c>
      <c r="AO7" s="421" t="s">
        <v>207</v>
      </c>
      <c r="AP7" s="422"/>
      <c r="AQ7" s="422"/>
      <c r="AR7" s="422"/>
      <c r="AS7" s="422"/>
    </row>
    <row r="8" spans="2:45" ht="15.75" x14ac:dyDescent="0.25">
      <c r="B8" s="2">
        <f t="shared" si="4"/>
        <v>2028</v>
      </c>
      <c r="C8" s="269">
        <f>($F8*$V$7*Assumptions!$D$14+$F8*$V$8*Assumptions!$D$15)/10^6</f>
        <v>245.88347155357664</v>
      </c>
      <c r="D8" s="270">
        <f t="shared" si="0"/>
        <v>14753.008293214598</v>
      </c>
      <c r="E8" s="164">
        <f>D8*(1+0.03)^-($B8-Assumptions!$D$4)</f>
        <v>11646.160980573679</v>
      </c>
      <c r="F8" s="282">
        <f t="shared" si="5"/>
        <v>624547.98664599657</v>
      </c>
      <c r="G8" s="284">
        <f>($F8*S$7*Assumptions!$D$14+$F8*S$8*Assumptions!$D$15)/10^6</f>
        <v>0.23934379051293214</v>
      </c>
      <c r="H8" s="285">
        <f>($F8*T$7*Assumptions!$D$14+$F8*T$8*Assumptions!$D$15)/10^6</f>
        <v>1.4335165833534798E-3</v>
      </c>
      <c r="I8" s="286">
        <f>($F8*U$7*Assumptions!$D$14+$F8*U$8*Assumptions!$D$15)/10^6</f>
        <v>5.016855493766033E-3</v>
      </c>
      <c r="J8" s="261">
        <f t="shared" si="6"/>
        <v>4164.5819549250191</v>
      </c>
      <c r="K8" s="158">
        <f t="shared" si="7"/>
        <v>4164.5819549250191</v>
      </c>
      <c r="L8" s="159">
        <f t="shared" si="8"/>
        <v>1205.0140399669351</v>
      </c>
      <c r="M8" s="165">
        <f t="shared" si="9"/>
        <v>9534.1779498169726</v>
      </c>
      <c r="N8" s="300">
        <f>M8*(1+0.07)^-(B8-Assumptions!$D$4)</f>
        <v>5548.9783713367096</v>
      </c>
      <c r="O8" s="302">
        <f t="shared" si="10"/>
        <v>24287.18624303157</v>
      </c>
      <c r="P8" s="159">
        <f t="shared" si="11"/>
        <v>17195.139351910388</v>
      </c>
      <c r="R8" s="135" t="s">
        <v>103</v>
      </c>
      <c r="S8" s="357">
        <f t="shared" ref="S8:V8" si="13">AH26</f>
        <v>2.099484306313415</v>
      </c>
      <c r="T8" s="357">
        <f t="shared" si="13"/>
        <v>4.7858028693373951E-3</v>
      </c>
      <c r="U8" s="357">
        <f t="shared" si="13"/>
        <v>3.2505287070740692E-2</v>
      </c>
      <c r="V8" s="357">
        <f t="shared" si="13"/>
        <v>1238.7315972924489</v>
      </c>
      <c r="X8" s="12" t="s">
        <v>359</v>
      </c>
      <c r="AE8" s="348">
        <v>21</v>
      </c>
      <c r="AF8" s="311" t="s">
        <v>170</v>
      </c>
      <c r="AG8" s="311" t="s">
        <v>169</v>
      </c>
      <c r="AH8" s="360">
        <v>3.7528759722247264E-2</v>
      </c>
      <c r="AI8" s="360">
        <v>1.6122938930079201E-3</v>
      </c>
      <c r="AJ8" s="360">
        <v>1.1798384221972261E-3</v>
      </c>
      <c r="AK8" s="360">
        <v>243.79125643460799</v>
      </c>
      <c r="AO8" s="423" t="s">
        <v>208</v>
      </c>
      <c r="AP8" s="422"/>
      <c r="AQ8" s="422"/>
      <c r="AR8" s="422"/>
      <c r="AS8" s="422"/>
    </row>
    <row r="9" spans="2:45" ht="15" customHeight="1" x14ac:dyDescent="0.25">
      <c r="B9" s="2">
        <f t="shared" si="4"/>
        <v>2029</v>
      </c>
      <c r="C9" s="269">
        <f>($F9*$V$7*Assumptions!$D$14+$F9*$V$8*Assumptions!$D$15)/10^6</f>
        <v>251.61225731903593</v>
      </c>
      <c r="D9" s="270">
        <f t="shared" si="0"/>
        <v>15348.347696461193</v>
      </c>
      <c r="E9" s="164">
        <f>D9*(1+0.03)^-($B9-Assumptions!$D$4)</f>
        <v>11763.23048839562</v>
      </c>
      <c r="F9" s="282">
        <f t="shared" si="5"/>
        <v>639099.19496080279</v>
      </c>
      <c r="G9" s="284">
        <f>($F9*S$7*Assumptions!$D$14+$F9*S$8*Assumptions!$D$15)/10^6</f>
        <v>0.24492020966578595</v>
      </c>
      <c r="H9" s="285">
        <f>($F9*T$7*Assumptions!$D$14+$F9*T$8*Assumptions!$D$15)/10^6</f>
        <v>1.4669157758464804E-3</v>
      </c>
      <c r="I9" s="286">
        <f>($F9*U$7*Assumptions!$D$14+$F9*U$8*Assumptions!$D$15)/10^6</f>
        <v>5.1337421236743409E-3</v>
      </c>
      <c r="J9" s="261">
        <f t="shared" si="6"/>
        <v>4335.0877110844112</v>
      </c>
      <c r="K9" s="158">
        <f t="shared" si="7"/>
        <v>4335.0877110844112</v>
      </c>
      <c r="L9" s="159">
        <f t="shared" si="8"/>
        <v>1252.7460725728943</v>
      </c>
      <c r="M9" s="165">
        <f t="shared" ref="M9:M24" si="14">SUM(J9:L9)</f>
        <v>9922.9214947417167</v>
      </c>
      <c r="N9" s="300">
        <f>M9*(1+0.07)^-(B9-Assumptions!$D$4)</f>
        <v>5397.4118260035502</v>
      </c>
      <c r="O9" s="302">
        <f t="shared" si="10"/>
        <v>25271.269191202911</v>
      </c>
      <c r="P9" s="159">
        <f t="shared" si="11"/>
        <v>17160.642314399171</v>
      </c>
      <c r="R9" s="12"/>
      <c r="S9" s="353"/>
      <c r="T9" s="354"/>
      <c r="U9" s="353"/>
      <c r="V9" s="352"/>
      <c r="X9" s="396" t="s">
        <v>201</v>
      </c>
      <c r="Y9" s="396" t="s">
        <v>202</v>
      </c>
      <c r="AE9" s="348">
        <v>31</v>
      </c>
      <c r="AF9" s="311" t="s">
        <v>170</v>
      </c>
      <c r="AG9" s="311" t="s">
        <v>169</v>
      </c>
      <c r="AH9" s="360">
        <v>5.602001301010253E-2</v>
      </c>
      <c r="AI9" s="360">
        <v>2.0534055761767299E-3</v>
      </c>
      <c r="AJ9" s="360">
        <v>1.6834690354423085E-3</v>
      </c>
      <c r="AK9" s="360">
        <v>318.590574637288</v>
      </c>
      <c r="AO9" s="422"/>
      <c r="AP9" s="422"/>
      <c r="AQ9" s="422"/>
      <c r="AR9" s="422"/>
      <c r="AS9" s="422"/>
    </row>
    <row r="10" spans="2:45" ht="15.75" x14ac:dyDescent="0.25">
      <c r="B10" s="2">
        <f t="shared" si="4"/>
        <v>2030</v>
      </c>
      <c r="C10" s="269">
        <f>($F10*$V$7*Assumptions!$D$14+$F10*$V$8*Assumptions!$D$15)/10^6</f>
        <v>257.34104308449514</v>
      </c>
      <c r="D10" s="270">
        <f t="shared" si="0"/>
        <v>15955.144671238699</v>
      </c>
      <c r="E10" s="164">
        <f>D10*(1+0.03)^-($B10-Assumptions!$D$4)</f>
        <v>11872.126061165627</v>
      </c>
      <c r="F10" s="282">
        <f t="shared" si="5"/>
        <v>653650.40327560902</v>
      </c>
      <c r="G10" s="284">
        <f>($F10*S$7*Assumptions!$D$14+$F10*S$8*Assumptions!$D$15)/10^6</f>
        <v>0.25049662881863971</v>
      </c>
      <c r="H10" s="285">
        <f>($F10*T$7*Assumptions!$D$14+$F10*T$8*Assumptions!$D$15)/10^6</f>
        <v>1.5003149683394815E-3</v>
      </c>
      <c r="I10" s="286">
        <f>($F10*U$7*Assumptions!$D$14+$F10*U$8*Assumptions!$D$15)/10^6</f>
        <v>5.2506287535826496E-3</v>
      </c>
      <c r="J10" s="261">
        <f t="shared" si="6"/>
        <v>4533.9889816173791</v>
      </c>
      <c r="K10" s="158">
        <f t="shared" si="7"/>
        <v>4533.9889816173791</v>
      </c>
      <c r="L10" s="159">
        <f t="shared" si="8"/>
        <v>1301.6732665313341</v>
      </c>
      <c r="M10" s="165">
        <f t="shared" si="14"/>
        <v>10369.651229766092</v>
      </c>
      <c r="N10" s="300">
        <f>M10*(1+0.07)^-(B10-Assumptions!$D$4)</f>
        <v>5271.4048623354984</v>
      </c>
      <c r="O10" s="302">
        <f t="shared" si="10"/>
        <v>26324.795901004793</v>
      </c>
      <c r="P10" s="159">
        <f t="shared" si="11"/>
        <v>17143.530923501126</v>
      </c>
      <c r="S10" s="21"/>
      <c r="T10" s="21"/>
      <c r="U10" s="21"/>
      <c r="V10" s="21"/>
      <c r="X10" s="396" t="s">
        <v>102</v>
      </c>
      <c r="Y10" s="415">
        <v>24.9</v>
      </c>
      <c r="AE10" s="348">
        <v>32</v>
      </c>
      <c r="AF10" s="311" t="s">
        <v>170</v>
      </c>
      <c r="AG10" s="311" t="s">
        <v>169</v>
      </c>
      <c r="AH10" s="360">
        <v>8.1182565604368817E-2</v>
      </c>
      <c r="AI10" s="360">
        <v>2.2057095109159902E-3</v>
      </c>
      <c r="AJ10" s="360">
        <v>2.5484529232710825E-3</v>
      </c>
      <c r="AK10" s="360">
        <v>344.00451224712401</v>
      </c>
      <c r="AO10" s="424" t="s">
        <v>209</v>
      </c>
      <c r="AP10" s="421"/>
      <c r="AQ10" s="421"/>
      <c r="AR10" s="421"/>
      <c r="AS10" s="421"/>
    </row>
    <row r="11" spans="2:45" ht="15.75" x14ac:dyDescent="0.25">
      <c r="B11" s="2">
        <f t="shared" si="4"/>
        <v>2031</v>
      </c>
      <c r="C11" s="269">
        <f>($F11*$V$7*Assumptions!$D$14+$F11*$V$8*Assumptions!$D$15)/10^6</f>
        <v>263.06982884994267</v>
      </c>
      <c r="D11" s="270">
        <f t="shared" si="0"/>
        <v>16573.399217546386</v>
      </c>
      <c r="E11" s="164">
        <f>D11*(1+0.03)^-($B11-Assumptions!$D$4)</f>
        <v>11972.976220320788</v>
      </c>
      <c r="F11" s="282">
        <f t="shared" si="5"/>
        <v>668201.61159038544</v>
      </c>
      <c r="G11" s="284">
        <f>($F11*S$7*Assumptions!$D$14+$F11*S$8*Assumptions!$D$15)/10^6</f>
        <v>0.25607304797148217</v>
      </c>
      <c r="H11" s="285">
        <f>($F11*T$7*Assumptions!$D$14+$F11*T$8*Assumptions!$D$15)/10^6</f>
        <v>1.5337141608324138E-3</v>
      </c>
      <c r="I11" s="286">
        <f>($F11*U$7*Assumptions!$D$14+$F11*U$8*Assumptions!$D$15)/10^6</f>
        <v>5.3675153834907181E-3</v>
      </c>
      <c r="J11" s="261">
        <f t="shared" si="6"/>
        <v>4634.922168283827</v>
      </c>
      <c r="K11" s="158">
        <f t="shared" si="7"/>
        <v>4634.922168283827</v>
      </c>
      <c r="L11" s="159">
        <f t="shared" si="8"/>
        <v>1330.6504059382023</v>
      </c>
      <c r="M11" s="165">
        <f t="shared" si="14"/>
        <v>10600.494742505856</v>
      </c>
      <c r="N11" s="300">
        <f>M11*(1+0.07)^-(B11-Assumptions!$D$4)</f>
        <v>5036.2186903090178</v>
      </c>
      <c r="O11" s="302">
        <f t="shared" si="10"/>
        <v>27173.893960052243</v>
      </c>
      <c r="P11" s="159">
        <f t="shared" si="11"/>
        <v>17009.194910629805</v>
      </c>
      <c r="R11" s="40" t="s">
        <v>321</v>
      </c>
      <c r="AE11" s="348">
        <v>41</v>
      </c>
      <c r="AF11" s="311" t="s">
        <v>171</v>
      </c>
      <c r="AG11" s="311" t="s">
        <v>172</v>
      </c>
      <c r="AH11" s="360">
        <v>2.237602310868759</v>
      </c>
      <c r="AI11" s="360">
        <v>5.5717265564873301E-3</v>
      </c>
      <c r="AJ11" s="360">
        <v>1.658066855283262E-2</v>
      </c>
      <c r="AK11" s="360">
        <v>1406.7823013201701</v>
      </c>
      <c r="AO11" s="424" t="s">
        <v>210</v>
      </c>
      <c r="AP11" s="421" t="s">
        <v>211</v>
      </c>
      <c r="AQ11" s="421" t="s">
        <v>212</v>
      </c>
      <c r="AR11" s="421" t="s">
        <v>213</v>
      </c>
      <c r="AS11" s="421" t="s">
        <v>214</v>
      </c>
    </row>
    <row r="12" spans="2:45" ht="18" x14ac:dyDescent="0.35">
      <c r="B12" s="2">
        <f t="shared" si="4"/>
        <v>2032</v>
      </c>
      <c r="C12" s="269">
        <f>($F12*$V$7*Assumptions!$D$14+$F12*$V$8*Assumptions!$D$15)/10^6</f>
        <v>268.79861461539025</v>
      </c>
      <c r="D12" s="270">
        <f t="shared" si="0"/>
        <v>17203.111335384976</v>
      </c>
      <c r="E12" s="164">
        <f>D12*(1+0.03)^-($B12-Assumptions!$D$4)</f>
        <v>12065.916167358695</v>
      </c>
      <c r="F12" s="282">
        <f t="shared" si="5"/>
        <v>682752.81990516186</v>
      </c>
      <c r="G12" s="284">
        <f>($F12*S$7*Assumptions!$D$14+$F12*S$8*Assumptions!$D$15)/10^6</f>
        <v>0.26164946712432452</v>
      </c>
      <c r="H12" s="285">
        <f>($F12*T$7*Assumptions!$D$14+$F12*T$8*Assumptions!$D$15)/10^6</f>
        <v>1.5671133533253462E-3</v>
      </c>
      <c r="I12" s="286">
        <f>($F12*U$7*Assumptions!$D$14+$F12*U$8*Assumptions!$D$15)/10^6</f>
        <v>5.4844020133987866E-3</v>
      </c>
      <c r="J12" s="261">
        <f t="shared" si="6"/>
        <v>4735.855354950274</v>
      </c>
      <c r="K12" s="158">
        <f t="shared" si="7"/>
        <v>4735.855354950274</v>
      </c>
      <c r="L12" s="159">
        <f t="shared" si="8"/>
        <v>1359.6275453450703</v>
      </c>
      <c r="M12" s="165">
        <f t="shared" si="14"/>
        <v>10831.338255245619</v>
      </c>
      <c r="N12" s="300">
        <f>M12*(1+0.07)^-(B12-Assumptions!$D$4)</f>
        <v>4809.2437199107344</v>
      </c>
      <c r="O12" s="302">
        <f t="shared" si="10"/>
        <v>28034.449590630597</v>
      </c>
      <c r="P12" s="159">
        <f t="shared" si="11"/>
        <v>16875.15988726943</v>
      </c>
      <c r="R12" s="358" t="s">
        <v>111</v>
      </c>
      <c r="S12" s="136" t="s">
        <v>354</v>
      </c>
      <c r="T12" s="136" t="s">
        <v>355</v>
      </c>
      <c r="U12" s="136" t="s">
        <v>356</v>
      </c>
      <c r="V12" s="136" t="s">
        <v>357</v>
      </c>
      <c r="X12" s="12" t="s">
        <v>360</v>
      </c>
      <c r="AE12" s="348">
        <v>42</v>
      </c>
      <c r="AF12" s="311" t="s">
        <v>171</v>
      </c>
      <c r="AG12" s="311" t="s">
        <v>172</v>
      </c>
      <c r="AH12" s="360">
        <v>1.9658170115512426</v>
      </c>
      <c r="AI12" s="360">
        <v>5.4889920561794897E-3</v>
      </c>
      <c r="AJ12" s="360">
        <v>1.2308421676718551E-2</v>
      </c>
      <c r="AK12" s="360">
        <v>1391.9649569298599</v>
      </c>
      <c r="AO12" s="421" t="s">
        <v>215</v>
      </c>
      <c r="AP12" s="425" t="s">
        <v>216</v>
      </c>
      <c r="AQ12" s="425" t="s">
        <v>217</v>
      </c>
      <c r="AR12" s="426">
        <v>80000</v>
      </c>
      <c r="AS12" s="427">
        <v>0.64</v>
      </c>
    </row>
    <row r="13" spans="2:45" ht="15" customHeight="1" x14ac:dyDescent="0.25">
      <c r="B13" s="2">
        <f t="shared" si="4"/>
        <v>2033</v>
      </c>
      <c r="C13" s="269">
        <f>($F13*$V$7*Assumptions!$D$14+$F13*$V$8*Assumptions!$D$15)/10^6</f>
        <v>274.52740038083772</v>
      </c>
      <c r="D13" s="270">
        <f t="shared" si="0"/>
        <v>17844.281024754451</v>
      </c>
      <c r="E13" s="164">
        <f>D13*(1+0.03)^-($B13-Assumptions!$D$4)</f>
        <v>12151.087075021382</v>
      </c>
      <c r="F13" s="282">
        <f t="shared" si="5"/>
        <v>697304.02821993828</v>
      </c>
      <c r="G13" s="284">
        <f>($F13*S$7*Assumptions!$D$14+$F13*S$8*Assumptions!$D$15)/10^6</f>
        <v>0.26722588627716687</v>
      </c>
      <c r="H13" s="285">
        <f>($F13*T$7*Assumptions!$D$14+$F13*T$8*Assumptions!$D$15)/10^6</f>
        <v>1.6005125458182787E-3</v>
      </c>
      <c r="I13" s="286">
        <f>($F13*U$7*Assumptions!$D$14+$F13*U$8*Assumptions!$D$15)/10^6</f>
        <v>5.6012886433068551E-3</v>
      </c>
      <c r="J13" s="261">
        <f t="shared" si="6"/>
        <v>4836.7885416167201</v>
      </c>
      <c r="K13" s="158">
        <f t="shared" si="7"/>
        <v>4836.7885416167201</v>
      </c>
      <c r="L13" s="159">
        <f t="shared" si="8"/>
        <v>1388.6046847519385</v>
      </c>
      <c r="M13" s="165">
        <f t="shared" si="14"/>
        <v>11062.181767985379</v>
      </c>
      <c r="N13" s="300">
        <f>M13*(1+0.07)^-(B13-Assumptions!$D$4)</f>
        <v>4590.4121497946999</v>
      </c>
      <c r="O13" s="302">
        <f t="shared" si="10"/>
        <v>28906.462792739832</v>
      </c>
      <c r="P13" s="159">
        <f t="shared" si="11"/>
        <v>16741.499224816082</v>
      </c>
      <c r="R13" s="160">
        <v>2021</v>
      </c>
      <c r="S13" s="356">
        <v>15600</v>
      </c>
      <c r="T13" s="356">
        <v>41500</v>
      </c>
      <c r="U13" s="356">
        <v>748600</v>
      </c>
      <c r="V13" s="356">
        <v>52</v>
      </c>
      <c r="X13" s="396" t="s">
        <v>203</v>
      </c>
      <c r="Y13" s="415">
        <f>Y6*Y10</f>
        <v>6.8475000000000001</v>
      </c>
      <c r="Z13" s="396" t="s">
        <v>204</v>
      </c>
      <c r="AE13" s="348">
        <v>43</v>
      </c>
      <c r="AF13" s="311" t="s">
        <v>171</v>
      </c>
      <c r="AG13" s="311" t="s">
        <v>172</v>
      </c>
      <c r="AH13" s="360">
        <v>1.9469017025302577</v>
      </c>
      <c r="AI13" s="360">
        <v>3.66910948950592E-3</v>
      </c>
      <c r="AJ13" s="360">
        <v>5.5096995199883071E-2</v>
      </c>
      <c r="AK13" s="360">
        <v>1071.1129065416801</v>
      </c>
      <c r="AO13" s="421" t="s">
        <v>218</v>
      </c>
      <c r="AP13" s="425" t="s">
        <v>216</v>
      </c>
      <c r="AQ13" s="425" t="s">
        <v>217</v>
      </c>
      <c r="AR13" s="426">
        <v>37000</v>
      </c>
      <c r="AS13" s="427">
        <v>0.9</v>
      </c>
    </row>
    <row r="14" spans="2:45" ht="15.75" x14ac:dyDescent="0.25">
      <c r="B14" s="2">
        <f t="shared" si="4"/>
        <v>2034</v>
      </c>
      <c r="C14" s="269">
        <f>($F14*$V$7*Assumptions!$D$14+$F14*$V$8*Assumptions!$D$15)/10^6</f>
        <v>280.2561861462853</v>
      </c>
      <c r="D14" s="270">
        <f t="shared" si="0"/>
        <v>18496.90828565483</v>
      </c>
      <c r="E14" s="164">
        <f>D14*(1+0.03)^-($B14-Assumptions!$D$4)</f>
        <v>12228.63542024036</v>
      </c>
      <c r="F14" s="282">
        <f t="shared" si="5"/>
        <v>711855.2365347147</v>
      </c>
      <c r="G14" s="284">
        <f>($F14*S$7*Assumptions!$D$14+$F14*S$8*Assumptions!$D$15)/10^6</f>
        <v>0.27280230543000927</v>
      </c>
      <c r="H14" s="285">
        <f>($F14*T$7*Assumptions!$D$14+$F14*T$8*Assumptions!$D$15)/10^6</f>
        <v>1.633911738311211E-3</v>
      </c>
      <c r="I14" s="286">
        <f>($F14*U$7*Assumptions!$D$14+$F14*U$8*Assumptions!$D$15)/10^6</f>
        <v>5.7181752732149253E-3</v>
      </c>
      <c r="J14" s="261">
        <f t="shared" si="6"/>
        <v>4937.721728283168</v>
      </c>
      <c r="K14" s="158">
        <f t="shared" si="7"/>
        <v>4937.721728283168</v>
      </c>
      <c r="L14" s="159">
        <f t="shared" si="8"/>
        <v>1417.5818241588067</v>
      </c>
      <c r="M14" s="165">
        <f t="shared" si="14"/>
        <v>11293.025280725142</v>
      </c>
      <c r="N14" s="300">
        <f>M14*(1+0.07)^-(B14-Assumptions!$D$4)</f>
        <v>4379.6299071097255</v>
      </c>
      <c r="O14" s="302">
        <f t="shared" si="10"/>
        <v>29789.933566379972</v>
      </c>
      <c r="P14" s="159">
        <f t="shared" si="11"/>
        <v>16608.265327350084</v>
      </c>
      <c r="R14" s="160">
        <v>2022</v>
      </c>
      <c r="S14" s="356">
        <v>15800</v>
      </c>
      <c r="T14" s="356">
        <v>42300</v>
      </c>
      <c r="U14" s="356">
        <v>761600</v>
      </c>
      <c r="V14" s="356">
        <v>53</v>
      </c>
      <c r="X14" s="21"/>
      <c r="AE14" s="348">
        <v>51</v>
      </c>
      <c r="AF14" s="311" t="s">
        <v>173</v>
      </c>
      <c r="AG14" s="311" t="s">
        <v>172</v>
      </c>
      <c r="AH14" s="360">
        <v>2.48942987946789</v>
      </c>
      <c r="AI14" s="360">
        <v>5.2833773025508703E-3</v>
      </c>
      <c r="AJ14" s="360">
        <v>3.4321389281753531E-2</v>
      </c>
      <c r="AK14" s="360">
        <v>1427.83446247497</v>
      </c>
      <c r="AO14" s="421" t="s">
        <v>174</v>
      </c>
      <c r="AP14" s="425" t="s">
        <v>216</v>
      </c>
      <c r="AQ14" s="425" t="s">
        <v>217</v>
      </c>
      <c r="AR14" s="426">
        <v>32000</v>
      </c>
      <c r="AS14" s="427">
        <v>0.49</v>
      </c>
    </row>
    <row r="15" spans="2:45" ht="15.75" x14ac:dyDescent="0.25">
      <c r="B15" s="2">
        <f t="shared" si="4"/>
        <v>2035</v>
      </c>
      <c r="C15" s="269">
        <f>($F15*$V$7*Assumptions!$D$14+$F15*$V$8*Assumptions!$D$15)/10^6</f>
        <v>285.98497191174454</v>
      </c>
      <c r="D15" s="270">
        <f t="shared" si="0"/>
        <v>19160.993118086884</v>
      </c>
      <c r="E15" s="164">
        <f>D15*(1+0.03)^-($B15-Assumptions!$D$4)</f>
        <v>12298.712356830352</v>
      </c>
      <c r="F15" s="282">
        <f t="shared" si="5"/>
        <v>726406.44484952092</v>
      </c>
      <c r="G15" s="284">
        <f>($F15*S$7*Assumptions!$D$14+$F15*S$8*Assumptions!$D$15)/10^6</f>
        <v>0.27837872458286311</v>
      </c>
      <c r="H15" s="285">
        <f>($F15*T$7*Assumptions!$D$14+$F15*T$8*Assumptions!$D$15)/10^6</f>
        <v>1.6673109308042119E-3</v>
      </c>
      <c r="I15" s="286">
        <f>($F15*U$7*Assumptions!$D$14+$F15*U$8*Assumptions!$D$15)/10^6</f>
        <v>5.8350619031232323E-3</v>
      </c>
      <c r="J15" s="261">
        <f t="shared" si="6"/>
        <v>5038.6549149498223</v>
      </c>
      <c r="K15" s="158">
        <f t="shared" si="7"/>
        <v>5038.6549149498223</v>
      </c>
      <c r="L15" s="159">
        <f t="shared" si="8"/>
        <v>1446.5589635657343</v>
      </c>
      <c r="M15" s="165">
        <f t="shared" si="14"/>
        <v>11523.868793465379</v>
      </c>
      <c r="N15" s="300">
        <f>M15*(1+0.07)^-(B15-Assumptions!$D$4)</f>
        <v>4176.7803750723288</v>
      </c>
      <c r="O15" s="302">
        <f t="shared" si="10"/>
        <v>30684.861911552263</v>
      </c>
      <c r="P15" s="159">
        <f t="shared" si="11"/>
        <v>16475.492731902683</v>
      </c>
      <c r="R15" s="160">
        <v>2023</v>
      </c>
      <c r="S15" s="356">
        <v>16000</v>
      </c>
      <c r="T15" s="356">
        <v>43100</v>
      </c>
      <c r="U15" s="356">
        <v>774700</v>
      </c>
      <c r="V15" s="356">
        <v>54</v>
      </c>
      <c r="X15" s="12" t="s">
        <v>232</v>
      </c>
      <c r="Y15" s="539" t="s">
        <v>43</v>
      </c>
      <c r="Z15" s="540"/>
      <c r="AA15" s="539" t="s">
        <v>44</v>
      </c>
      <c r="AB15" s="540"/>
      <c r="AE15" s="348">
        <v>52</v>
      </c>
      <c r="AF15" s="311" t="s">
        <v>173</v>
      </c>
      <c r="AG15" s="311" t="s">
        <v>172</v>
      </c>
      <c r="AH15" s="360">
        <v>0.95074648895471525</v>
      </c>
      <c r="AI15" s="360">
        <v>3.5321878667988801E-3</v>
      </c>
      <c r="AJ15" s="360">
        <v>1.5158170819293781E-2</v>
      </c>
      <c r="AK15" s="360">
        <v>862.616489254057</v>
      </c>
      <c r="AO15" s="421" t="s">
        <v>219</v>
      </c>
      <c r="AP15" s="425" t="s">
        <v>216</v>
      </c>
      <c r="AQ15" s="425" t="s">
        <v>217</v>
      </c>
      <c r="AR15" s="426">
        <v>30000</v>
      </c>
      <c r="AS15" s="427">
        <v>0.97</v>
      </c>
    </row>
    <row r="16" spans="2:45" ht="15.75" x14ac:dyDescent="0.25">
      <c r="B16" s="2">
        <f t="shared" si="4"/>
        <v>2036</v>
      </c>
      <c r="C16" s="269">
        <f>($F16*$V$7*Assumptions!$D$14+$F16*$V$8*Assumptions!$D$15)/10^6</f>
        <v>291.71375767719212</v>
      </c>
      <c r="D16" s="270">
        <f t="shared" si="0"/>
        <v>20128.249279726257</v>
      </c>
      <c r="E16" s="164">
        <f>D16*(1+0.03)^-($B16-Assumptions!$D$4)</f>
        <v>12543.259495506483</v>
      </c>
      <c r="F16" s="282">
        <f t="shared" si="5"/>
        <v>740957.65316429734</v>
      </c>
      <c r="G16" s="284">
        <f>($F16*S$7*Assumptions!$D$14+$F16*S$8*Assumptions!$D$15)/10^6</f>
        <v>0.28395514373570546</v>
      </c>
      <c r="H16" s="285">
        <f>($F16*T$7*Assumptions!$D$14+$F16*T$8*Assumptions!$D$15)/10^6</f>
        <v>1.7007101232971442E-3</v>
      </c>
      <c r="I16" s="286">
        <f>($F16*U$7*Assumptions!$D$14+$F16*U$8*Assumptions!$D$15)/10^6</f>
        <v>5.9519485330313017E-3</v>
      </c>
      <c r="J16" s="261">
        <f t="shared" si="6"/>
        <v>5139.5881016162684</v>
      </c>
      <c r="K16" s="158">
        <f t="shared" si="7"/>
        <v>5139.5881016162684</v>
      </c>
      <c r="L16" s="159">
        <f t="shared" si="8"/>
        <v>1475.5361029726023</v>
      </c>
      <c r="M16" s="165">
        <f t="shared" si="14"/>
        <v>11754.71230620514</v>
      </c>
      <c r="N16" s="300">
        <f>M16*(1+0.07)^-(B16-Assumptions!$D$4)</f>
        <v>3981.7277452571175</v>
      </c>
      <c r="O16" s="302">
        <f t="shared" si="10"/>
        <v>31882.961585931396</v>
      </c>
      <c r="P16" s="159">
        <f t="shared" si="11"/>
        <v>16524.987240763599</v>
      </c>
      <c r="R16" s="160">
        <v>2024</v>
      </c>
      <c r="S16" s="356">
        <v>16200</v>
      </c>
      <c r="T16" s="356">
        <v>44000</v>
      </c>
      <c r="U16" s="356">
        <v>788100</v>
      </c>
      <c r="V16" s="356">
        <v>55</v>
      </c>
      <c r="X16" s="38" t="s">
        <v>84</v>
      </c>
      <c r="Y16" s="76">
        <v>2019</v>
      </c>
      <c r="Z16" s="76">
        <v>2040</v>
      </c>
      <c r="AA16" s="76">
        <v>2019</v>
      </c>
      <c r="AB16" s="76">
        <v>2040</v>
      </c>
      <c r="AE16" s="348">
        <v>53</v>
      </c>
      <c r="AF16" s="311" t="s">
        <v>173</v>
      </c>
      <c r="AG16" s="311" t="s">
        <v>172</v>
      </c>
      <c r="AH16" s="360">
        <v>0.89067775827536644</v>
      </c>
      <c r="AI16" s="360">
        <v>3.4020765235606102E-3</v>
      </c>
      <c r="AJ16" s="360">
        <v>1.349939126139434E-2</v>
      </c>
      <c r="AK16" s="360">
        <v>829.46088804247995</v>
      </c>
      <c r="AO16" s="421" t="s">
        <v>220</v>
      </c>
      <c r="AP16" s="425" t="s">
        <v>216</v>
      </c>
      <c r="AQ16" s="428" t="s">
        <v>221</v>
      </c>
      <c r="AR16" s="425" t="s">
        <v>222</v>
      </c>
      <c r="AS16" s="427">
        <v>0.44</v>
      </c>
    </row>
    <row r="17" spans="2:45" ht="15.75" x14ac:dyDescent="0.25">
      <c r="B17" s="2">
        <f t="shared" si="4"/>
        <v>2037</v>
      </c>
      <c r="C17" s="269">
        <f>($F17*$V$7*Assumptions!$D$14+$F17*$V$8*Assumptions!$D$15)/10^6</f>
        <v>297.44254344265136</v>
      </c>
      <c r="D17" s="270">
        <f t="shared" si="0"/>
        <v>20820.978040985596</v>
      </c>
      <c r="E17" s="164">
        <f>D17*(1+0.03)^-($B17-Assumptions!$D$4)</f>
        <v>12597.034133369132</v>
      </c>
      <c r="F17" s="282">
        <f t="shared" si="5"/>
        <v>755508.86147910357</v>
      </c>
      <c r="G17" s="284">
        <f>($F17*S$7*Assumptions!$D$14+$F17*S$8*Assumptions!$D$15)/10^6</f>
        <v>0.28953156288855925</v>
      </c>
      <c r="H17" s="285">
        <f>($F17*T$7*Assumptions!$D$14+$F17*T$8*Assumptions!$D$15)/10^6</f>
        <v>1.7341093157901455E-3</v>
      </c>
      <c r="I17" s="286">
        <f>($F17*U$7*Assumptions!$D$14+$F17*U$8*Assumptions!$D$15)/10^6</f>
        <v>6.0688351629396096E-3</v>
      </c>
      <c r="J17" s="261">
        <f t="shared" si="6"/>
        <v>5240.5212882829228</v>
      </c>
      <c r="K17" s="158">
        <f t="shared" si="7"/>
        <v>5240.5212882829228</v>
      </c>
      <c r="L17" s="159">
        <f t="shared" si="8"/>
        <v>1504.5132423795303</v>
      </c>
      <c r="M17" s="165">
        <f t="shared" si="14"/>
        <v>11985.555818945377</v>
      </c>
      <c r="N17" s="300">
        <f>M17*(1+0.07)^-(B17-Assumptions!$D$4)</f>
        <v>3794.3200277562014</v>
      </c>
      <c r="O17" s="302">
        <f t="shared" si="10"/>
        <v>32806.533859930976</v>
      </c>
      <c r="P17" s="159">
        <f t="shared" si="11"/>
        <v>16391.354161125335</v>
      </c>
      <c r="R17" s="160">
        <v>2025</v>
      </c>
      <c r="S17" s="356">
        <v>16500</v>
      </c>
      <c r="T17" s="356">
        <v>44900</v>
      </c>
      <c r="U17" s="356">
        <v>801700</v>
      </c>
      <c r="V17" s="356">
        <v>56</v>
      </c>
      <c r="X17" s="305" t="s">
        <v>112</v>
      </c>
      <c r="Y17" s="303">
        <f>'Travel Time Savings '!L27</f>
        <v>939561.91985396005</v>
      </c>
      <c r="Z17" s="303">
        <f>'Travel Time Savings '!M27</f>
        <v>1280271.5806473854</v>
      </c>
      <c r="AA17" s="303">
        <f>'Travel Time Savings '!N27</f>
        <v>867479.09958189551</v>
      </c>
      <c r="AB17" s="303">
        <f>'Travel Time Savings '!O27</f>
        <v>1163562.9298370949</v>
      </c>
      <c r="AE17" s="348">
        <v>54</v>
      </c>
      <c r="AF17" s="311" t="s">
        <v>173</v>
      </c>
      <c r="AG17" s="311" t="s">
        <v>172</v>
      </c>
      <c r="AH17" s="360">
        <v>1.6481032166429217</v>
      </c>
      <c r="AI17" s="360">
        <v>6.0326542026046303E-3</v>
      </c>
      <c r="AJ17" s="360">
        <v>4.2864875162321965E-2</v>
      </c>
      <c r="AK17" s="360">
        <v>1166.1048437433201</v>
      </c>
      <c r="AO17" s="421" t="s">
        <v>223</v>
      </c>
      <c r="AP17" s="425" t="s">
        <v>216</v>
      </c>
      <c r="AQ17" s="425" t="s">
        <v>217</v>
      </c>
      <c r="AR17" s="426">
        <v>26000</v>
      </c>
      <c r="AS17" s="427">
        <v>0.59</v>
      </c>
    </row>
    <row r="18" spans="2:45" ht="15.75" x14ac:dyDescent="0.25">
      <c r="B18" s="2">
        <f t="shared" si="4"/>
        <v>2038</v>
      </c>
      <c r="C18" s="269">
        <f>($F18*$V$7*Assumptions!$D$14+$F18*$V$8*Assumptions!$D$15)/10^6</f>
        <v>303.17132920809888</v>
      </c>
      <c r="D18" s="270">
        <f t="shared" si="0"/>
        <v>21525.16437377502</v>
      </c>
      <c r="E18" s="164">
        <f>D18*(1+0.03)^-($B18-Assumptions!$D$4)</f>
        <v>12643.765481209566</v>
      </c>
      <c r="F18" s="282">
        <f t="shared" si="5"/>
        <v>770060.06979387999</v>
      </c>
      <c r="G18" s="284">
        <f>($F18*S$7*Assumptions!$D$14+$F18*S$8*Assumptions!$D$15)/10^6</f>
        <v>0.29510798204140165</v>
      </c>
      <c r="H18" s="285">
        <f>($F18*T$7*Assumptions!$D$14+$F18*T$8*Assumptions!$D$15)/10^6</f>
        <v>1.7675085082830778E-3</v>
      </c>
      <c r="I18" s="286">
        <f>($F18*U$7*Assumptions!$D$14+$F18*U$8*Assumptions!$D$15)/10^6</f>
        <v>6.1857217928476781E-3</v>
      </c>
      <c r="J18" s="261">
        <f t="shared" si="6"/>
        <v>5341.4544749493698</v>
      </c>
      <c r="K18" s="158">
        <f t="shared" si="7"/>
        <v>5341.4544749493698</v>
      </c>
      <c r="L18" s="159">
        <f t="shared" si="8"/>
        <v>1533.4903817863983</v>
      </c>
      <c r="M18" s="165">
        <f t="shared" si="14"/>
        <v>12216.399331685137</v>
      </c>
      <c r="N18" s="300">
        <f>M18*(1+0.07)^-(B18-Assumptions!$D$4)</f>
        <v>3614.3917496209201</v>
      </c>
      <c r="O18" s="302">
        <f t="shared" si="10"/>
        <v>33741.563705460154</v>
      </c>
      <c r="P18" s="159">
        <f t="shared" si="11"/>
        <v>16258.157230830486</v>
      </c>
      <c r="R18" s="160">
        <v>2026</v>
      </c>
      <c r="S18" s="356">
        <v>16800</v>
      </c>
      <c r="T18" s="356">
        <v>45700</v>
      </c>
      <c r="U18" s="356">
        <v>814500</v>
      </c>
      <c r="V18" s="356">
        <v>57</v>
      </c>
      <c r="X18" s="431"/>
      <c r="Y18" s="432"/>
      <c r="Z18" s="432"/>
      <c r="AA18" s="432"/>
      <c r="AB18" s="432"/>
      <c r="AC18" s="49"/>
      <c r="AE18" s="348">
        <v>61</v>
      </c>
      <c r="AF18" s="311" t="s">
        <v>174</v>
      </c>
      <c r="AG18" s="311" t="s">
        <v>172</v>
      </c>
      <c r="AH18" s="360">
        <v>3.0234078113615883</v>
      </c>
      <c r="AI18" s="360">
        <v>4.9760807160904204E-3</v>
      </c>
      <c r="AJ18" s="360">
        <v>4.3407648080982714E-2</v>
      </c>
      <c r="AK18" s="360">
        <v>1463.90880302132</v>
      </c>
      <c r="AO18" s="421" t="s">
        <v>224</v>
      </c>
      <c r="AP18" s="425" t="s">
        <v>216</v>
      </c>
      <c r="AQ18" s="425" t="s">
        <v>217</v>
      </c>
      <c r="AR18" s="426">
        <v>19500</v>
      </c>
      <c r="AS18" s="427">
        <v>0.84</v>
      </c>
    </row>
    <row r="19" spans="2:45" ht="15.75" x14ac:dyDescent="0.25">
      <c r="B19" s="2">
        <f t="shared" si="4"/>
        <v>2039</v>
      </c>
      <c r="C19" s="269">
        <f>($F19*$V$7*Assumptions!$D$14+$F19*$V$8*Assumptions!$D$15)/10^6</f>
        <v>308.90011497354641</v>
      </c>
      <c r="D19" s="270">
        <f t="shared" si="0"/>
        <v>22240.808278095341</v>
      </c>
      <c r="E19" s="164">
        <f>D19*(1+0.03)^-($B19-Assumptions!$D$4)</f>
        <v>12683.622186000763</v>
      </c>
      <c r="F19" s="282">
        <f t="shared" si="5"/>
        <v>784611.27810865641</v>
      </c>
      <c r="G19" s="284">
        <f>($F19*S$7*Assumptions!$D$14+$F19*S$8*Assumptions!$D$15)/10^6</f>
        <v>0.30068440119424406</v>
      </c>
      <c r="H19" s="285">
        <f>($F19*T$7*Assumptions!$D$14+$F19*T$8*Assumptions!$D$15)/10^6</f>
        <v>1.8009077007760102E-3</v>
      </c>
      <c r="I19" s="286">
        <f>($F19*U$7*Assumptions!$D$14+$F19*U$8*Assumptions!$D$15)/10^6</f>
        <v>6.3026084227557474E-3</v>
      </c>
      <c r="J19" s="261">
        <f t="shared" si="6"/>
        <v>5442.3876616158177</v>
      </c>
      <c r="K19" s="158">
        <f t="shared" si="7"/>
        <v>5442.3876616158177</v>
      </c>
      <c r="L19" s="159">
        <f t="shared" si="8"/>
        <v>1562.4675211932665</v>
      </c>
      <c r="M19" s="165">
        <f t="shared" si="14"/>
        <v>12447.242844424902</v>
      </c>
      <c r="N19" s="300">
        <f>M19*(1+0.07)^-(B19-Assumptions!$D$4)</f>
        <v>3441.7663694930297</v>
      </c>
      <c r="O19" s="302">
        <f t="shared" si="10"/>
        <v>34688.051122520243</v>
      </c>
      <c r="P19" s="159">
        <f t="shared" si="11"/>
        <v>16125.388555493792</v>
      </c>
      <c r="R19" s="160">
        <v>2027</v>
      </c>
      <c r="S19" s="356">
        <v>17100</v>
      </c>
      <c r="T19" s="356">
        <v>46500</v>
      </c>
      <c r="U19" s="356">
        <v>827400</v>
      </c>
      <c r="V19" s="356">
        <v>58</v>
      </c>
      <c r="X19" s="12" t="s">
        <v>361</v>
      </c>
      <c r="Y19" s="539" t="s">
        <v>43</v>
      </c>
      <c r="Z19" s="540"/>
      <c r="AA19" s="539" t="s">
        <v>44</v>
      </c>
      <c r="AB19" s="540"/>
      <c r="AE19" s="348">
        <v>62</v>
      </c>
      <c r="AF19" s="311" t="s">
        <v>174</v>
      </c>
      <c r="AG19" s="311" t="s">
        <v>172</v>
      </c>
      <c r="AH19" s="360">
        <v>3.7426725771679936</v>
      </c>
      <c r="AI19" s="360">
        <v>5.1160211102583997E-3</v>
      </c>
      <c r="AJ19" s="360">
        <v>5.9310023601485649E-2</v>
      </c>
      <c r="AK19" s="360">
        <v>1528.79872430418</v>
      </c>
      <c r="AO19" s="421" t="s">
        <v>220</v>
      </c>
      <c r="AP19" s="425" t="s">
        <v>225</v>
      </c>
      <c r="AQ19" s="428" t="s">
        <v>226</v>
      </c>
      <c r="AR19" s="425" t="s">
        <v>227</v>
      </c>
      <c r="AS19" s="427">
        <v>0.84</v>
      </c>
    </row>
    <row r="20" spans="2:45" ht="15.75" x14ac:dyDescent="0.25">
      <c r="B20" s="2">
        <f t="shared" si="4"/>
        <v>2040</v>
      </c>
      <c r="C20" s="269">
        <f>($F20*$V$7*Assumptions!$D$14+$F20*$V$8*Assumptions!$D$15)/10^6</f>
        <v>314.62890073899388</v>
      </c>
      <c r="D20" s="270">
        <f t="shared" si="0"/>
        <v>22967.909753946555</v>
      </c>
      <c r="E20" s="164">
        <f>D20*(1+0.03)^-($B20-Assumptions!$D$4)</f>
        <v>12716.774755100038</v>
      </c>
      <c r="F20" s="282">
        <f t="shared" si="5"/>
        <v>799162.48642343283</v>
      </c>
      <c r="G20" s="284">
        <f>($F20*S$7*Assumptions!$D$14+$F20*S$8*Assumptions!$D$15)/10^6</f>
        <v>0.3062608203470864</v>
      </c>
      <c r="H20" s="285">
        <f>($F20*T$7*Assumptions!$D$14+$F20*T$8*Assumptions!$D$15)/10^6</f>
        <v>1.8343068932689425E-3</v>
      </c>
      <c r="I20" s="286">
        <f>($F20*U$7*Assumptions!$D$14+$F20*U$8*Assumptions!$D$15)/10^6</f>
        <v>6.4194950526638159E-3</v>
      </c>
      <c r="J20" s="261">
        <f t="shared" si="6"/>
        <v>5543.3208482822638</v>
      </c>
      <c r="K20" s="158">
        <f t="shared" si="7"/>
        <v>5543.3208482822638</v>
      </c>
      <c r="L20" s="159">
        <f t="shared" si="8"/>
        <v>1591.4446606001345</v>
      </c>
      <c r="M20" s="165">
        <f t="shared" si="14"/>
        <v>12678.086357164662</v>
      </c>
      <c r="N20" s="300">
        <f>M20*(1+0.07)^-(B20-Assumptions!$D$4)</f>
        <v>3276.2584340066055</v>
      </c>
      <c r="O20" s="302">
        <f t="shared" si="10"/>
        <v>35645.996111111221</v>
      </c>
      <c r="P20" s="159">
        <f t="shared" si="11"/>
        <v>15993.033189106643</v>
      </c>
      <c r="R20" s="160">
        <v>2028</v>
      </c>
      <c r="S20" s="356">
        <v>17400</v>
      </c>
      <c r="T20" s="356">
        <v>47300</v>
      </c>
      <c r="U20" s="356">
        <v>840600</v>
      </c>
      <c r="V20" s="356">
        <v>60</v>
      </c>
      <c r="X20" s="416" t="s">
        <v>205</v>
      </c>
      <c r="Y20" s="76">
        <v>2019</v>
      </c>
      <c r="Z20" s="76">
        <v>2040</v>
      </c>
      <c r="AA20" s="76">
        <v>2019</v>
      </c>
      <c r="AB20" s="76">
        <v>2040</v>
      </c>
      <c r="AO20" s="421" t="s">
        <v>228</v>
      </c>
      <c r="AP20" s="425" t="s">
        <v>216</v>
      </c>
      <c r="AQ20" s="425">
        <v>2</v>
      </c>
      <c r="AR20" s="425" t="s">
        <v>217</v>
      </c>
      <c r="AS20" s="427">
        <v>0.17</v>
      </c>
    </row>
    <row r="21" spans="2:45" ht="15.75" x14ac:dyDescent="0.25">
      <c r="B21" s="2">
        <f t="shared" si="4"/>
        <v>2041</v>
      </c>
      <c r="C21" s="269">
        <f>($F21*$V$7*Assumptions!$D$14+$F21*$V$8*Assumptions!$D$15)/10^6</f>
        <v>320.35768650445317</v>
      </c>
      <c r="D21" s="270">
        <f t="shared" si="0"/>
        <v>23706.468801329534</v>
      </c>
      <c r="E21" s="164">
        <f>D21*(1+0.03)^-($B21-Assumptions!$D$4)</f>
        <v>12743.395138515487</v>
      </c>
      <c r="F21" s="282">
        <f t="shared" si="5"/>
        <v>813713.69473823905</v>
      </c>
      <c r="G21" s="284">
        <f>($F21*S$7*Assumptions!$D$14+$F21*S$8*Assumptions!$D$15)/10^6</f>
        <v>0.31183723949994024</v>
      </c>
      <c r="H21" s="285">
        <f>($F21*T$7*Assumptions!$D$14+$F21*T$8*Assumptions!$D$15)/10^6</f>
        <v>1.8677060857619433E-3</v>
      </c>
      <c r="I21" s="286">
        <f>($F21*U$7*Assumptions!$D$14+$F21*U$8*Assumptions!$D$15)/10^6</f>
        <v>6.5363816825721238E-3</v>
      </c>
      <c r="J21" s="261">
        <f t="shared" si="6"/>
        <v>5644.2540349489182</v>
      </c>
      <c r="K21" s="158">
        <f t="shared" si="7"/>
        <v>5644.2540349489182</v>
      </c>
      <c r="L21" s="159">
        <f t="shared" si="8"/>
        <v>1620.4218000070621</v>
      </c>
      <c r="M21" s="165">
        <f t="shared" si="14"/>
        <v>12908.929869904898</v>
      </c>
      <c r="N21" s="300">
        <f>M21*(1+0.07)^-(B21-Assumptions!$D$4)</f>
        <v>3117.6754994158759</v>
      </c>
      <c r="O21" s="302">
        <f t="shared" si="10"/>
        <v>36615.398671234434</v>
      </c>
      <c r="P21" s="159">
        <f t="shared" si="11"/>
        <v>15861.070637931363</v>
      </c>
      <c r="R21" s="160">
        <v>2029</v>
      </c>
      <c r="S21" s="356">
        <v>17700</v>
      </c>
      <c r="T21" s="356">
        <v>48200</v>
      </c>
      <c r="U21" s="356">
        <v>854000</v>
      </c>
      <c r="V21" s="356">
        <v>61</v>
      </c>
      <c r="X21" s="417" t="s">
        <v>233</v>
      </c>
      <c r="Y21" s="418">
        <f>Y17*$Y$13</f>
        <v>6433650.2461999916</v>
      </c>
      <c r="Z21" s="418">
        <f t="shared" ref="Z21:AB21" si="15">Z17*$Y$13</f>
        <v>8766659.6484829728</v>
      </c>
      <c r="AA21" s="418">
        <f t="shared" si="15"/>
        <v>5940063.1343870293</v>
      </c>
      <c r="AB21" s="418">
        <f t="shared" si="15"/>
        <v>7967497.1620595073</v>
      </c>
      <c r="AO21" s="421" t="s">
        <v>229</v>
      </c>
      <c r="AP21" s="425" t="s">
        <v>225</v>
      </c>
      <c r="AQ21" s="425">
        <v>4.5999999999999996</v>
      </c>
      <c r="AR21" s="425" t="s">
        <v>217</v>
      </c>
      <c r="AS21" s="427">
        <v>0.39</v>
      </c>
    </row>
    <row r="22" spans="2:45" ht="15.75" x14ac:dyDescent="0.25">
      <c r="B22" s="2">
        <f t="shared" si="4"/>
        <v>2042</v>
      </c>
      <c r="C22" s="269">
        <f>($F22*$V$7*Assumptions!$D$14+$F22*$V$8*Assumptions!$D$15)/10^6</f>
        <v>326.0864722699007</v>
      </c>
      <c r="D22" s="270">
        <f t="shared" si="0"/>
        <v>24456.485420242552</v>
      </c>
      <c r="E22" s="164">
        <f>D22*(1+0.03)^-($B22-Assumptions!$D$4)</f>
        <v>12763.656338768877</v>
      </c>
      <c r="F22" s="282">
        <f t="shared" si="5"/>
        <v>828264.90305301547</v>
      </c>
      <c r="G22" s="284">
        <f>($F22*S$7*Assumptions!$D$14+$F22*S$8*Assumptions!$D$15)/10^6</f>
        <v>0.31741365865278259</v>
      </c>
      <c r="H22" s="285">
        <f>($F22*T$7*Assumptions!$D$14+$F22*T$8*Assumptions!$D$15)/10^6</f>
        <v>1.9011052782548759E-3</v>
      </c>
      <c r="I22" s="286">
        <f>($F22*U$7*Assumptions!$D$14+$F22*U$8*Assumptions!$D$15)/10^6</f>
        <v>6.6532683124801914E-3</v>
      </c>
      <c r="J22" s="261">
        <f t="shared" si="6"/>
        <v>5745.1872216153652</v>
      </c>
      <c r="K22" s="158">
        <f t="shared" si="7"/>
        <v>5745.1872216153652</v>
      </c>
      <c r="L22" s="159">
        <f t="shared" si="8"/>
        <v>1649.3989394139303</v>
      </c>
      <c r="M22" s="165">
        <f t="shared" si="14"/>
        <v>13139.77338264466</v>
      </c>
      <c r="N22" s="300">
        <f>M22*(1+0.07)^-(B22-Assumptions!$D$4)</f>
        <v>2965.8198399364551</v>
      </c>
      <c r="O22" s="302">
        <f t="shared" si="10"/>
        <v>37596.258802887212</v>
      </c>
      <c r="P22" s="159">
        <f t="shared" si="11"/>
        <v>15729.476178705332</v>
      </c>
      <c r="R22" s="160">
        <v>2030</v>
      </c>
      <c r="S22" s="356">
        <v>18100</v>
      </c>
      <c r="T22" s="356">
        <v>49100</v>
      </c>
      <c r="U22" s="356">
        <v>867600</v>
      </c>
      <c r="V22" s="356">
        <v>62</v>
      </c>
      <c r="AO22" s="421" t="s">
        <v>228</v>
      </c>
      <c r="AP22" s="425" t="s">
        <v>225</v>
      </c>
      <c r="AQ22" s="425">
        <v>2</v>
      </c>
      <c r="AR22" s="425" t="s">
        <v>217</v>
      </c>
      <c r="AS22" s="427">
        <v>0.16</v>
      </c>
    </row>
    <row r="23" spans="2:45" ht="15.75" x14ac:dyDescent="0.25">
      <c r="B23" s="2">
        <f t="shared" si="4"/>
        <v>2043</v>
      </c>
      <c r="C23" s="269">
        <f>($F23*$V$7*Assumptions!$D$14+$F23*$V$8*Assumptions!$D$15)/10^6</f>
        <v>331.81525803534817</v>
      </c>
      <c r="D23" s="270">
        <f t="shared" si="0"/>
        <v>25549.774868721808</v>
      </c>
      <c r="E23" s="164">
        <f>D23*(1+0.03)^-($B23-Assumptions!$D$4)</f>
        <v>12945.860100217726</v>
      </c>
      <c r="F23" s="282">
        <f t="shared" si="5"/>
        <v>842816.11136779189</v>
      </c>
      <c r="G23" s="284">
        <f>($F23*S$7*Assumptions!$D$14+$F23*S$8*Assumptions!$D$15)/10^6</f>
        <v>0.322990077805625</v>
      </c>
      <c r="H23" s="285">
        <f>($F23*T$7*Assumptions!$D$14+$F23*T$8*Assumptions!$D$15)/10^6</f>
        <v>1.9345044707478082E-3</v>
      </c>
      <c r="I23" s="286">
        <f>($F23*U$7*Assumptions!$D$14+$F23*U$8*Assumptions!$D$15)/10^6</f>
        <v>6.7701549423882616E-3</v>
      </c>
      <c r="J23" s="261">
        <f t="shared" si="6"/>
        <v>5846.1204082818122</v>
      </c>
      <c r="K23" s="158">
        <f t="shared" si="7"/>
        <v>5846.1204082818122</v>
      </c>
      <c r="L23" s="159">
        <f t="shared" si="8"/>
        <v>1678.3760788207985</v>
      </c>
      <c r="M23" s="165">
        <f t="shared" si="14"/>
        <v>13370.616895384423</v>
      </c>
      <c r="N23" s="300">
        <f>M23*(1+0.07)^-(B23-Assumptions!$D$4)</f>
        <v>2820.4899624841801</v>
      </c>
      <c r="O23" s="302">
        <f t="shared" si="10"/>
        <v>38920.391764106229</v>
      </c>
      <c r="P23" s="159">
        <f t="shared" si="11"/>
        <v>15766.350062701906</v>
      </c>
      <c r="R23" s="160">
        <v>2031</v>
      </c>
      <c r="S23" s="356">
        <v>18100</v>
      </c>
      <c r="T23" s="356">
        <v>49100</v>
      </c>
      <c r="U23" s="356">
        <v>867600</v>
      </c>
      <c r="V23" s="356">
        <v>63</v>
      </c>
      <c r="AO23" s="421"/>
      <c r="AP23" s="421"/>
      <c r="AQ23" s="421"/>
      <c r="AR23" s="421"/>
      <c r="AS23" s="421"/>
    </row>
    <row r="24" spans="2:45" ht="15" customHeight="1" x14ac:dyDescent="0.25">
      <c r="B24" s="2">
        <f t="shared" si="4"/>
        <v>2044</v>
      </c>
      <c r="C24" s="269">
        <f>($F24*$V$7*Assumptions!$D$14+$F24*$V$8*Assumptions!$D$15)/10^6</f>
        <v>337.54404380079575</v>
      </c>
      <c r="D24" s="270">
        <f t="shared" si="0"/>
        <v>26328.435416462067</v>
      </c>
      <c r="E24" s="164">
        <f>D24*(1+0.03)^-($B24-Assumptions!$D$4)</f>
        <v>12951.845606393652</v>
      </c>
      <c r="F24" s="282">
        <f t="shared" si="5"/>
        <v>857367.31968256831</v>
      </c>
      <c r="G24" s="284">
        <f>($F24*S$7*Assumptions!$D$14+$F24*S$8*Assumptions!$D$15)/10^6</f>
        <v>0.32856649695846735</v>
      </c>
      <c r="H24" s="285">
        <f>($F24*T$7*Assumptions!$D$14+$F24*T$8*Assumptions!$D$15)/10^6</f>
        <v>1.9679036632407406E-3</v>
      </c>
      <c r="I24" s="286">
        <f>($F24*U$7*Assumptions!$D$14+$F24*U$8*Assumptions!$D$15)/10^6</f>
        <v>6.8870415722963301E-3</v>
      </c>
      <c r="J24" s="261">
        <f t="shared" si="6"/>
        <v>5947.0535949482592</v>
      </c>
      <c r="K24" s="158">
        <f t="shared" si="7"/>
        <v>5947.0535949482592</v>
      </c>
      <c r="L24" s="159">
        <f t="shared" si="8"/>
        <v>1707.3532182276665</v>
      </c>
      <c r="M24" s="165">
        <f t="shared" si="14"/>
        <v>13601.460408124185</v>
      </c>
      <c r="N24" s="300">
        <f>M24*(1+0.07)^-(B24-Assumptions!$D$4)</f>
        <v>2681.4819458290594</v>
      </c>
      <c r="O24" s="302">
        <f t="shared" si="10"/>
        <v>39929.895824586252</v>
      </c>
      <c r="P24" s="159">
        <f t="shared" si="11"/>
        <v>15633.327552222712</v>
      </c>
      <c r="R24" s="160">
        <v>2032</v>
      </c>
      <c r="S24" s="356">
        <v>18100</v>
      </c>
      <c r="T24" s="356">
        <v>49100</v>
      </c>
      <c r="U24" s="356">
        <v>867600</v>
      </c>
      <c r="V24" s="356">
        <v>64</v>
      </c>
      <c r="AG24" s="135" t="s">
        <v>101</v>
      </c>
      <c r="AH24" s="349" t="s">
        <v>156</v>
      </c>
      <c r="AI24" s="349" t="s">
        <v>157</v>
      </c>
      <c r="AJ24" s="349" t="s">
        <v>158</v>
      </c>
      <c r="AK24" s="349" t="s">
        <v>159</v>
      </c>
      <c r="AO24" s="429" t="s">
        <v>230</v>
      </c>
      <c r="AP24" s="421"/>
      <c r="AQ24" s="421"/>
      <c r="AR24" s="421"/>
      <c r="AS24" s="421"/>
    </row>
    <row r="25" spans="2:45" ht="15.75" x14ac:dyDescent="0.25">
      <c r="B25" s="2">
        <f t="shared" si="4"/>
        <v>2045</v>
      </c>
      <c r="C25" s="269">
        <f>($F25*$V$7*Assumptions!$D$14+$F25*$V$8*Assumptions!$D$15)/10^6</f>
        <v>343.27282956625498</v>
      </c>
      <c r="D25" s="270">
        <f t="shared" si="0"/>
        <v>27118.553535734143</v>
      </c>
      <c r="E25" s="164">
        <f>D25*(1+0.03)^-($B25-Assumptions!$D$4)</f>
        <v>12951.972198987098</v>
      </c>
      <c r="F25" s="282">
        <f t="shared" si="5"/>
        <v>871918.52799737453</v>
      </c>
      <c r="G25" s="284">
        <f>($F25*S$7*Assumptions!$D$14+$F25*S$8*Assumptions!$D$15)/10^6</f>
        <v>0.33414291611132119</v>
      </c>
      <c r="H25" s="285">
        <f>($F25*T$7*Assumptions!$D$14+$F25*T$8*Assumptions!$D$15)/10^6</f>
        <v>2.0013028557337416E-3</v>
      </c>
      <c r="I25" s="286">
        <f>($F25*U$7*Assumptions!$D$14+$F25*U$8*Assumptions!$D$15)/10^6</f>
        <v>7.003928202204638E-3</v>
      </c>
      <c r="J25" s="261">
        <f t="shared" si="6"/>
        <v>6047.9867816149135</v>
      </c>
      <c r="K25" s="158">
        <f t="shared" si="7"/>
        <v>6047.9867816149135</v>
      </c>
      <c r="L25" s="159">
        <f t="shared" si="8"/>
        <v>1736.3303576345943</v>
      </c>
      <c r="M25" s="165">
        <f t="shared" si="9"/>
        <v>13832.303920864422</v>
      </c>
      <c r="N25" s="300">
        <f>M25*(1+0.07)^-(B25-Assumptions!$D$4)</f>
        <v>2548.5906206569193</v>
      </c>
      <c r="O25" s="302">
        <f t="shared" si="10"/>
        <v>40950.857456598562</v>
      </c>
      <c r="P25" s="159">
        <f t="shared" si="11"/>
        <v>15500.562819644018</v>
      </c>
      <c r="R25" s="160">
        <v>2033</v>
      </c>
      <c r="S25" s="356">
        <v>18100</v>
      </c>
      <c r="T25" s="356">
        <v>49100</v>
      </c>
      <c r="U25" s="356">
        <v>867600</v>
      </c>
      <c r="V25" s="356">
        <v>65</v>
      </c>
      <c r="AG25" s="135" t="s">
        <v>102</v>
      </c>
      <c r="AH25" s="355">
        <f>AVERAGE(AH7:AH10)</f>
        <v>0.22790983982547491</v>
      </c>
      <c r="AI25" s="355">
        <f t="shared" ref="AI25:AK25" si="16">AVERAGE(AI7:AI10)</f>
        <v>2.0699004398994176E-3</v>
      </c>
      <c r="AJ25" s="355">
        <f t="shared" si="16"/>
        <v>5.8180715878192544E-3</v>
      </c>
      <c r="AK25" s="355">
        <f t="shared" si="16"/>
        <v>317.22468262036</v>
      </c>
      <c r="AO25" s="430" t="s">
        <v>231</v>
      </c>
      <c r="AP25" s="421"/>
      <c r="AQ25" s="421"/>
      <c r="AR25" s="421"/>
      <c r="AS25" s="421"/>
    </row>
    <row r="26" spans="2:45" x14ac:dyDescent="0.25">
      <c r="B26" s="2">
        <f t="shared" si="4"/>
        <v>2046</v>
      </c>
      <c r="C26" s="269">
        <f>($F26*$V$7*Assumptions!$D$14+$F26*$V$8*Assumptions!$D$15)/10^6</f>
        <v>349.00161533171428</v>
      </c>
      <c r="D26" s="270">
        <f t="shared" si="0"/>
        <v>27920.129226537141</v>
      </c>
      <c r="E26" s="164">
        <f>D26*(1+0.03)^-($B26-Assumptions!$D$4)</f>
        <v>12946.416711746962</v>
      </c>
      <c r="F26" s="282">
        <f t="shared" si="5"/>
        <v>886469.73631218076</v>
      </c>
      <c r="G26" s="284">
        <f>($F26*S$7*Assumptions!$D$14+$F26*S$8*Assumptions!$D$15)/10^6</f>
        <v>0.33971933526417497</v>
      </c>
      <c r="H26" s="285">
        <f>($F26*T$7*Assumptions!$D$14+$F26*T$8*Assumptions!$D$15)/10^6</f>
        <v>2.0347020482267423E-3</v>
      </c>
      <c r="I26" s="286">
        <f>($F26*U$7*Assumptions!$D$14+$F26*U$8*Assumptions!$D$15)/10^6</f>
        <v>7.1208148321129467E-3</v>
      </c>
      <c r="J26" s="261">
        <f t="shared" si="6"/>
        <v>6148.919968281567</v>
      </c>
      <c r="K26" s="158">
        <f t="shared" si="7"/>
        <v>6148.919968281567</v>
      </c>
      <c r="L26" s="159">
        <f t="shared" si="8"/>
        <v>1765.3074970415216</v>
      </c>
      <c r="M26" s="165">
        <f t="shared" si="9"/>
        <v>14063.147433604656</v>
      </c>
      <c r="N26" s="300">
        <f>M26*(1+0.07)^-(B26-Assumptions!$D$4)</f>
        <v>2421.6106056221051</v>
      </c>
      <c r="O26" s="302">
        <f t="shared" si="10"/>
        <v>41983.276660141797</v>
      </c>
      <c r="P26" s="159">
        <f t="shared" si="11"/>
        <v>15368.027317369068</v>
      </c>
      <c r="R26" s="160">
        <v>2034</v>
      </c>
      <c r="S26" s="356">
        <v>18100</v>
      </c>
      <c r="T26" s="356">
        <v>49100</v>
      </c>
      <c r="U26" s="356">
        <v>867600</v>
      </c>
      <c r="V26" s="356">
        <v>66</v>
      </c>
      <c r="AG26" s="135" t="s">
        <v>103</v>
      </c>
      <c r="AH26" s="355">
        <f>AVERAGE(AH11:AH19)</f>
        <v>2.099484306313415</v>
      </c>
      <c r="AI26" s="355">
        <f t="shared" ref="AI26:AK26" si="17">AVERAGE(AI11:AI19)</f>
        <v>4.7858028693373951E-3</v>
      </c>
      <c r="AJ26" s="355">
        <f t="shared" si="17"/>
        <v>3.2505287070740692E-2</v>
      </c>
      <c r="AK26" s="355">
        <f t="shared" si="17"/>
        <v>1238.7315972924489</v>
      </c>
    </row>
    <row r="27" spans="2:45" x14ac:dyDescent="0.25">
      <c r="B27" s="2">
        <f t="shared" si="4"/>
        <v>2047</v>
      </c>
      <c r="C27" s="269">
        <f>($F27*$V$7*Assumptions!$D$14+$F27*$V$8*Assumptions!$D$15)/10^6</f>
        <v>354.73040109716175</v>
      </c>
      <c r="D27" s="270">
        <f t="shared" si="0"/>
        <v>28733.162488870101</v>
      </c>
      <c r="E27" s="164">
        <f>D27*(1+0.03)^-($B27-Assumptions!$D$4)</f>
        <v>12935.355290022217</v>
      </c>
      <c r="F27" s="282">
        <f t="shared" si="5"/>
        <v>901020.94462695718</v>
      </c>
      <c r="G27" s="284">
        <f>($F27*S$7*Assumptions!$D$14+$F27*S$8*Assumptions!$D$15)/10^6</f>
        <v>0.34529575441701738</v>
      </c>
      <c r="H27" s="285">
        <f>($F27*T$7*Assumptions!$D$14+$F27*T$8*Assumptions!$D$15)/10^6</f>
        <v>2.0681012407196748E-3</v>
      </c>
      <c r="I27" s="286">
        <f>($F27*U$7*Assumptions!$D$14+$F27*U$8*Assumptions!$D$15)/10^6</f>
        <v>7.2377014620210161E-3</v>
      </c>
      <c r="J27" s="261">
        <f t="shared" si="6"/>
        <v>6249.8531549480149</v>
      </c>
      <c r="K27" s="158">
        <f t="shared" si="7"/>
        <v>6249.8531549480149</v>
      </c>
      <c r="L27" s="159">
        <f t="shared" si="8"/>
        <v>1794.2846364483898</v>
      </c>
      <c r="M27" s="165">
        <f t="shared" si="9"/>
        <v>14293.99094634442</v>
      </c>
      <c r="N27" s="300">
        <f>M27*(1+0.07)^-(B27-Assumptions!$D$4)</f>
        <v>2300.3372131839446</v>
      </c>
      <c r="O27" s="302">
        <f t="shared" si="10"/>
        <v>43027.153435214525</v>
      </c>
      <c r="P27" s="159">
        <f t="shared" si="11"/>
        <v>15235.692503206161</v>
      </c>
      <c r="R27" s="160">
        <v>2035</v>
      </c>
      <c r="S27" s="356">
        <v>18100</v>
      </c>
      <c r="T27" s="356">
        <v>49100</v>
      </c>
      <c r="U27" s="356">
        <v>867600</v>
      </c>
      <c r="V27" s="356">
        <v>67</v>
      </c>
    </row>
    <row r="28" spans="2:45" ht="15" customHeight="1" x14ac:dyDescent="0.25">
      <c r="B28" s="2">
        <f t="shared" si="4"/>
        <v>2048</v>
      </c>
      <c r="C28" s="269">
        <f>($F28*$V$7*Assumptions!$D$14+$F28*$V$8*Assumptions!$D$15)/10^6</f>
        <v>360.45918686260927</v>
      </c>
      <c r="D28" s="270">
        <f t="shared" si="0"/>
        <v>29557.653322733961</v>
      </c>
      <c r="E28" s="164">
        <f>D28*(1+0.03)^-($B28-Assumptions!$D$4)</f>
        <v>12918.963145637601</v>
      </c>
      <c r="F28" s="282">
        <f t="shared" si="5"/>
        <v>915572.1529417336</v>
      </c>
      <c r="G28" s="284">
        <f>($F28*S$7*Assumptions!$D$14+$F28*S$8*Assumptions!$D$15)/10^6</f>
        <v>0.35087217356985972</v>
      </c>
      <c r="H28" s="285">
        <f>($F28*T$7*Assumptions!$D$14+$F28*T$8*Assumptions!$D$15)/10^6</f>
        <v>2.1015004332126073E-3</v>
      </c>
      <c r="I28" s="286">
        <f>($F28*U$7*Assumptions!$D$14+$F28*U$8*Assumptions!$D$15)/10^6</f>
        <v>7.3545880919290846E-3</v>
      </c>
      <c r="J28" s="261">
        <f t="shared" si="6"/>
        <v>6350.786341614461</v>
      </c>
      <c r="K28" s="158">
        <f t="shared" si="7"/>
        <v>6350.786341614461</v>
      </c>
      <c r="L28" s="159">
        <f t="shared" si="8"/>
        <v>1823.2617758552581</v>
      </c>
      <c r="M28" s="165">
        <f t="shared" si="9"/>
        <v>14524.834459084181</v>
      </c>
      <c r="N28" s="300">
        <f>M28*(1+0.07)^-(B28-Assumptions!$D$4)</f>
        <v>2184.5672378299732</v>
      </c>
      <c r="O28" s="302">
        <f t="shared" si="10"/>
        <v>44082.487781818141</v>
      </c>
      <c r="P28" s="159">
        <f t="shared" si="11"/>
        <v>15103.530383467574</v>
      </c>
      <c r="R28" s="160">
        <v>2036</v>
      </c>
      <c r="S28" s="356">
        <v>18100</v>
      </c>
      <c r="T28" s="356">
        <v>49100</v>
      </c>
      <c r="U28" s="356">
        <v>867600</v>
      </c>
      <c r="V28" s="356">
        <v>69</v>
      </c>
    </row>
    <row r="29" spans="2:45" x14ac:dyDescent="0.25">
      <c r="B29" s="2">
        <f t="shared" si="4"/>
        <v>2049</v>
      </c>
      <c r="C29" s="269">
        <f>($F29*$V$7*Assumptions!$D$14+$F29*$V$8*Assumptions!$D$15)/10^6</f>
        <v>366.18797262805674</v>
      </c>
      <c r="D29" s="270">
        <f t="shared" si="0"/>
        <v>30393.60172812871</v>
      </c>
      <c r="E29" s="164">
        <f>D29*(1+0.03)^-($B29-Assumptions!$D$4)</f>
        <v>12897.414330568479</v>
      </c>
      <c r="F29" s="282">
        <f t="shared" si="5"/>
        <v>930123.36125651002</v>
      </c>
      <c r="G29" s="284">
        <f>($F29*S$7*Assumptions!$D$14+$F29*S$8*Assumptions!$D$15)/10^6</f>
        <v>0.35644859272270213</v>
      </c>
      <c r="H29" s="285">
        <f>($F29*T$7*Assumptions!$D$14+$F29*T$8*Assumptions!$D$15)/10^6</f>
        <v>2.1348996257055395E-3</v>
      </c>
      <c r="I29" s="286">
        <f>($F29*U$7*Assumptions!$D$14+$F29*U$8*Assumptions!$D$15)/10^6</f>
        <v>7.4714747218371531E-3</v>
      </c>
      <c r="J29" s="261">
        <f t="shared" si="6"/>
        <v>6451.7195282809089</v>
      </c>
      <c r="K29" s="158">
        <f t="shared" si="7"/>
        <v>6451.7195282809089</v>
      </c>
      <c r="L29" s="159">
        <f t="shared" si="8"/>
        <v>1852.2389152621261</v>
      </c>
      <c r="M29" s="165">
        <f t="shared" si="9"/>
        <v>14755.677971823943</v>
      </c>
      <c r="N29" s="300">
        <f>M29*(1+0.07)^-(B29-Assumptions!$D$4)</f>
        <v>2074.099638197396</v>
      </c>
      <c r="O29" s="302">
        <f t="shared" si="10"/>
        <v>45149.279699952654</v>
      </c>
      <c r="P29" s="159">
        <f t="shared" si="11"/>
        <v>14971.513968765876</v>
      </c>
      <c r="R29" s="160">
        <v>2037</v>
      </c>
      <c r="S29" s="356">
        <v>18100</v>
      </c>
      <c r="T29" s="356">
        <v>49100</v>
      </c>
      <c r="U29" s="356">
        <v>867600</v>
      </c>
      <c r="V29" s="356">
        <v>70</v>
      </c>
    </row>
    <row r="30" spans="2:45" x14ac:dyDescent="0.25">
      <c r="B30" s="2">
        <f t="shared" si="4"/>
        <v>2050</v>
      </c>
      <c r="C30" s="269">
        <f>($F30*$V$7*Assumptions!$D$14+$F30*$V$8*Assumptions!$D$15)/10^6</f>
        <v>371.91675839350432</v>
      </c>
      <c r="D30" s="270">
        <f t="shared" si="0"/>
        <v>31612.924463447867</v>
      </c>
      <c r="E30" s="164">
        <f>D30*(1+0.03)^-($B30-Assumptions!$D$4)</f>
        <v>13024.106308517026</v>
      </c>
      <c r="F30" s="282">
        <f t="shared" si="5"/>
        <v>944674.56957128644</v>
      </c>
      <c r="G30" s="284">
        <f>($F30*S$7*Assumptions!$D$14+$F30*S$8*Assumptions!$D$15)/10^6</f>
        <v>0.36202501187554448</v>
      </c>
      <c r="H30" s="285">
        <f>($F30*T$7*Assumptions!$D$14+$F30*T$8*Assumptions!$D$15)/10^6</f>
        <v>2.168298818198472E-3</v>
      </c>
      <c r="I30" s="286">
        <f>($F30*U$7*Assumptions!$D$14+$F30*U$8*Assumptions!$D$15)/10^6</f>
        <v>7.5883613517452216E-3</v>
      </c>
      <c r="J30" s="261">
        <f t="shared" si="6"/>
        <v>6552.652714947355</v>
      </c>
      <c r="K30" s="158">
        <f t="shared" si="7"/>
        <v>6552.652714947355</v>
      </c>
      <c r="L30" s="159">
        <f t="shared" si="8"/>
        <v>1881.2160546689943</v>
      </c>
      <c r="M30" s="165">
        <f t="shared" si="9"/>
        <v>14986.521484563704</v>
      </c>
      <c r="N30" s="300">
        <f>M30*(1+0.07)^-(B30-Assumptions!$D$4)</f>
        <v>1968.7361236024574</v>
      </c>
      <c r="O30" s="302">
        <f t="shared" si="10"/>
        <v>46599.445948011569</v>
      </c>
      <c r="P30" s="159">
        <f t="shared" si="11"/>
        <v>14992.842432119483</v>
      </c>
      <c r="R30" s="160">
        <v>2038</v>
      </c>
      <c r="S30" s="356">
        <v>18100</v>
      </c>
      <c r="T30" s="356">
        <v>49100</v>
      </c>
      <c r="U30" s="356">
        <v>867600</v>
      </c>
      <c r="V30" s="356">
        <v>71</v>
      </c>
    </row>
    <row r="31" spans="2:45" x14ac:dyDescent="0.25">
      <c r="B31" s="2">
        <f t="shared" si="4"/>
        <v>2051</v>
      </c>
      <c r="C31" s="269">
        <f>($F31*$V$7*Assumptions!$D$14+$F31*$V$8*Assumptions!$D$15)/10^6</f>
        <v>377.64554415896362</v>
      </c>
      <c r="D31" s="270">
        <f t="shared" si="0"/>
        <v>31722.225709352944</v>
      </c>
      <c r="E31" s="164">
        <f>D31*(1+0.03)^-($B31-Assumptions!$D$4)</f>
        <v>12688.482499639329</v>
      </c>
      <c r="F31" s="282">
        <f t="shared" si="5"/>
        <v>959225.77788609266</v>
      </c>
      <c r="G31" s="284">
        <f>($F31*S$7*Assumptions!$D$14+$F31*S$8*Assumptions!$D$15)/10^6</f>
        <v>0.36760143102839832</v>
      </c>
      <c r="H31" s="285">
        <f>($F31*T$7*Assumptions!$D$14+$F31*T$8*Assumptions!$D$15)/10^6</f>
        <v>2.2016980106914731E-3</v>
      </c>
      <c r="I31" s="286">
        <f>($F31*U$7*Assumptions!$D$14+$F31*U$8*Assumptions!$D$15)/10^6</f>
        <v>7.7052479816535294E-3</v>
      </c>
      <c r="J31" s="261">
        <f t="shared" si="6"/>
        <v>6616.8257585111696</v>
      </c>
      <c r="K31" s="158">
        <f t="shared" si="7"/>
        <v>6616.8257585111696</v>
      </c>
      <c r="L31" s="159">
        <f t="shared" si="8"/>
        <v>1877.3878937166191</v>
      </c>
      <c r="M31" s="165">
        <f t="shared" si="9"/>
        <v>15111.039410738958</v>
      </c>
      <c r="N31" s="300">
        <f>M31*(1+0.07)^-(B31-Assumptions!$D$4)</f>
        <v>1855.2277426151104</v>
      </c>
      <c r="O31" s="302">
        <f t="shared" si="10"/>
        <v>46833.265120091906</v>
      </c>
      <c r="P31" s="159">
        <f t="shared" si="11"/>
        <v>14543.710242254439</v>
      </c>
      <c r="R31" s="160">
        <v>2039</v>
      </c>
      <c r="S31" s="356">
        <v>18100</v>
      </c>
      <c r="T31" s="356">
        <v>49100</v>
      </c>
      <c r="U31" s="356">
        <v>867600</v>
      </c>
      <c r="V31" s="356">
        <v>72</v>
      </c>
    </row>
    <row r="32" spans="2:45" x14ac:dyDescent="0.25">
      <c r="B32" s="2">
        <f t="shared" si="4"/>
        <v>2052</v>
      </c>
      <c r="C32" s="269">
        <f>($F32*$V$7*Assumptions!$D$14+$F32*$V$8*Assumptions!$D$15)/10^6</f>
        <v>383.37432992442291</v>
      </c>
      <c r="D32" s="270">
        <f t="shared" si="0"/>
        <v>32203.443713651526</v>
      </c>
      <c r="E32" s="164">
        <f>D32*(1+0.03)^-($B32-Assumptions!$D$4)</f>
        <v>12505.789820756147</v>
      </c>
      <c r="F32" s="282">
        <f t="shared" si="5"/>
        <v>973776.98620089889</v>
      </c>
      <c r="G32" s="284">
        <f>($F32*S$7*Assumptions!$D$14+$F32*S$8*Assumptions!$D$15)/10^6</f>
        <v>0.3731778501812521</v>
      </c>
      <c r="H32" s="285">
        <f>($F32*T$7*Assumptions!$D$14+$F32*T$8*Assumptions!$D$15)/10^6</f>
        <v>2.2350972031844741E-3</v>
      </c>
      <c r="I32" s="286">
        <f>($F32*U$7*Assumptions!$D$14+$F32*U$8*Assumptions!$D$15)/10^6</f>
        <v>7.8221346115618373E-3</v>
      </c>
      <c r="J32" s="261">
        <f t="shared" si="6"/>
        <v>6717.2013032625382</v>
      </c>
      <c r="K32" s="158">
        <f t="shared" si="7"/>
        <v>6717.2013032625382</v>
      </c>
      <c r="L32" s="159">
        <f t="shared" si="8"/>
        <v>1905.8673851554011</v>
      </c>
      <c r="M32" s="165">
        <f t="shared" si="9"/>
        <v>15340.269991680478</v>
      </c>
      <c r="N32" s="300">
        <f>M32*(1+0.07)^-(B32-Assumptions!$D$4)</f>
        <v>1760.1598787493472</v>
      </c>
      <c r="O32" s="302">
        <f t="shared" si="10"/>
        <v>47543.713705332004</v>
      </c>
      <c r="P32" s="159">
        <f t="shared" si="11"/>
        <v>14265.949699505494</v>
      </c>
      <c r="R32" s="160">
        <v>2040</v>
      </c>
      <c r="S32" s="356">
        <v>18100</v>
      </c>
      <c r="T32" s="356">
        <v>49100</v>
      </c>
      <c r="U32" s="356">
        <v>867600</v>
      </c>
      <c r="V32" s="356">
        <v>73</v>
      </c>
    </row>
    <row r="33" spans="1:30" x14ac:dyDescent="0.25">
      <c r="B33" s="2">
        <f t="shared" si="4"/>
        <v>2053</v>
      </c>
      <c r="C33" s="269">
        <f>($F33*$V$7*Assumptions!$D$14+$F33*$V$8*Assumptions!$D$15)/10^6</f>
        <v>389.10311568987038</v>
      </c>
      <c r="D33" s="270">
        <f t="shared" si="0"/>
        <v>32684.661717949111</v>
      </c>
      <c r="E33" s="164">
        <f>D33*(1+0.03)^-($B33-Assumptions!$D$4)</f>
        <v>12322.975333318815</v>
      </c>
      <c r="F33" s="282">
        <f t="shared" si="5"/>
        <v>988328.19451567531</v>
      </c>
      <c r="G33" s="284">
        <f>($F33*S$7*Assumptions!$D$14+$F33*S$8*Assumptions!$D$15)/10^6</f>
        <v>0.37875426933409451</v>
      </c>
      <c r="H33" s="285">
        <f>($F33*T$7*Assumptions!$D$14+$F33*T$8*Assumptions!$D$15)/10^6</f>
        <v>2.2684963956774063E-3</v>
      </c>
      <c r="I33" s="286">
        <f>($F33*U$7*Assumptions!$D$14+$F33*U$8*Assumptions!$D$15)/10^6</f>
        <v>7.9390212414699075E-3</v>
      </c>
      <c r="J33" s="261">
        <f t="shared" si="6"/>
        <v>6817.5768480137012</v>
      </c>
      <c r="K33" s="158">
        <f t="shared" si="7"/>
        <v>6817.5768480137012</v>
      </c>
      <c r="L33" s="159">
        <f t="shared" si="8"/>
        <v>1934.3468765941243</v>
      </c>
      <c r="M33" s="165">
        <f t="shared" si="9"/>
        <v>15569.500572621528</v>
      </c>
      <c r="N33" s="300">
        <f>M33*(1+0.07)^-(B33-Assumptions!$D$4)</f>
        <v>1669.5907047850772</v>
      </c>
      <c r="O33" s="302">
        <f t="shared" si="10"/>
        <v>48254.162290570639</v>
      </c>
      <c r="P33" s="159">
        <f t="shared" si="11"/>
        <v>13992.566038103892</v>
      </c>
      <c r="R33" s="160">
        <v>2041</v>
      </c>
      <c r="S33" s="356">
        <v>18100</v>
      </c>
      <c r="T33" s="356">
        <v>49100</v>
      </c>
      <c r="U33" s="356">
        <v>867600</v>
      </c>
      <c r="V33" s="356">
        <v>74</v>
      </c>
    </row>
    <row r="34" spans="1:30" ht="15.75" thickBot="1" x14ac:dyDescent="0.3">
      <c r="B34" s="3">
        <f t="shared" si="4"/>
        <v>2054</v>
      </c>
      <c r="C34" s="271">
        <f>($F34*$V$7*Assumptions!$D$14+$F34*$V$8*Assumptions!$D$15)/10^6</f>
        <v>394.8319014553179</v>
      </c>
      <c r="D34" s="272">
        <f t="shared" si="0"/>
        <v>33165.879722246704</v>
      </c>
      <c r="E34" s="259">
        <f>D34*(1+0.03)^-($B34-Assumptions!$D$4)</f>
        <v>12140.20111780622</v>
      </c>
      <c r="F34" s="283">
        <f t="shared" si="5"/>
        <v>1002879.4028304517</v>
      </c>
      <c r="G34" s="287">
        <f>($F34*S$7*Assumptions!$D$14+$F34*S$8*Assumptions!$D$15)/10^6</f>
        <v>0.38433068848693691</v>
      </c>
      <c r="H34" s="288">
        <f>($F34*T$7*Assumptions!$D$14+$F34*T$8*Assumptions!$D$15)/10^6</f>
        <v>2.3018955881703388E-3</v>
      </c>
      <c r="I34" s="289">
        <f>($F34*U$7*Assumptions!$D$14+$F34*U$8*Assumptions!$D$15)/10^6</f>
        <v>8.055907871377976E-3</v>
      </c>
      <c r="J34" s="262">
        <f t="shared" si="6"/>
        <v>6917.9523927648643</v>
      </c>
      <c r="K34" s="258">
        <f t="shared" si="7"/>
        <v>6917.9523927648643</v>
      </c>
      <c r="L34" s="259">
        <f t="shared" si="8"/>
        <v>1962.826368032848</v>
      </c>
      <c r="M34" s="260">
        <f t="shared" si="9"/>
        <v>15798.731153562576</v>
      </c>
      <c r="N34" s="301">
        <f>M34*(1+0.07)^-(B34-Assumptions!$D$4)</f>
        <v>1583.3384832655408</v>
      </c>
      <c r="O34" s="272">
        <f t="shared" si="10"/>
        <v>48964.610875809281</v>
      </c>
      <c r="P34" s="259">
        <f t="shared" si="11"/>
        <v>13723.539601071761</v>
      </c>
      <c r="R34" s="160">
        <v>2042</v>
      </c>
      <c r="S34" s="356">
        <v>18100</v>
      </c>
      <c r="T34" s="356">
        <v>49100</v>
      </c>
      <c r="U34" s="356">
        <v>867600</v>
      </c>
      <c r="V34" s="356">
        <v>75</v>
      </c>
    </row>
    <row r="35" spans="1:30" x14ac:dyDescent="0.25">
      <c r="B35" s="4"/>
      <c r="C35" s="4"/>
      <c r="D35" s="162" t="s">
        <v>2</v>
      </c>
      <c r="E35" s="273">
        <f>SUM(E5:E34)</f>
        <v>371483.4233347596</v>
      </c>
      <c r="F35" s="161"/>
      <c r="G35" s="4"/>
      <c r="H35" s="4"/>
      <c r="I35" s="4"/>
      <c r="J35" s="4"/>
      <c r="K35" s="4"/>
      <c r="L35" s="4"/>
      <c r="M35" s="162" t="s">
        <v>2</v>
      </c>
      <c r="N35" s="273">
        <f>SUM(N5:N34)</f>
        <v>106150.02599687342</v>
      </c>
      <c r="O35" s="273">
        <f>SUM(O5:O34)</f>
        <v>1061194.0480842816</v>
      </c>
      <c r="P35" s="273">
        <f>SUM(P5:P34)</f>
        <v>477633.44933163293</v>
      </c>
      <c r="Q35" s="152"/>
      <c r="R35" s="160">
        <v>2043</v>
      </c>
      <c r="S35" s="356">
        <v>18100</v>
      </c>
      <c r="T35" s="356">
        <v>49100</v>
      </c>
      <c r="U35" s="356">
        <v>867600</v>
      </c>
      <c r="V35" s="356">
        <v>77</v>
      </c>
    </row>
    <row r="36" spans="1:30" x14ac:dyDescent="0.25">
      <c r="Q36" s="152"/>
      <c r="R36" s="160">
        <v>2044</v>
      </c>
      <c r="S36" s="356">
        <v>18100</v>
      </c>
      <c r="T36" s="356">
        <v>49100</v>
      </c>
      <c r="U36" s="356">
        <v>867600</v>
      </c>
      <c r="V36" s="356">
        <v>78</v>
      </c>
    </row>
    <row r="37" spans="1:30" x14ac:dyDescent="0.25">
      <c r="B37" s="12" t="s">
        <v>3</v>
      </c>
      <c r="C37" s="12"/>
      <c r="D37" s="12"/>
      <c r="E37" s="12"/>
      <c r="R37" s="160">
        <v>2045</v>
      </c>
      <c r="S37" s="356">
        <v>18100</v>
      </c>
      <c r="T37" s="356">
        <v>49100</v>
      </c>
      <c r="U37" s="356">
        <v>867600</v>
      </c>
      <c r="V37" s="356">
        <v>79</v>
      </c>
    </row>
    <row r="38" spans="1:30" ht="15" customHeight="1" x14ac:dyDescent="0.25">
      <c r="A38" s="13" t="s">
        <v>53</v>
      </c>
      <c r="B38" s="493" t="s">
        <v>341</v>
      </c>
      <c r="C38" s="493"/>
      <c r="D38" s="493"/>
      <c r="E38" s="493"/>
      <c r="F38" s="493"/>
      <c r="G38" s="493"/>
      <c r="H38" s="493"/>
      <c r="I38" s="493"/>
      <c r="J38" s="493"/>
      <c r="K38" s="493"/>
      <c r="L38" s="493"/>
      <c r="M38" s="493"/>
      <c r="R38" s="160">
        <v>2046</v>
      </c>
      <c r="S38" s="356">
        <v>18100</v>
      </c>
      <c r="T38" s="356">
        <v>49100</v>
      </c>
      <c r="U38" s="356">
        <v>867600</v>
      </c>
      <c r="V38" s="356">
        <v>80</v>
      </c>
    </row>
    <row r="39" spans="1:30" x14ac:dyDescent="0.25">
      <c r="B39" s="493"/>
      <c r="C39" s="493"/>
      <c r="D39" s="493"/>
      <c r="E39" s="493"/>
      <c r="F39" s="493"/>
      <c r="G39" s="493"/>
      <c r="H39" s="493"/>
      <c r="I39" s="493"/>
      <c r="J39" s="493"/>
      <c r="K39" s="493"/>
      <c r="L39" s="493"/>
      <c r="M39" s="493"/>
      <c r="R39" s="160">
        <v>2047</v>
      </c>
      <c r="S39" s="356">
        <v>18100</v>
      </c>
      <c r="T39" s="356">
        <v>49100</v>
      </c>
      <c r="U39" s="356">
        <v>867600</v>
      </c>
      <c r="V39" s="356">
        <v>81</v>
      </c>
      <c r="X39" s="419"/>
      <c r="Y39" s="419"/>
      <c r="Z39" s="419"/>
      <c r="AA39" s="419"/>
      <c r="AB39" s="419"/>
    </row>
    <row r="40" spans="1:30" x14ac:dyDescent="0.25">
      <c r="B40" s="493"/>
      <c r="C40" s="493"/>
      <c r="D40" s="493"/>
      <c r="E40" s="493"/>
      <c r="F40" s="493"/>
      <c r="G40" s="493"/>
      <c r="H40" s="493"/>
      <c r="I40" s="493"/>
      <c r="J40" s="493"/>
      <c r="K40" s="493"/>
      <c r="L40" s="493"/>
      <c r="M40" s="493"/>
      <c r="R40" s="160">
        <v>2048</v>
      </c>
      <c r="S40" s="356">
        <v>18100</v>
      </c>
      <c r="T40" s="356">
        <v>49100</v>
      </c>
      <c r="U40" s="356">
        <v>867600</v>
      </c>
      <c r="V40" s="356">
        <v>82</v>
      </c>
      <c r="X40" s="419"/>
      <c r="Y40" s="419"/>
      <c r="Z40" s="419"/>
      <c r="AA40" s="419"/>
      <c r="AB40" s="419"/>
    </row>
    <row r="41" spans="1:30" x14ac:dyDescent="0.25">
      <c r="B41" s="493"/>
      <c r="C41" s="493"/>
      <c r="D41" s="493"/>
      <c r="E41" s="493"/>
      <c r="F41" s="493"/>
      <c r="G41" s="493"/>
      <c r="H41" s="493"/>
      <c r="I41" s="493"/>
      <c r="J41" s="493"/>
      <c r="K41" s="493"/>
      <c r="L41" s="493"/>
      <c r="M41" s="493"/>
      <c r="R41" s="160">
        <v>2049</v>
      </c>
      <c r="S41" s="356">
        <v>18100</v>
      </c>
      <c r="T41" s="356">
        <v>49100</v>
      </c>
      <c r="U41" s="356">
        <v>867600</v>
      </c>
      <c r="V41" s="356">
        <v>83</v>
      </c>
      <c r="X41" s="419"/>
      <c r="Y41" s="419"/>
      <c r="Z41" s="419"/>
      <c r="AA41" s="419"/>
      <c r="AB41" s="419"/>
    </row>
    <row r="42" spans="1:30" ht="15" customHeight="1" x14ac:dyDescent="0.25">
      <c r="B42" s="12"/>
      <c r="C42" s="12"/>
      <c r="D42" s="12"/>
      <c r="E42" s="12"/>
      <c r="R42" s="160">
        <v>2050</v>
      </c>
      <c r="S42" s="356">
        <v>18100</v>
      </c>
      <c r="T42" s="356">
        <v>49100</v>
      </c>
      <c r="U42" s="356">
        <v>867600</v>
      </c>
      <c r="V42" s="356">
        <v>85</v>
      </c>
      <c r="X42" s="419"/>
      <c r="Y42" s="419"/>
      <c r="Z42" s="419"/>
      <c r="AA42" s="419"/>
      <c r="AB42" s="419"/>
    </row>
    <row r="43" spans="1:30" ht="15.75" customHeight="1" x14ac:dyDescent="0.25">
      <c r="A43" s="13" t="s">
        <v>67</v>
      </c>
      <c r="B43" s="493" t="s">
        <v>349</v>
      </c>
      <c r="C43" s="493"/>
      <c r="D43" s="493"/>
      <c r="E43" s="493"/>
      <c r="F43" s="493"/>
      <c r="G43" s="493"/>
      <c r="H43" s="493"/>
      <c r="I43" s="493"/>
      <c r="J43" s="493"/>
      <c r="K43" s="493"/>
      <c r="L43" s="493"/>
      <c r="M43" s="493"/>
      <c r="R43" s="160">
        <v>2050</v>
      </c>
      <c r="S43" s="356">
        <v>18000</v>
      </c>
      <c r="T43" s="356">
        <v>48200</v>
      </c>
      <c r="U43" s="356">
        <v>852700</v>
      </c>
      <c r="V43" s="356">
        <v>84</v>
      </c>
      <c r="X43" s="419"/>
      <c r="Y43" s="419"/>
      <c r="Z43" s="419"/>
      <c r="AA43" s="419"/>
      <c r="AB43" s="419"/>
    </row>
    <row r="44" spans="1:30" ht="15" customHeight="1" x14ac:dyDescent="0.25">
      <c r="B44" s="493"/>
      <c r="C44" s="493"/>
      <c r="D44" s="493"/>
      <c r="E44" s="493"/>
      <c r="F44" s="493"/>
      <c r="G44" s="493"/>
      <c r="H44" s="493"/>
      <c r="I44" s="493"/>
      <c r="J44" s="493"/>
      <c r="K44" s="493"/>
      <c r="L44" s="493"/>
      <c r="M44" s="493"/>
      <c r="R44" s="361">
        <v>2051</v>
      </c>
      <c r="S44" s="362">
        <f>S43</f>
        <v>18000</v>
      </c>
      <c r="T44" s="362">
        <f t="shared" ref="T44:U44" si="18">T43</f>
        <v>48200</v>
      </c>
      <c r="U44" s="362">
        <f t="shared" si="18"/>
        <v>852700</v>
      </c>
      <c r="V44" s="362">
        <f>V43</f>
        <v>84</v>
      </c>
      <c r="W44" s="420" t="s">
        <v>176</v>
      </c>
      <c r="AC44" s="419"/>
      <c r="AD44" s="397"/>
    </row>
    <row r="45" spans="1:30" ht="15" customHeight="1" x14ac:dyDescent="0.25">
      <c r="A45" s="13"/>
      <c r="B45" s="163"/>
      <c r="C45" s="163"/>
      <c r="D45" s="163"/>
      <c r="E45" s="163"/>
      <c r="F45" s="101"/>
      <c r="G45" s="152"/>
      <c r="H45" s="152"/>
      <c r="I45" s="101"/>
      <c r="R45" s="361">
        <v>2052</v>
      </c>
      <c r="S45" s="362">
        <f t="shared" ref="S45:S47" si="19">S44</f>
        <v>18000</v>
      </c>
      <c r="T45" s="362">
        <f t="shared" ref="T45:T47" si="20">T44</f>
        <v>48200</v>
      </c>
      <c r="U45" s="362">
        <f t="shared" ref="U45:U47" si="21">U44</f>
        <v>852700</v>
      </c>
      <c r="V45" s="362">
        <f t="shared" ref="V45:V47" si="22">V44</f>
        <v>84</v>
      </c>
      <c r="W45" s="398"/>
      <c r="AC45" s="419"/>
      <c r="AD45" s="397"/>
    </row>
    <row r="46" spans="1:30" x14ac:dyDescent="0.25">
      <c r="A46" s="13"/>
      <c r="B46" s="414"/>
      <c r="C46" s="414"/>
      <c r="D46" s="414"/>
      <c r="E46" s="414"/>
      <c r="F46" s="414"/>
      <c r="G46" s="414"/>
      <c r="H46" s="414"/>
      <c r="I46" s="414"/>
      <c r="R46" s="361">
        <v>2053</v>
      </c>
      <c r="S46" s="362">
        <f t="shared" si="19"/>
        <v>18000</v>
      </c>
      <c r="T46" s="362">
        <f t="shared" si="20"/>
        <v>48200</v>
      </c>
      <c r="U46" s="362">
        <f t="shared" si="21"/>
        <v>852700</v>
      </c>
      <c r="V46" s="362">
        <f t="shared" si="22"/>
        <v>84</v>
      </c>
      <c r="W46" s="398"/>
      <c r="AC46" s="419"/>
      <c r="AD46" s="397"/>
    </row>
    <row r="47" spans="1:30" x14ac:dyDescent="0.25">
      <c r="A47" s="13"/>
      <c r="B47" s="276"/>
      <c r="C47" s="276"/>
      <c r="D47" s="276"/>
      <c r="E47" s="276"/>
      <c r="F47" s="276"/>
      <c r="G47" s="276"/>
      <c r="H47" s="276"/>
      <c r="I47" s="276"/>
      <c r="R47" s="361">
        <v>2054</v>
      </c>
      <c r="S47" s="362">
        <f t="shared" si="19"/>
        <v>18000</v>
      </c>
      <c r="T47" s="362">
        <f t="shared" si="20"/>
        <v>48200</v>
      </c>
      <c r="U47" s="362">
        <f t="shared" si="21"/>
        <v>852700</v>
      </c>
      <c r="V47" s="362">
        <f t="shared" si="22"/>
        <v>84</v>
      </c>
      <c r="W47" s="398"/>
      <c r="AC47" s="419"/>
      <c r="AD47" s="397"/>
    </row>
    <row r="48" spans="1:30" x14ac:dyDescent="0.25">
      <c r="A48" s="13"/>
      <c r="B48" s="276"/>
      <c r="C48" s="276"/>
      <c r="D48" s="276"/>
      <c r="E48" s="276"/>
      <c r="F48" s="276"/>
      <c r="G48" s="276"/>
      <c r="H48" s="276"/>
      <c r="I48" s="276"/>
      <c r="R48" s="361">
        <v>2055</v>
      </c>
      <c r="S48" s="362">
        <f t="shared" ref="S48" si="23">S47</f>
        <v>18000</v>
      </c>
      <c r="T48" s="362">
        <f t="shared" ref="T48" si="24">T47</f>
        <v>48200</v>
      </c>
      <c r="U48" s="362">
        <f t="shared" ref="U48" si="25">U47</f>
        <v>852700</v>
      </c>
      <c r="V48" s="362">
        <f t="shared" ref="V48" si="26">V47</f>
        <v>84</v>
      </c>
      <c r="W48" s="398"/>
      <c r="AC48" s="419"/>
      <c r="AD48" s="397"/>
    </row>
    <row r="49" spans="1:18" x14ac:dyDescent="0.25">
      <c r="A49" s="13"/>
      <c r="B49" s="276"/>
      <c r="C49" s="276"/>
      <c r="D49" s="276"/>
      <c r="E49" s="276"/>
      <c r="F49" s="276"/>
      <c r="G49" s="276"/>
      <c r="H49" s="276"/>
      <c r="I49" s="276"/>
    </row>
    <row r="50" spans="1:18" x14ac:dyDescent="0.25">
      <c r="A50" s="13"/>
      <c r="B50" s="276"/>
      <c r="C50" s="276"/>
      <c r="D50" s="276"/>
      <c r="E50" s="276"/>
      <c r="F50" s="276"/>
      <c r="G50" s="276"/>
      <c r="H50" s="276"/>
      <c r="I50" s="276"/>
    </row>
    <row r="51" spans="1:18" x14ac:dyDescent="0.25">
      <c r="A51" s="13"/>
      <c r="B51" s="163"/>
      <c r="C51" s="163"/>
      <c r="D51" s="163"/>
      <c r="E51" s="163"/>
      <c r="F51" s="101"/>
      <c r="G51" s="101"/>
      <c r="H51" s="101"/>
      <c r="I51" s="101"/>
    </row>
    <row r="52" spans="1:18" x14ac:dyDescent="0.25">
      <c r="B52" s="163"/>
      <c r="C52" s="163"/>
      <c r="D52" s="163"/>
      <c r="E52" s="163"/>
      <c r="F52" s="101"/>
      <c r="G52" s="101"/>
      <c r="H52" s="101"/>
      <c r="I52" s="101"/>
      <c r="R52"/>
    </row>
    <row r="53" spans="1:18" x14ac:dyDescent="0.25">
      <c r="B53" s="163"/>
      <c r="C53" s="163"/>
      <c r="D53" s="163"/>
      <c r="E53" s="163"/>
      <c r="F53" s="101"/>
      <c r="G53" s="101"/>
      <c r="H53" s="101"/>
      <c r="I53" s="101"/>
      <c r="J53" s="90"/>
      <c r="L53" s="152"/>
      <c r="M53" s="152"/>
    </row>
    <row r="54" spans="1:18" x14ac:dyDescent="0.25">
      <c r="B54" s="163"/>
      <c r="C54" s="163"/>
      <c r="D54" s="163"/>
      <c r="E54" s="163"/>
      <c r="F54" s="101"/>
      <c r="G54" s="101"/>
      <c r="H54" s="101"/>
      <c r="I54" s="101"/>
      <c r="J54" s="90"/>
      <c r="L54" s="152"/>
      <c r="M54" s="152"/>
      <c r="N54" s="277"/>
      <c r="O54" s="277"/>
      <c r="P54" s="277"/>
    </row>
    <row r="55" spans="1:18" x14ac:dyDescent="0.25">
      <c r="A55" s="13"/>
      <c r="B55" s="163"/>
      <c r="C55" s="163"/>
      <c r="D55" s="163"/>
      <c r="E55" s="163"/>
      <c r="F55" s="101"/>
      <c r="G55" s="101"/>
      <c r="H55" s="101"/>
      <c r="I55" s="101"/>
      <c r="L55" s="152"/>
      <c r="M55" s="152"/>
      <c r="N55" s="277"/>
      <c r="O55" s="277"/>
      <c r="P55" s="277"/>
    </row>
    <row r="56" spans="1:18" x14ac:dyDescent="0.25">
      <c r="B56" s="163"/>
      <c r="C56" s="163"/>
      <c r="D56" s="163"/>
      <c r="E56" s="163"/>
      <c r="F56" s="101"/>
      <c r="G56" s="101"/>
      <c r="H56" s="101"/>
      <c r="I56" s="101"/>
      <c r="L56" s="152"/>
      <c r="M56" s="152"/>
      <c r="N56" s="277"/>
      <c r="O56" s="277"/>
      <c r="P56" s="277"/>
    </row>
    <row r="57" spans="1:18" x14ac:dyDescent="0.25">
      <c r="B57" s="163"/>
      <c r="C57" s="163"/>
      <c r="D57" s="163"/>
      <c r="E57" s="163"/>
      <c r="F57" s="101"/>
      <c r="G57" s="101"/>
      <c r="H57" s="101"/>
      <c r="I57" s="101"/>
      <c r="J57" s="152"/>
      <c r="K57" s="152"/>
      <c r="L57" s="152"/>
      <c r="M57" s="152"/>
    </row>
    <row r="58" spans="1:18" x14ac:dyDescent="0.25">
      <c r="B58" s="163"/>
      <c r="C58" s="163"/>
      <c r="D58" s="163"/>
      <c r="E58" s="163"/>
      <c r="F58" s="101"/>
      <c r="G58" s="101"/>
      <c r="H58" s="101"/>
      <c r="I58" s="101"/>
      <c r="K58" s="152"/>
      <c r="L58" s="152"/>
      <c r="M58" s="152"/>
    </row>
    <row r="59" spans="1:18" x14ac:dyDescent="0.25">
      <c r="B59" s="163"/>
      <c r="C59" s="163"/>
      <c r="D59" s="163"/>
      <c r="E59" s="163"/>
      <c r="F59" s="101"/>
      <c r="G59" s="101"/>
      <c r="H59" s="101"/>
      <c r="I59" s="101"/>
      <c r="J59" s="101"/>
      <c r="L59" s="152"/>
      <c r="M59" s="152"/>
    </row>
    <row r="60" spans="1:18" x14ac:dyDescent="0.25">
      <c r="B60" s="163"/>
      <c r="C60" s="163"/>
      <c r="D60" s="163"/>
      <c r="E60" s="163"/>
      <c r="F60" s="101"/>
      <c r="G60" s="101"/>
      <c r="H60" s="101"/>
      <c r="I60" s="101"/>
      <c r="J60" s="101"/>
    </row>
    <row r="61" spans="1:18" x14ac:dyDescent="0.25">
      <c r="B61" s="163"/>
      <c r="C61" s="163"/>
      <c r="D61" s="163"/>
      <c r="E61" s="163"/>
      <c r="F61" s="101"/>
      <c r="G61" s="101"/>
      <c r="H61" s="101"/>
      <c r="I61" s="101"/>
      <c r="J61" s="101"/>
      <c r="K61" s="101"/>
    </row>
    <row r="62" spans="1:18" x14ac:dyDescent="0.25">
      <c r="B62" s="163"/>
      <c r="C62" s="163"/>
      <c r="D62" s="163"/>
      <c r="E62" s="163"/>
      <c r="F62" s="101"/>
      <c r="G62" s="101"/>
      <c r="H62" s="101"/>
      <c r="I62" s="101"/>
      <c r="J62" s="101"/>
      <c r="K62" s="101"/>
    </row>
    <row r="63" spans="1:18" x14ac:dyDescent="0.25">
      <c r="A63" s="13"/>
      <c r="B63" s="163"/>
      <c r="C63" s="163"/>
      <c r="D63" s="163"/>
      <c r="E63" s="163"/>
      <c r="F63" s="101"/>
      <c r="G63" s="101"/>
      <c r="H63" s="101"/>
      <c r="I63" s="101"/>
      <c r="J63" s="101"/>
      <c r="K63" s="101"/>
    </row>
    <row r="64" spans="1:18" x14ac:dyDescent="0.25">
      <c r="J64" s="101"/>
      <c r="K64" s="101"/>
    </row>
    <row r="65" spans="1:12" x14ac:dyDescent="0.25">
      <c r="F65" s="152"/>
      <c r="I65" s="152"/>
      <c r="J65" s="101"/>
      <c r="K65" s="101"/>
    </row>
    <row r="66" spans="1:12" x14ac:dyDescent="0.25">
      <c r="B66" s="152"/>
      <c r="C66" s="152"/>
      <c r="D66" s="152"/>
      <c r="E66" s="152"/>
      <c r="F66" s="152"/>
      <c r="I66" s="152"/>
      <c r="J66" s="101"/>
      <c r="K66" s="101"/>
    </row>
    <row r="67" spans="1:12" x14ac:dyDescent="0.25">
      <c r="J67" s="101"/>
      <c r="K67" s="101"/>
    </row>
    <row r="68" spans="1:12" x14ac:dyDescent="0.25">
      <c r="A68" s="13"/>
      <c r="B68" s="101"/>
      <c r="C68" s="101"/>
      <c r="D68" s="101"/>
      <c r="E68" s="101"/>
      <c r="F68" s="101"/>
      <c r="G68" s="101"/>
      <c r="H68" s="101"/>
      <c r="I68" s="101"/>
      <c r="J68" s="101"/>
      <c r="K68" s="101"/>
    </row>
    <row r="69" spans="1:12" x14ac:dyDescent="0.25">
      <c r="B69" s="101"/>
      <c r="C69" s="101"/>
      <c r="D69" s="101"/>
      <c r="E69" s="101"/>
      <c r="F69" s="101"/>
      <c r="G69" s="101"/>
      <c r="H69" s="101"/>
      <c r="J69" s="101"/>
      <c r="K69" s="101"/>
    </row>
    <row r="70" spans="1:12" x14ac:dyDescent="0.25">
      <c r="J70" s="101"/>
      <c r="K70" s="101"/>
    </row>
    <row r="71" spans="1:12" x14ac:dyDescent="0.25">
      <c r="A71" s="13"/>
      <c r="J71" s="101"/>
      <c r="K71" s="101"/>
    </row>
    <row r="72" spans="1:12" x14ac:dyDescent="0.25">
      <c r="J72" s="101"/>
      <c r="K72" s="101"/>
    </row>
    <row r="74" spans="1:12" x14ac:dyDescent="0.25">
      <c r="J74" s="152"/>
    </row>
    <row r="75" spans="1:12" x14ac:dyDescent="0.25">
      <c r="J75" s="152"/>
      <c r="L75" s="101"/>
    </row>
    <row r="77" spans="1:12" x14ac:dyDescent="0.25">
      <c r="J77" s="101"/>
      <c r="K77" s="101"/>
    </row>
  </sheetData>
  <mergeCells count="24">
    <mergeCell ref="Y15:Z15"/>
    <mergeCell ref="AA15:AB15"/>
    <mergeCell ref="Y19:Z19"/>
    <mergeCell ref="AA19:AB19"/>
    <mergeCell ref="O3:O4"/>
    <mergeCell ref="O2:P2"/>
    <mergeCell ref="F2:N2"/>
    <mergeCell ref="L3:L4"/>
    <mergeCell ref="M3:M4"/>
    <mergeCell ref="N3:N4"/>
    <mergeCell ref="P3:P4"/>
    <mergeCell ref="C2:E2"/>
    <mergeCell ref="B43:M44"/>
    <mergeCell ref="F3:F4"/>
    <mergeCell ref="K3:K4"/>
    <mergeCell ref="G3:G4"/>
    <mergeCell ref="H3:H4"/>
    <mergeCell ref="I3:I4"/>
    <mergeCell ref="J3:J4"/>
    <mergeCell ref="B3:B4"/>
    <mergeCell ref="C3:C4"/>
    <mergeCell ref="D3:D4"/>
    <mergeCell ref="E3:E4"/>
    <mergeCell ref="B38:M41"/>
  </mergeCells>
  <hyperlinks>
    <hyperlink ref="AO8" r:id="rId1" xr:uid="{19D84491-4571-46C4-BC8F-D148FCCB050C}"/>
    <hyperlink ref="AO25" r:id="rId2" xr:uid="{38FAD483-B71F-4E28-8A2C-781253F244C5}"/>
  </hyperlinks>
  <pageMargins left="0.25" right="0.25" top="0.75" bottom="0.75" header="0.3" footer="0.3"/>
  <pageSetup paperSize="3" scale="40"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5E8B-D9B4-4949-A2DB-EE7B3B22A13D}">
  <sheetPr>
    <tabColor rgb="FF00B050"/>
  </sheetPr>
  <dimension ref="A1:H61"/>
  <sheetViews>
    <sheetView view="pageBreakPreview" zoomScale="85" zoomScaleNormal="85" zoomScaleSheetLayoutView="85" workbookViewId="0">
      <selection activeCell="F3" sqref="F3"/>
    </sheetView>
  </sheetViews>
  <sheetFormatPr defaultRowHeight="15" x14ac:dyDescent="0.25"/>
  <cols>
    <col min="1" max="1" width="3.7109375" style="127" customWidth="1"/>
    <col min="2" max="3" width="15.7109375" style="127" customWidth="1"/>
    <col min="4" max="5" width="15.5703125" style="127" customWidth="1"/>
    <col min="6" max="6" width="49.5703125" style="127" customWidth="1"/>
    <col min="7" max="7" width="25.7109375" style="127" customWidth="1"/>
    <col min="8" max="8" width="22.7109375" style="127" customWidth="1"/>
    <col min="9" max="16384" width="9.140625" style="127"/>
  </cols>
  <sheetData>
    <row r="1" spans="2:8" x14ac:dyDescent="0.25">
      <c r="B1" s="97">
        <v>1</v>
      </c>
      <c r="C1" s="97">
        <v>2</v>
      </c>
      <c r="D1" s="97">
        <v>3</v>
      </c>
    </row>
    <row r="2" spans="2:8" ht="15.75" thickBot="1" x14ac:dyDescent="0.3">
      <c r="B2" s="12" t="s">
        <v>189</v>
      </c>
    </row>
    <row r="3" spans="2:8" ht="22.5" customHeight="1" x14ac:dyDescent="0.25">
      <c r="B3" s="506" t="s">
        <v>0</v>
      </c>
      <c r="C3" s="543" t="s">
        <v>326</v>
      </c>
      <c r="D3" s="499" t="s">
        <v>87</v>
      </c>
      <c r="E3" s="274"/>
    </row>
    <row r="4" spans="2:8" ht="22.5" customHeight="1" thickBot="1" x14ac:dyDescent="0.3">
      <c r="B4" s="507"/>
      <c r="C4" s="544"/>
      <c r="D4" s="500"/>
      <c r="E4" s="274"/>
    </row>
    <row r="5" spans="2:8" ht="15.75" customHeight="1" x14ac:dyDescent="0.25">
      <c r="B5" s="389">
        <f>Assumptions!$D$8</f>
        <v>2025</v>
      </c>
      <c r="C5" s="404">
        <f t="shared" ref="C5:C34" si="0">$G$11</f>
        <v>434959.78014483163</v>
      </c>
      <c r="D5" s="405">
        <f>SUM(C5:C5)*(1+0.07)^-($B5-Assumptions!$D$4)</f>
        <v>310120.31187451986</v>
      </c>
      <c r="F5" s="12" t="s">
        <v>196</v>
      </c>
    </row>
    <row r="6" spans="2:8" ht="15.75" customHeight="1" x14ac:dyDescent="0.25">
      <c r="B6" s="320">
        <f>B5+1</f>
        <v>2026</v>
      </c>
      <c r="C6" s="406">
        <f t="shared" si="0"/>
        <v>434959.78014483163</v>
      </c>
      <c r="D6" s="407">
        <f>SUM(C6:C6)*(1+0.07)^-($B6-Assumptions!$D$4)</f>
        <v>289832.0671724485</v>
      </c>
      <c r="F6" s="311" t="s">
        <v>190</v>
      </c>
      <c r="G6" s="401">
        <v>4300000000</v>
      </c>
      <c r="H6" s="403" t="s">
        <v>192</v>
      </c>
    </row>
    <row r="7" spans="2:8" ht="15.75" customHeight="1" x14ac:dyDescent="0.25">
      <c r="B7" s="2">
        <f>+B6+1</f>
        <v>2027</v>
      </c>
      <c r="C7" s="408">
        <f t="shared" si="0"/>
        <v>434959.78014483163</v>
      </c>
      <c r="D7" s="409">
        <f>SUM(C7:C7)*(1+0.07)^-($B7-Assumptions!$D$4)</f>
        <v>270871.09081537242</v>
      </c>
      <c r="F7" s="311" t="s">
        <v>191</v>
      </c>
      <c r="G7" s="402">
        <f>299106*1000</f>
        <v>299106000</v>
      </c>
      <c r="H7" s="403" t="s">
        <v>346</v>
      </c>
    </row>
    <row r="8" spans="2:8" ht="15.75" customHeight="1" x14ac:dyDescent="0.25">
      <c r="B8" s="2">
        <f t="shared" ref="B8:B34" si="1">+B7+1</f>
        <v>2028</v>
      </c>
      <c r="C8" s="408">
        <f t="shared" si="0"/>
        <v>434959.78014483163</v>
      </c>
      <c r="D8" s="409">
        <f>SUM(C8:C8)*(1+0.07)^-($B8-Assumptions!$D$4)</f>
        <v>253150.55216389944</v>
      </c>
      <c r="F8" s="311" t="s">
        <v>194</v>
      </c>
      <c r="G8" s="402">
        <v>25213</v>
      </c>
      <c r="H8" s="403" t="s">
        <v>193</v>
      </c>
    </row>
    <row r="9" spans="2:8" ht="15.75" customHeight="1" x14ac:dyDescent="0.25">
      <c r="B9" s="2">
        <f t="shared" si="1"/>
        <v>2029</v>
      </c>
      <c r="C9" s="408">
        <f t="shared" si="0"/>
        <v>434959.78014483163</v>
      </c>
      <c r="D9" s="409">
        <f>SUM(C9:C9)*(1+0.07)^-($B9-Assumptions!$D$4)</f>
        <v>236589.3010877565</v>
      </c>
      <c r="F9" s="311" t="s">
        <v>333</v>
      </c>
      <c r="G9" s="311">
        <v>1.2</v>
      </c>
      <c r="H9" s="403" t="s">
        <v>351</v>
      </c>
    </row>
    <row r="10" spans="2:8" ht="15.75" customHeight="1" x14ac:dyDescent="0.25">
      <c r="B10" s="2">
        <f t="shared" si="1"/>
        <v>2030</v>
      </c>
      <c r="C10" s="408">
        <f t="shared" si="0"/>
        <v>434959.78014483163</v>
      </c>
      <c r="D10" s="409">
        <f>SUM(C10:C10)*(1+0.07)^-($B10-Assumptions!$D$4)</f>
        <v>221111.49634369765</v>
      </c>
      <c r="F10" s="311" t="s">
        <v>197</v>
      </c>
      <c r="G10" s="400">
        <f>G6/G7*G9</f>
        <v>17.251409199414255</v>
      </c>
    </row>
    <row r="11" spans="2:8" ht="15.75" customHeight="1" x14ac:dyDescent="0.25">
      <c r="B11" s="2">
        <f t="shared" si="1"/>
        <v>2031</v>
      </c>
      <c r="C11" s="408">
        <f t="shared" si="0"/>
        <v>434959.78014483163</v>
      </c>
      <c r="D11" s="409">
        <f>SUM(C11:C11)*(1+0.07)^-($B11-Assumptions!$D$4)</f>
        <v>206646.25826513796</v>
      </c>
      <c r="F11" s="311" t="s">
        <v>198</v>
      </c>
      <c r="G11" s="401">
        <f>G8*G10</f>
        <v>434959.78014483163</v>
      </c>
    </row>
    <row r="12" spans="2:8" ht="15.75" customHeight="1" x14ac:dyDescent="0.25">
      <c r="B12" s="2">
        <f t="shared" si="1"/>
        <v>2032</v>
      </c>
      <c r="C12" s="408">
        <f t="shared" si="0"/>
        <v>434959.78014483163</v>
      </c>
      <c r="D12" s="409">
        <f>SUM(C12:C12)*(1+0.07)^-($B12-Assumptions!$D$4)</f>
        <v>193127.34417302615</v>
      </c>
    </row>
    <row r="13" spans="2:8" ht="15.75" customHeight="1" x14ac:dyDescent="0.25">
      <c r="B13" s="2">
        <f t="shared" si="1"/>
        <v>2033</v>
      </c>
      <c r="C13" s="408">
        <f t="shared" si="0"/>
        <v>434959.78014483163</v>
      </c>
      <c r="D13" s="409">
        <f>SUM(C13:C13)*(1+0.07)^-($B13-Assumptions!$D$4)</f>
        <v>180492.84502151975</v>
      </c>
    </row>
    <row r="14" spans="2:8" ht="15.75" customHeight="1" x14ac:dyDescent="0.25">
      <c r="B14" s="2">
        <f t="shared" si="1"/>
        <v>2034</v>
      </c>
      <c r="C14" s="408">
        <f t="shared" si="0"/>
        <v>434959.78014483163</v>
      </c>
      <c r="D14" s="409">
        <f>SUM(C14:C14)*(1+0.07)^-($B14-Assumptions!$D$4)</f>
        <v>168684.90188927081</v>
      </c>
    </row>
    <row r="15" spans="2:8" ht="15.75" customHeight="1" x14ac:dyDescent="0.25">
      <c r="B15" s="2">
        <f t="shared" si="1"/>
        <v>2035</v>
      </c>
      <c r="C15" s="408">
        <f t="shared" si="0"/>
        <v>434959.78014483163</v>
      </c>
      <c r="D15" s="409">
        <f>SUM(C15:C15)*(1+0.07)^-($B15-Assumptions!$D$4)</f>
        <v>157649.44101801008</v>
      </c>
    </row>
    <row r="16" spans="2:8" ht="15.75" customHeight="1" x14ac:dyDescent="0.25">
      <c r="B16" s="2">
        <f t="shared" si="1"/>
        <v>2036</v>
      </c>
      <c r="C16" s="408">
        <f t="shared" si="0"/>
        <v>434959.78014483163</v>
      </c>
      <c r="D16" s="409">
        <f>SUM(C16:C16)*(1+0.07)^-($B16-Assumptions!$D$4)</f>
        <v>147335.92618505619</v>
      </c>
    </row>
    <row r="17" spans="2:4" ht="15.75" customHeight="1" x14ac:dyDescent="0.25">
      <c r="B17" s="2">
        <f t="shared" si="1"/>
        <v>2037</v>
      </c>
      <c r="C17" s="408">
        <f t="shared" si="0"/>
        <v>434959.78014483163</v>
      </c>
      <c r="D17" s="409">
        <f>SUM(C17:C17)*(1+0.07)^-($B17-Assumptions!$D$4)</f>
        <v>137697.12727575345</v>
      </c>
    </row>
    <row r="18" spans="2:4" ht="15.75" customHeight="1" x14ac:dyDescent="0.25">
      <c r="B18" s="2">
        <f t="shared" si="1"/>
        <v>2038</v>
      </c>
      <c r="C18" s="408">
        <f t="shared" si="0"/>
        <v>434959.78014483163</v>
      </c>
      <c r="D18" s="409">
        <f>SUM(C18:C18)*(1+0.07)^-($B18-Assumptions!$D$4)</f>
        <v>128688.90399603124</v>
      </c>
    </row>
    <row r="19" spans="2:4" ht="15.75" customHeight="1" x14ac:dyDescent="0.25">
      <c r="B19" s="2">
        <f t="shared" si="1"/>
        <v>2039</v>
      </c>
      <c r="C19" s="408">
        <f t="shared" si="0"/>
        <v>434959.78014483163</v>
      </c>
      <c r="D19" s="409">
        <f>SUM(C19:C19)*(1+0.07)^-($B19-Assumptions!$D$4)</f>
        <v>120270.00373460863</v>
      </c>
    </row>
    <row r="20" spans="2:4" ht="15.75" customHeight="1" x14ac:dyDescent="0.25">
      <c r="B20" s="2">
        <f t="shared" si="1"/>
        <v>2040</v>
      </c>
      <c r="C20" s="408">
        <f t="shared" si="0"/>
        <v>434959.78014483163</v>
      </c>
      <c r="D20" s="409">
        <f>SUM(C20:C20)*(1+0.07)^-($B20-Assumptions!$D$4)</f>
        <v>112401.87264916695</v>
      </c>
    </row>
    <row r="21" spans="2:4" ht="15.75" customHeight="1" x14ac:dyDescent="0.25">
      <c r="B21" s="2">
        <f t="shared" si="1"/>
        <v>2041</v>
      </c>
      <c r="C21" s="408">
        <f t="shared" si="0"/>
        <v>434959.78014483163</v>
      </c>
      <c r="D21" s="409">
        <f>SUM(C21:C21)*(1+0.07)^-($B21-Assumptions!$D$4)</f>
        <v>105048.47911137098</v>
      </c>
    </row>
    <row r="22" spans="2:4" ht="15.75" customHeight="1" x14ac:dyDescent="0.25">
      <c r="B22" s="2">
        <f t="shared" si="1"/>
        <v>2042</v>
      </c>
      <c r="C22" s="408">
        <f t="shared" si="0"/>
        <v>434959.78014483163</v>
      </c>
      <c r="D22" s="409">
        <f>SUM(C22:C22)*(1+0.07)^-($B22-Assumptions!$D$4)</f>
        <v>98176.148702215884</v>
      </c>
    </row>
    <row r="23" spans="2:4" ht="15.75" customHeight="1" x14ac:dyDescent="0.25">
      <c r="B23" s="2">
        <f t="shared" si="1"/>
        <v>2043</v>
      </c>
      <c r="C23" s="408">
        <f t="shared" si="0"/>
        <v>434959.78014483163</v>
      </c>
      <c r="D23" s="409">
        <f>SUM(C23:C23)*(1+0.07)^-($B23-Assumptions!$D$4)</f>
        <v>91753.410002070901</v>
      </c>
    </row>
    <row r="24" spans="2:4" ht="15.75" customHeight="1" x14ac:dyDescent="0.25">
      <c r="B24" s="2">
        <f t="shared" si="1"/>
        <v>2044</v>
      </c>
      <c r="C24" s="408">
        <f t="shared" si="0"/>
        <v>434959.78014483163</v>
      </c>
      <c r="D24" s="409">
        <f>SUM(C24:C24)*(1+0.07)^-($B24-Assumptions!$D$4)</f>
        <v>85750.850469225144</v>
      </c>
    </row>
    <row r="25" spans="2:4" ht="15.75" customHeight="1" x14ac:dyDescent="0.25">
      <c r="B25" s="2">
        <f t="shared" si="1"/>
        <v>2045</v>
      </c>
      <c r="C25" s="408">
        <f t="shared" si="0"/>
        <v>434959.78014483163</v>
      </c>
      <c r="D25" s="409">
        <f>SUM(C25:C25)*(1+0.07)^-($B25-Assumptions!$D$4)</f>
        <v>80140.981746939375</v>
      </c>
    </row>
    <row r="26" spans="2:4" ht="15.75" customHeight="1" x14ac:dyDescent="0.25">
      <c r="B26" s="2">
        <f t="shared" si="1"/>
        <v>2046</v>
      </c>
      <c r="C26" s="408">
        <f t="shared" si="0"/>
        <v>434959.78014483163</v>
      </c>
      <c r="D26" s="409">
        <f>SUM(C26:C26)*(1+0.07)^-($B26-Assumptions!$D$4)</f>
        <v>74898.113782186352</v>
      </c>
    </row>
    <row r="27" spans="2:4" ht="15.75" customHeight="1" x14ac:dyDescent="0.25">
      <c r="B27" s="2">
        <f t="shared" si="1"/>
        <v>2047</v>
      </c>
      <c r="C27" s="408">
        <f t="shared" si="0"/>
        <v>434959.78014483163</v>
      </c>
      <c r="D27" s="409">
        <f>SUM(C27:C27)*(1+0.07)^-($B27-Assumptions!$D$4)</f>
        <v>69998.237179613396</v>
      </c>
    </row>
    <row r="28" spans="2:4" ht="15.75" customHeight="1" x14ac:dyDescent="0.25">
      <c r="B28" s="2">
        <f t="shared" si="1"/>
        <v>2048</v>
      </c>
      <c r="C28" s="408">
        <f t="shared" si="0"/>
        <v>434959.78014483163</v>
      </c>
      <c r="D28" s="409">
        <f>SUM(C28:C28)*(1+0.07)^-($B28-Assumptions!$D$4)</f>
        <v>65418.913251975144</v>
      </c>
    </row>
    <row r="29" spans="2:4" ht="15.75" customHeight="1" x14ac:dyDescent="0.25">
      <c r="B29" s="2">
        <f t="shared" si="1"/>
        <v>2049</v>
      </c>
      <c r="C29" s="408">
        <f t="shared" si="0"/>
        <v>434959.78014483163</v>
      </c>
      <c r="D29" s="409">
        <f>SUM(C29:C29)*(1+0.07)^-($B29-Assumptions!$D$4)</f>
        <v>61139.171263528173</v>
      </c>
    </row>
    <row r="30" spans="2:4" ht="15.75" customHeight="1" x14ac:dyDescent="0.25">
      <c r="B30" s="2">
        <f t="shared" si="1"/>
        <v>2050</v>
      </c>
      <c r="C30" s="408">
        <f t="shared" si="0"/>
        <v>434959.78014483163</v>
      </c>
      <c r="D30" s="409">
        <f>SUM(C30:C30)*(1+0.07)^-($B30-Assumptions!$D$4)</f>
        <v>57139.412395820727</v>
      </c>
    </row>
    <row r="31" spans="2:4" ht="15.75" customHeight="1" x14ac:dyDescent="0.25">
      <c r="B31" s="2">
        <f t="shared" si="1"/>
        <v>2051</v>
      </c>
      <c r="C31" s="408">
        <f t="shared" si="0"/>
        <v>434959.78014483163</v>
      </c>
      <c r="D31" s="409">
        <f>SUM(C31:C31)*(1+0.07)^-($B31-Assumptions!$D$4)</f>
        <v>53401.31999609412</v>
      </c>
    </row>
    <row r="32" spans="2:4" ht="15.75" customHeight="1" x14ac:dyDescent="0.25">
      <c r="B32" s="2">
        <f t="shared" si="1"/>
        <v>2052</v>
      </c>
      <c r="C32" s="408">
        <f t="shared" si="0"/>
        <v>434959.78014483163</v>
      </c>
      <c r="D32" s="409">
        <f>SUM(C32:C32)*(1+0.07)^-($B32-Assumptions!$D$4)</f>
        <v>49907.775697284233</v>
      </c>
    </row>
    <row r="33" spans="1:6" ht="15.75" customHeight="1" x14ac:dyDescent="0.25">
      <c r="B33" s="2">
        <f t="shared" si="1"/>
        <v>2053</v>
      </c>
      <c r="C33" s="408">
        <f t="shared" si="0"/>
        <v>434959.78014483163</v>
      </c>
      <c r="D33" s="409">
        <f>SUM(C33:C33)*(1+0.07)^-($B33-Assumptions!$D$4)</f>
        <v>46642.78102549928</v>
      </c>
    </row>
    <row r="34" spans="1:6" ht="15.75" customHeight="1" thickBot="1" x14ac:dyDescent="0.3">
      <c r="B34" s="3">
        <f t="shared" si="1"/>
        <v>2054</v>
      </c>
      <c r="C34" s="410">
        <f t="shared" si="0"/>
        <v>434959.78014483163</v>
      </c>
      <c r="D34" s="411">
        <f>SUM(C34:C34)*(1+0.07)^-($B34-Assumptions!$D$4)</f>
        <v>43591.384135980639</v>
      </c>
    </row>
    <row r="35" spans="1:6" ht="15.75" customHeight="1" x14ac:dyDescent="0.25">
      <c r="B35" s="4"/>
      <c r="C35" s="412">
        <f>SUM(C5:C34)</f>
        <v>13048793.404344941</v>
      </c>
      <c r="D35" s="412">
        <f>SUM(D5:D34)</f>
        <v>4117676.4224250796</v>
      </c>
    </row>
    <row r="36" spans="1:6" ht="15.75" customHeight="1" x14ac:dyDescent="0.25">
      <c r="B36" s="4"/>
      <c r="C36" s="4"/>
      <c r="D36" s="148"/>
    </row>
    <row r="37" spans="1:6" ht="15.75" customHeight="1" x14ac:dyDescent="0.25"/>
    <row r="38" spans="1:6" ht="15.75" customHeight="1" x14ac:dyDescent="0.25">
      <c r="B38" s="12" t="s">
        <v>3</v>
      </c>
    </row>
    <row r="39" spans="1:6" ht="15.75" customHeight="1" x14ac:dyDescent="0.25">
      <c r="A39" s="13" t="s">
        <v>53</v>
      </c>
      <c r="B39" s="493" t="s">
        <v>347</v>
      </c>
      <c r="C39" s="493"/>
      <c r="D39" s="493"/>
      <c r="E39" s="493"/>
      <c r="F39" s="493"/>
    </row>
    <row r="40" spans="1:6" ht="15.75" customHeight="1" x14ac:dyDescent="0.25">
      <c r="B40" s="493"/>
      <c r="C40" s="493"/>
      <c r="D40" s="493"/>
      <c r="E40" s="493"/>
      <c r="F40" s="493"/>
    </row>
    <row r="41" spans="1:6" ht="15.75" customHeight="1" x14ac:dyDescent="0.25">
      <c r="B41" s="493"/>
      <c r="C41" s="493"/>
      <c r="D41" s="493"/>
      <c r="E41" s="493"/>
      <c r="F41" s="493"/>
    </row>
    <row r="42" spans="1:6" ht="15.75" customHeight="1" x14ac:dyDescent="0.25">
      <c r="B42" s="493"/>
      <c r="C42" s="493"/>
      <c r="D42" s="493"/>
      <c r="E42" s="493"/>
      <c r="F42" s="493"/>
    </row>
    <row r="43" spans="1:6" ht="15.75" customHeight="1" x14ac:dyDescent="0.25">
      <c r="A43" s="13"/>
      <c r="B43" s="493"/>
      <c r="C43" s="493"/>
      <c r="D43" s="493"/>
      <c r="E43" s="493"/>
      <c r="F43" s="493"/>
    </row>
    <row r="44" spans="1:6" ht="15.75" customHeight="1" x14ac:dyDescent="0.25">
      <c r="B44" s="493"/>
      <c r="C44" s="493"/>
      <c r="D44" s="493"/>
      <c r="E44" s="493"/>
      <c r="F44" s="493"/>
    </row>
    <row r="45" spans="1:6" ht="15.75" customHeight="1" x14ac:dyDescent="0.25">
      <c r="A45" s="13"/>
      <c r="B45" s="493"/>
      <c r="C45" s="493"/>
      <c r="D45" s="493"/>
      <c r="E45" s="493"/>
      <c r="F45" s="493"/>
    </row>
    <row r="46" spans="1:6" x14ac:dyDescent="0.25">
      <c r="B46" s="493"/>
      <c r="C46" s="493"/>
      <c r="D46" s="493"/>
      <c r="E46" s="493"/>
      <c r="F46" s="493"/>
    </row>
    <row r="47" spans="1:6" x14ac:dyDescent="0.25">
      <c r="B47" s="493"/>
      <c r="C47" s="493"/>
      <c r="D47" s="493"/>
      <c r="E47" s="493"/>
      <c r="F47" s="493"/>
    </row>
    <row r="48" spans="1:6" x14ac:dyDescent="0.25">
      <c r="B48" s="493"/>
      <c r="C48" s="493"/>
      <c r="D48" s="493"/>
      <c r="E48" s="493"/>
      <c r="F48" s="493"/>
    </row>
    <row r="49" spans="1:6" x14ac:dyDescent="0.25">
      <c r="B49" s="493"/>
      <c r="C49" s="493"/>
      <c r="D49" s="493"/>
      <c r="E49" s="493"/>
      <c r="F49" s="493"/>
    </row>
    <row r="50" spans="1:6" x14ac:dyDescent="0.25">
      <c r="B50" s="493"/>
      <c r="C50" s="493"/>
      <c r="D50" s="493"/>
      <c r="E50" s="493"/>
      <c r="F50" s="493"/>
    </row>
    <row r="51" spans="1:6" ht="15" customHeight="1" x14ac:dyDescent="0.25">
      <c r="B51" s="493"/>
      <c r="C51" s="493"/>
      <c r="D51" s="493"/>
      <c r="E51" s="493"/>
      <c r="F51" s="493"/>
    </row>
    <row r="52" spans="1:6" x14ac:dyDescent="0.25">
      <c r="B52" s="493"/>
      <c r="C52" s="493"/>
      <c r="D52" s="493"/>
      <c r="E52" s="493"/>
      <c r="F52" s="493"/>
    </row>
    <row r="53" spans="1:6" x14ac:dyDescent="0.25">
      <c r="B53" s="493"/>
      <c r="C53" s="493"/>
      <c r="D53" s="493"/>
      <c r="E53" s="493"/>
      <c r="F53" s="493"/>
    </row>
    <row r="54" spans="1:6" x14ac:dyDescent="0.25">
      <c r="B54" s="493"/>
      <c r="C54" s="493"/>
      <c r="D54" s="493"/>
      <c r="E54" s="493"/>
      <c r="F54" s="493"/>
    </row>
    <row r="55" spans="1:6" x14ac:dyDescent="0.25">
      <c r="A55" s="13"/>
      <c r="B55" s="493"/>
      <c r="C55" s="493"/>
      <c r="D55" s="493"/>
      <c r="E55" s="493"/>
      <c r="F55" s="493"/>
    </row>
    <row r="56" spans="1:6" x14ac:dyDescent="0.25">
      <c r="B56" s="493"/>
      <c r="C56" s="493"/>
      <c r="D56" s="493"/>
      <c r="E56" s="493"/>
      <c r="F56" s="493"/>
    </row>
    <row r="57" spans="1:6" ht="15" customHeight="1" x14ac:dyDescent="0.25">
      <c r="B57" s="493"/>
      <c r="C57" s="493"/>
      <c r="D57" s="493"/>
      <c r="E57" s="493"/>
      <c r="F57" s="493"/>
    </row>
    <row r="58" spans="1:6" x14ac:dyDescent="0.25">
      <c r="B58" s="493"/>
      <c r="C58" s="493"/>
      <c r="D58" s="493"/>
      <c r="E58" s="493"/>
      <c r="F58" s="493"/>
    </row>
    <row r="59" spans="1:6" x14ac:dyDescent="0.25">
      <c r="B59" s="101"/>
      <c r="C59" s="101"/>
      <c r="D59" s="101"/>
      <c r="E59" s="101"/>
      <c r="F59" s="101"/>
    </row>
    <row r="60" spans="1:6" ht="15" customHeight="1" x14ac:dyDescent="0.25">
      <c r="A60" s="13" t="s">
        <v>67</v>
      </c>
      <c r="B60" s="493" t="s">
        <v>348</v>
      </c>
      <c r="C60" s="493"/>
      <c r="D60" s="493"/>
      <c r="E60" s="493"/>
      <c r="F60" s="493"/>
    </row>
    <row r="61" spans="1:6" x14ac:dyDescent="0.25">
      <c r="A61" s="13"/>
      <c r="B61" s="493"/>
      <c r="C61" s="493"/>
      <c r="D61" s="493"/>
      <c r="E61" s="493"/>
      <c r="F61" s="493"/>
    </row>
  </sheetData>
  <mergeCells count="5">
    <mergeCell ref="B60:F61"/>
    <mergeCell ref="B3:B4"/>
    <mergeCell ref="C3:C4"/>
    <mergeCell ref="D3:D4"/>
    <mergeCell ref="B39:F58"/>
  </mergeCells>
  <hyperlinks>
    <hyperlink ref="H8" r:id="rId1" xr:uid="{A9C6C933-78EE-46FA-9575-52302CCA1F8F}"/>
    <hyperlink ref="H7" r:id="rId2" xr:uid="{400608EE-45DB-4DEA-B704-15E75487D537}"/>
    <hyperlink ref="H6" r:id="rId3" xr:uid="{79EE6E71-5AC2-459A-9251-FB63C7AC75F1}"/>
  </hyperlinks>
  <pageMargins left="0.7" right="0.7" top="0.75" bottom="0.75" header="0.3" footer="0.3"/>
  <pageSetup scale="35" orientation="portrait" horizontalDpi="300" verticalDpi="300"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442D0-9A3A-4DD4-814B-F857395D9C21}">
  <sheetPr>
    <tabColor rgb="FFC00000"/>
    <pageSetUpPr fitToPage="1"/>
  </sheetPr>
  <dimension ref="A1:P61"/>
  <sheetViews>
    <sheetView view="pageBreakPreview" zoomScale="85" zoomScaleNormal="85" zoomScaleSheetLayoutView="85" workbookViewId="0">
      <selection activeCell="B3" sqref="B3:B4"/>
    </sheetView>
  </sheetViews>
  <sheetFormatPr defaultRowHeight="15" x14ac:dyDescent="0.25"/>
  <cols>
    <col min="1" max="1" width="9.140625" style="127"/>
    <col min="2" max="4" width="15.7109375" style="127" customWidth="1"/>
    <col min="5" max="6" width="15.5703125" style="127" customWidth="1"/>
    <col min="7" max="7" width="27.5703125" style="127" customWidth="1"/>
    <col min="8" max="8" width="25.7109375" style="127" customWidth="1"/>
    <col min="9" max="10" width="22.7109375" style="127" customWidth="1"/>
    <col min="11" max="13" width="9.140625" style="127"/>
    <col min="14" max="14" width="28.7109375" style="127" bestFit="1" customWidth="1"/>
    <col min="15" max="15" width="9.140625" style="127"/>
    <col min="16" max="16" width="11.28515625" style="127" bestFit="1" customWidth="1"/>
    <col min="17" max="16384" width="9.140625" style="127"/>
  </cols>
  <sheetData>
    <row r="1" spans="2:16" x14ac:dyDescent="0.25">
      <c r="B1" s="97">
        <v>1</v>
      </c>
      <c r="C1" s="97">
        <v>2</v>
      </c>
      <c r="D1" s="97">
        <v>3</v>
      </c>
      <c r="E1" s="97">
        <v>1</v>
      </c>
    </row>
    <row r="2" spans="2:16" ht="15.75" thickBot="1" x14ac:dyDescent="0.3">
      <c r="B2" s="12" t="s">
        <v>29</v>
      </c>
    </row>
    <row r="3" spans="2:16" ht="22.5" customHeight="1" x14ac:dyDescent="0.25">
      <c r="B3" s="506" t="s">
        <v>0</v>
      </c>
      <c r="C3" s="543" t="s">
        <v>325</v>
      </c>
      <c r="D3" s="499" t="s">
        <v>120</v>
      </c>
      <c r="E3" s="499" t="s">
        <v>87</v>
      </c>
      <c r="F3" s="274"/>
    </row>
    <row r="4" spans="2:16" ht="22.5" customHeight="1" thickBot="1" x14ac:dyDescent="0.3">
      <c r="B4" s="507"/>
      <c r="C4" s="544"/>
      <c r="D4" s="500"/>
      <c r="E4" s="500"/>
      <c r="F4" s="274"/>
    </row>
    <row r="5" spans="2:16" ht="15.75" customHeight="1" x14ac:dyDescent="0.25">
      <c r="B5" s="318">
        <f>Assumptions!$D$8</f>
        <v>2025</v>
      </c>
      <c r="C5" s="324">
        <v>2000</v>
      </c>
      <c r="D5" s="20">
        <f t="shared" ref="D5:D34" si="0">$H$12/5280*8200</f>
        <v>9939.3939393939399</v>
      </c>
      <c r="E5" s="20">
        <f>SUM(C5:D5)*(1+0.07)^-($B5-Assumptions!$D$4)</f>
        <v>8512.6228701989494</v>
      </c>
    </row>
    <row r="6" spans="2:16" ht="15.75" customHeight="1" x14ac:dyDescent="0.25">
      <c r="B6" s="320">
        <f>B5+1</f>
        <v>2026</v>
      </c>
      <c r="C6" s="323">
        <v>2000</v>
      </c>
      <c r="D6" s="321">
        <f t="shared" si="0"/>
        <v>9939.3939393939399</v>
      </c>
      <c r="E6" s="321">
        <f>SUM(C6:D6)*(1+0.07)^-($B6-Assumptions!$D$4)</f>
        <v>7955.72230859715</v>
      </c>
      <c r="G6" s="12" t="s">
        <v>345</v>
      </c>
    </row>
    <row r="7" spans="2:16" ht="15.75" customHeight="1" x14ac:dyDescent="0.25">
      <c r="B7" s="2">
        <f>+B6+1</f>
        <v>2027</v>
      </c>
      <c r="C7" s="309">
        <v>2000</v>
      </c>
      <c r="D7" s="9">
        <f t="shared" si="0"/>
        <v>9939.3939393939399</v>
      </c>
      <c r="E7" s="9">
        <f>SUM(C7:D7)*(1+0.07)^-($B7-Assumptions!$D$4)</f>
        <v>7435.2544940160269</v>
      </c>
      <c r="G7" s="135" t="s">
        <v>123</v>
      </c>
      <c r="H7" s="135" t="s">
        <v>126</v>
      </c>
    </row>
    <row r="8" spans="2:16" ht="15.75" customHeight="1" x14ac:dyDescent="0.25">
      <c r="B8" s="2">
        <f t="shared" ref="B8:B34" si="1">+B7+1</f>
        <v>2028</v>
      </c>
      <c r="C8" s="309">
        <v>2000</v>
      </c>
      <c r="D8" s="9">
        <f t="shared" si="0"/>
        <v>9939.3939393939399</v>
      </c>
      <c r="E8" s="9">
        <f>SUM(C8:D8)*(1+0.07)^-($B8-Assumptions!$D$4)</f>
        <v>6948.8359757159133</v>
      </c>
      <c r="G8" s="311" t="s">
        <v>121</v>
      </c>
      <c r="H8" s="311">
        <v>2000</v>
      </c>
    </row>
    <row r="9" spans="2:16" ht="15.75" customHeight="1" x14ac:dyDescent="0.25">
      <c r="B9" s="2">
        <f t="shared" si="1"/>
        <v>2029</v>
      </c>
      <c r="C9" s="309">
        <v>2000</v>
      </c>
      <c r="D9" s="9">
        <f t="shared" si="0"/>
        <v>9939.3939393939399</v>
      </c>
      <c r="E9" s="9">
        <f>SUM(C9:D9)*(1+0.07)^-($B9-Assumptions!$D$4)</f>
        <v>6494.2392296410408</v>
      </c>
      <c r="G9" s="311" t="s">
        <v>334</v>
      </c>
      <c r="H9" s="311">
        <v>1000</v>
      </c>
    </row>
    <row r="10" spans="2:16" ht="15.75" customHeight="1" x14ac:dyDescent="0.25">
      <c r="B10" s="2">
        <f t="shared" si="1"/>
        <v>2030</v>
      </c>
      <c r="C10" s="309">
        <v>2000</v>
      </c>
      <c r="D10" s="9">
        <f t="shared" si="0"/>
        <v>9939.3939393939399</v>
      </c>
      <c r="E10" s="9">
        <f>SUM(C10:D10)*(1+0.07)^-($B10-Assumptions!$D$4)</f>
        <v>6069.3824576084489</v>
      </c>
      <c r="G10" s="311" t="s">
        <v>336</v>
      </c>
      <c r="H10" s="311">
        <v>1700</v>
      </c>
    </row>
    <row r="11" spans="2:16" ht="15.75" customHeight="1" x14ac:dyDescent="0.25">
      <c r="B11" s="2">
        <f t="shared" si="1"/>
        <v>2031</v>
      </c>
      <c r="C11" s="309">
        <v>2000</v>
      </c>
      <c r="D11" s="9">
        <f t="shared" si="0"/>
        <v>9939.3939393939399</v>
      </c>
      <c r="E11" s="9">
        <f>SUM(C11:D11)*(1+0.07)^-($B11-Assumptions!$D$4)</f>
        <v>5672.3200538396713</v>
      </c>
      <c r="G11" s="311" t="s">
        <v>335</v>
      </c>
      <c r="H11" s="311">
        <v>1700</v>
      </c>
    </row>
    <row r="12" spans="2:16" ht="15.75" customHeight="1" x14ac:dyDescent="0.25">
      <c r="B12" s="2">
        <f t="shared" si="1"/>
        <v>2032</v>
      </c>
      <c r="C12" s="309">
        <v>2000</v>
      </c>
      <c r="D12" s="9">
        <f t="shared" si="0"/>
        <v>9939.3939393939399</v>
      </c>
      <c r="E12" s="9">
        <f>SUM(C12:D12)*(1+0.07)^-($B12-Assumptions!$D$4)</f>
        <v>5301.2336951772641</v>
      </c>
      <c r="G12" s="135" t="s">
        <v>7</v>
      </c>
      <c r="H12" s="135">
        <f>SUM(H8:H11)</f>
        <v>6400</v>
      </c>
    </row>
    <row r="13" spans="2:16" ht="15.75" customHeight="1" x14ac:dyDescent="0.25">
      <c r="B13" s="2">
        <f t="shared" si="1"/>
        <v>2033</v>
      </c>
      <c r="C13" s="309">
        <v>2000</v>
      </c>
      <c r="D13" s="9">
        <f t="shared" si="0"/>
        <v>9939.3939393939399</v>
      </c>
      <c r="E13" s="9">
        <f>SUM(C13:D13)*(1+0.07)^-($B13-Assumptions!$D$4)</f>
        <v>4954.4240141843584</v>
      </c>
    </row>
    <row r="14" spans="2:16" ht="15.75" customHeight="1" x14ac:dyDescent="0.25">
      <c r="B14" s="2">
        <f t="shared" si="1"/>
        <v>2034</v>
      </c>
      <c r="C14" s="309">
        <v>2000</v>
      </c>
      <c r="D14" s="9">
        <f t="shared" si="0"/>
        <v>9939.3939393939399</v>
      </c>
      <c r="E14" s="9">
        <f>SUM(C14:D14)*(1+0.07)^-($B14-Assumptions!$D$4)</f>
        <v>4630.3028169947274</v>
      </c>
      <c r="N14" s="312" t="s">
        <v>124</v>
      </c>
      <c r="O14" s="313">
        <f>SUM(C5:C34)</f>
        <v>60000</v>
      </c>
      <c r="P14" s="314">
        <f>MROUND(O14,1000)</f>
        <v>60000</v>
      </c>
    </row>
    <row r="15" spans="2:16" ht="15.75" customHeight="1" x14ac:dyDescent="0.25">
      <c r="B15" s="2">
        <f t="shared" si="1"/>
        <v>2035</v>
      </c>
      <c r="C15" s="309">
        <v>2000</v>
      </c>
      <c r="D15" s="9">
        <f t="shared" si="0"/>
        <v>9939.3939393939399</v>
      </c>
      <c r="E15" s="9">
        <f>SUM(C15:D15)*(1+0.07)^-($B15-Assumptions!$D$4)</f>
        <v>4327.3858102754457</v>
      </c>
      <c r="N15" s="315" t="s">
        <v>125</v>
      </c>
      <c r="O15" s="316">
        <f>SUM(D5:D34)</f>
        <v>298181.81818181823</v>
      </c>
      <c r="P15" s="317">
        <f>MROUND(O15,1000)</f>
        <v>298000</v>
      </c>
    </row>
    <row r="16" spans="2:16" ht="15.75" customHeight="1" x14ac:dyDescent="0.25">
      <c r="B16" s="2">
        <f t="shared" si="1"/>
        <v>2036</v>
      </c>
      <c r="C16" s="309">
        <v>2000</v>
      </c>
      <c r="D16" s="9">
        <f t="shared" si="0"/>
        <v>9939.3939393939399</v>
      </c>
      <c r="E16" s="9">
        <f>SUM(C16:D16)*(1+0.07)^-($B16-Assumptions!$D$4)</f>
        <v>4044.2858039957446</v>
      </c>
    </row>
    <row r="17" spans="2:5" ht="15.75" customHeight="1" x14ac:dyDescent="0.25">
      <c r="B17" s="2">
        <f t="shared" si="1"/>
        <v>2037</v>
      </c>
      <c r="C17" s="309">
        <v>2000</v>
      </c>
      <c r="D17" s="9">
        <f t="shared" si="0"/>
        <v>9939.3939393939399</v>
      </c>
      <c r="E17" s="9">
        <f>SUM(C17:D17)*(1+0.07)^-($B17-Assumptions!$D$4)</f>
        <v>3779.7063588745277</v>
      </c>
    </row>
    <row r="18" spans="2:5" ht="15.75" customHeight="1" x14ac:dyDescent="0.25">
      <c r="B18" s="2">
        <f t="shared" si="1"/>
        <v>2038</v>
      </c>
      <c r="C18" s="309">
        <v>2000</v>
      </c>
      <c r="D18" s="9">
        <f t="shared" si="0"/>
        <v>9939.3939393939399</v>
      </c>
      <c r="E18" s="9">
        <f>SUM(C18:D18)*(1+0.07)^-($B18-Assumptions!$D$4)</f>
        <v>3532.4358494154458</v>
      </c>
    </row>
    <row r="19" spans="2:5" ht="15.75" customHeight="1" x14ac:dyDescent="0.25">
      <c r="B19" s="2">
        <f t="shared" si="1"/>
        <v>2039</v>
      </c>
      <c r="C19" s="309">
        <v>2000</v>
      </c>
      <c r="D19" s="9">
        <f t="shared" si="0"/>
        <v>9939.3939393939399</v>
      </c>
      <c r="E19" s="9">
        <f>SUM(C19:D19)*(1+0.07)^-($B19-Assumptions!$D$4)</f>
        <v>3301.3419153415384</v>
      </c>
    </row>
    <row r="20" spans="2:5" ht="15.75" customHeight="1" x14ac:dyDescent="0.25">
      <c r="B20" s="2">
        <f t="shared" si="1"/>
        <v>2040</v>
      </c>
      <c r="C20" s="309">
        <v>2000</v>
      </c>
      <c r="D20" s="9">
        <f t="shared" si="0"/>
        <v>9939.3939393939399</v>
      </c>
      <c r="E20" s="9">
        <f>SUM(C20:D20)*(1+0.07)^-($B20-Assumptions!$D$4)</f>
        <v>3085.3662760201296</v>
      </c>
    </row>
    <row r="21" spans="2:5" ht="15.75" customHeight="1" x14ac:dyDescent="0.25">
      <c r="B21" s="2">
        <f t="shared" si="1"/>
        <v>2041</v>
      </c>
      <c r="C21" s="309">
        <v>2000</v>
      </c>
      <c r="D21" s="9">
        <f t="shared" si="0"/>
        <v>9939.3939393939399</v>
      </c>
      <c r="E21" s="9">
        <f>SUM(C21:D21)*(1+0.07)^-($B21-Assumptions!$D$4)</f>
        <v>2883.5198841309621</v>
      </c>
    </row>
    <row r="22" spans="2:5" ht="15.75" customHeight="1" x14ac:dyDescent="0.25">
      <c r="B22" s="2">
        <f t="shared" si="1"/>
        <v>2042</v>
      </c>
      <c r="C22" s="309">
        <v>2000</v>
      </c>
      <c r="D22" s="9">
        <f t="shared" si="0"/>
        <v>9939.3939393939399</v>
      </c>
      <c r="E22" s="9">
        <f>SUM(C22:D22)*(1+0.07)^-($B22-Assumptions!$D$4)</f>
        <v>2694.878396384077</v>
      </c>
    </row>
    <row r="23" spans="2:5" ht="15.75" customHeight="1" x14ac:dyDescent="0.25">
      <c r="B23" s="2">
        <f t="shared" si="1"/>
        <v>2043</v>
      </c>
      <c r="C23" s="309">
        <v>2000</v>
      </c>
      <c r="D23" s="9">
        <f t="shared" si="0"/>
        <v>9939.3939393939399</v>
      </c>
      <c r="E23" s="9">
        <f>SUM(C23:D23)*(1+0.07)^-($B23-Assumptions!$D$4)</f>
        <v>2518.5779405458661</v>
      </c>
    </row>
    <row r="24" spans="2:5" ht="15.75" customHeight="1" x14ac:dyDescent="0.25">
      <c r="B24" s="2">
        <f t="shared" si="1"/>
        <v>2044</v>
      </c>
      <c r="C24" s="309">
        <v>2000</v>
      </c>
      <c r="D24" s="9">
        <f t="shared" si="0"/>
        <v>9939.3939393939399</v>
      </c>
      <c r="E24" s="9">
        <f>SUM(C24:D24)*(1+0.07)^-($B24-Assumptions!$D$4)</f>
        <v>2353.8111593886597</v>
      </c>
    </row>
    <row r="25" spans="2:5" ht="15.75" customHeight="1" x14ac:dyDescent="0.25">
      <c r="B25" s="2">
        <f t="shared" si="1"/>
        <v>2045</v>
      </c>
      <c r="C25" s="309">
        <v>2000</v>
      </c>
      <c r="D25" s="9">
        <f t="shared" si="0"/>
        <v>9939.3939393939399</v>
      </c>
      <c r="E25" s="9">
        <f>SUM(C25:D25)*(1+0.07)^-($B25-Assumptions!$D$4)</f>
        <v>2199.8235134473452</v>
      </c>
    </row>
    <row r="26" spans="2:5" ht="15.75" customHeight="1" x14ac:dyDescent="0.25">
      <c r="B26" s="2">
        <f t="shared" si="1"/>
        <v>2046</v>
      </c>
      <c r="C26" s="309">
        <v>2000</v>
      </c>
      <c r="D26" s="9">
        <f t="shared" si="0"/>
        <v>9939.3939393939399</v>
      </c>
      <c r="E26" s="9">
        <f>SUM(C26:D26)*(1+0.07)^-($B26-Assumptions!$D$4)</f>
        <v>2055.909825651725</v>
      </c>
    </row>
    <row r="27" spans="2:5" ht="15.75" customHeight="1" x14ac:dyDescent="0.25">
      <c r="B27" s="2">
        <f t="shared" si="1"/>
        <v>2047</v>
      </c>
      <c r="C27" s="309">
        <v>2000</v>
      </c>
      <c r="D27" s="9">
        <f t="shared" si="0"/>
        <v>9939.3939393939399</v>
      </c>
      <c r="E27" s="9">
        <f>SUM(C27:D27)*(1+0.07)^-($B27-Assumptions!$D$4)</f>
        <v>1921.4110520109575</v>
      </c>
    </row>
    <row r="28" spans="2:5" ht="15.75" customHeight="1" x14ac:dyDescent="0.25">
      <c r="B28" s="2">
        <f t="shared" si="1"/>
        <v>2048</v>
      </c>
      <c r="C28" s="309">
        <v>2000</v>
      </c>
      <c r="D28" s="9">
        <f t="shared" si="0"/>
        <v>9939.3939393939399</v>
      </c>
      <c r="E28" s="9">
        <f>SUM(C28:D28)*(1+0.07)^-($B28-Assumptions!$D$4)</f>
        <v>1795.7112635616427</v>
      </c>
    </row>
    <row r="29" spans="2:5" ht="15.75" customHeight="1" x14ac:dyDescent="0.25">
      <c r="B29" s="2">
        <f t="shared" si="1"/>
        <v>2049</v>
      </c>
      <c r="C29" s="309">
        <v>2000</v>
      </c>
      <c r="D29" s="9">
        <f t="shared" si="0"/>
        <v>9939.3939393939399</v>
      </c>
      <c r="E29" s="9">
        <f>SUM(C29:D29)*(1+0.07)^-($B29-Assumptions!$D$4)</f>
        <v>1678.2348257585447</v>
      </c>
    </row>
    <row r="30" spans="2:5" ht="15.75" customHeight="1" x14ac:dyDescent="0.25">
      <c r="B30" s="2">
        <f t="shared" si="1"/>
        <v>2050</v>
      </c>
      <c r="C30" s="309">
        <v>2000</v>
      </c>
      <c r="D30" s="9">
        <f t="shared" si="0"/>
        <v>9939.3939393939399</v>
      </c>
      <c r="E30" s="9">
        <f>SUM(C30:D30)*(1+0.07)^-($B30-Assumptions!$D$4)</f>
        <v>1568.4437623911633</v>
      </c>
    </row>
    <row r="31" spans="2:5" ht="15.75" customHeight="1" x14ac:dyDescent="0.25">
      <c r="B31" s="2">
        <f t="shared" si="1"/>
        <v>2051</v>
      </c>
      <c r="C31" s="309">
        <v>2000</v>
      </c>
      <c r="D31" s="9">
        <f t="shared" si="0"/>
        <v>9939.3939393939399</v>
      </c>
      <c r="E31" s="9">
        <f>SUM(C31:D31)*(1+0.07)^-($B31-Assumptions!$D$4)</f>
        <v>1465.8352919543579</v>
      </c>
    </row>
    <row r="32" spans="2:5" ht="15.75" customHeight="1" x14ac:dyDescent="0.25">
      <c r="B32" s="2">
        <f t="shared" si="1"/>
        <v>2052</v>
      </c>
      <c r="C32" s="309">
        <v>2000</v>
      </c>
      <c r="D32" s="9">
        <f t="shared" si="0"/>
        <v>9939.3939393939399</v>
      </c>
      <c r="E32" s="9">
        <f>SUM(C32:D32)*(1+0.07)^-($B32-Assumptions!$D$4)</f>
        <v>1369.9395251909887</v>
      </c>
    </row>
    <row r="33" spans="1:5" ht="15.75" customHeight="1" x14ac:dyDescent="0.25">
      <c r="B33" s="2">
        <f t="shared" si="1"/>
        <v>2053</v>
      </c>
      <c r="C33" s="309">
        <v>2000</v>
      </c>
      <c r="D33" s="9">
        <f t="shared" si="0"/>
        <v>9939.3939393939399</v>
      </c>
      <c r="E33" s="9">
        <f>SUM(C33:D33)*(1+0.07)^-($B33-Assumptions!$D$4)</f>
        <v>1280.3173132626064</v>
      </c>
    </row>
    <row r="34" spans="1:5" ht="15.75" customHeight="1" thickBot="1" x14ac:dyDescent="0.3">
      <c r="B34" s="3">
        <f t="shared" si="1"/>
        <v>2054</v>
      </c>
      <c r="C34" s="26">
        <v>2000</v>
      </c>
      <c r="D34" s="10">
        <f t="shared" si="0"/>
        <v>9939.3939393939399</v>
      </c>
      <c r="E34" s="10">
        <f>SUM(C34:D34)*(1+0.07)^-($B34-Assumptions!$D$4)</f>
        <v>1196.5582366940248</v>
      </c>
    </row>
    <row r="35" spans="1:5" ht="15.75" customHeight="1" x14ac:dyDescent="0.25">
      <c r="B35" s="4"/>
      <c r="C35" s="6">
        <f>SUM(C5:C34)</f>
        <v>60000</v>
      </c>
      <c r="D35" s="11">
        <f>SUM(D5:D34)</f>
        <v>298181.81818181823</v>
      </c>
      <c r="E35" s="6">
        <f>SUM(E5:E34)</f>
        <v>113027.83192026931</v>
      </c>
    </row>
    <row r="36" spans="1:5" ht="15.75" customHeight="1" x14ac:dyDescent="0.25">
      <c r="B36" s="4"/>
      <c r="C36" s="4"/>
      <c r="D36" s="6"/>
      <c r="E36" s="148"/>
    </row>
    <row r="37" spans="1:5" ht="15.75" customHeight="1" x14ac:dyDescent="0.25"/>
    <row r="38" spans="1:5" ht="15.75" customHeight="1" x14ac:dyDescent="0.25">
      <c r="B38" s="12" t="s">
        <v>3</v>
      </c>
    </row>
    <row r="39" spans="1:5" ht="15.75" customHeight="1" x14ac:dyDescent="0.25">
      <c r="A39" s="13" t="s">
        <v>53</v>
      </c>
      <c r="B39" s="493" t="s">
        <v>342</v>
      </c>
      <c r="C39" s="493"/>
      <c r="D39" s="493"/>
      <c r="E39" s="493"/>
    </row>
    <row r="40" spans="1:5" ht="15.75" customHeight="1" x14ac:dyDescent="0.25">
      <c r="B40" s="493"/>
      <c r="C40" s="493"/>
      <c r="D40" s="493"/>
      <c r="E40" s="493"/>
    </row>
    <row r="41" spans="1:5" ht="15.75" customHeight="1" x14ac:dyDescent="0.25">
      <c r="B41" s="493"/>
      <c r="C41" s="493"/>
      <c r="D41" s="493"/>
      <c r="E41" s="493"/>
    </row>
    <row r="42" spans="1:5" ht="15.75" customHeight="1" x14ac:dyDescent="0.25">
      <c r="B42" s="493"/>
      <c r="C42" s="493"/>
      <c r="D42" s="493"/>
      <c r="E42" s="493"/>
    </row>
    <row r="43" spans="1:5" ht="15.75" customHeight="1" x14ac:dyDescent="0.25">
      <c r="A43" s="13"/>
      <c r="B43" s="493"/>
      <c r="C43" s="493"/>
      <c r="D43" s="493"/>
      <c r="E43" s="493"/>
    </row>
    <row r="44" spans="1:5" ht="15.75" customHeight="1" x14ac:dyDescent="0.25">
      <c r="B44" s="493"/>
      <c r="C44" s="493"/>
      <c r="D44" s="493"/>
      <c r="E44" s="493"/>
    </row>
    <row r="45" spans="1:5" ht="15.75" customHeight="1" x14ac:dyDescent="0.25">
      <c r="A45" s="13"/>
      <c r="B45" s="493"/>
      <c r="C45" s="493"/>
      <c r="D45" s="493"/>
      <c r="E45" s="493"/>
    </row>
    <row r="46" spans="1:5" x14ac:dyDescent="0.25">
      <c r="B46" s="493"/>
      <c r="C46" s="493"/>
      <c r="D46" s="493"/>
      <c r="E46" s="493"/>
    </row>
    <row r="47" spans="1:5" x14ac:dyDescent="0.25">
      <c r="B47" s="493"/>
      <c r="C47" s="493"/>
      <c r="D47" s="493"/>
      <c r="E47" s="493"/>
    </row>
    <row r="48" spans="1:5" x14ac:dyDescent="0.25">
      <c r="B48" s="493"/>
      <c r="C48" s="493"/>
      <c r="D48" s="493"/>
      <c r="E48" s="493"/>
    </row>
    <row r="49" spans="1:5" x14ac:dyDescent="0.25">
      <c r="B49" s="493"/>
      <c r="C49" s="493"/>
      <c r="D49" s="493"/>
      <c r="E49" s="493"/>
    </row>
    <row r="50" spans="1:5" x14ac:dyDescent="0.25">
      <c r="B50" s="101"/>
      <c r="C50" s="101"/>
      <c r="D50" s="101"/>
    </row>
    <row r="51" spans="1:5" ht="15" customHeight="1" x14ac:dyDescent="0.25">
      <c r="B51" s="101"/>
      <c r="C51" s="101"/>
      <c r="D51" s="101"/>
    </row>
    <row r="55" spans="1:5" x14ac:dyDescent="0.25">
      <c r="A55" s="13"/>
    </row>
    <row r="57" spans="1:5" ht="15" customHeight="1" x14ac:dyDescent="0.25"/>
    <row r="61" spans="1:5" x14ac:dyDescent="0.25">
      <c r="A61" s="13"/>
    </row>
  </sheetData>
  <mergeCells count="5">
    <mergeCell ref="E3:E4"/>
    <mergeCell ref="B3:B4"/>
    <mergeCell ref="C3:C4"/>
    <mergeCell ref="D3:D4"/>
    <mergeCell ref="B39:E49"/>
  </mergeCells>
  <pageMargins left="0.25" right="0.25" top="0.75" bottom="0.75" header="0.3" footer="0.3"/>
  <pageSetup paperSize="3"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1447E-4568-464D-AE1B-323783893167}">
  <sheetPr>
    <tabColor rgb="FFC00000"/>
    <pageSetUpPr fitToPage="1"/>
  </sheetPr>
  <dimension ref="A1:W70"/>
  <sheetViews>
    <sheetView view="pageBreakPreview" zoomScale="85" zoomScaleNormal="85" zoomScaleSheetLayoutView="85" workbookViewId="0">
      <selection activeCell="H14" sqref="H14"/>
    </sheetView>
  </sheetViews>
  <sheetFormatPr defaultRowHeight="15" x14ac:dyDescent="0.25"/>
  <cols>
    <col min="1" max="1" width="9.140625" style="127"/>
    <col min="2" max="5" width="15.7109375" style="127" customWidth="1"/>
    <col min="6" max="7" width="15.5703125" style="127" customWidth="1"/>
    <col min="8" max="8" width="12.5703125" style="127" customWidth="1"/>
    <col min="9" max="9" width="25.42578125" style="127" customWidth="1"/>
    <col min="10" max="10" width="20.28515625" style="127" bestFit="1" customWidth="1"/>
    <col min="11" max="11" width="22.5703125" style="127" bestFit="1" customWidth="1"/>
    <col min="12" max="15" width="22.7109375" style="127" customWidth="1"/>
    <col min="16" max="16" width="9.140625" style="127"/>
    <col min="17" max="17" width="5" style="170" customWidth="1"/>
    <col min="18" max="18" width="45" style="170" customWidth="1"/>
    <col min="19" max="20" width="9" style="170" customWidth="1"/>
    <col min="21" max="22" width="13.85546875" style="170" customWidth="1"/>
    <col min="23" max="16384" width="9.140625" style="127"/>
  </cols>
  <sheetData>
    <row r="1" spans="2:23" x14ac:dyDescent="0.25">
      <c r="C1" s="127">
        <v>2</v>
      </c>
    </row>
    <row r="2" spans="2:23" ht="15.75" thickBot="1" x14ac:dyDescent="0.3">
      <c r="B2" s="12" t="s">
        <v>29</v>
      </c>
    </row>
    <row r="3" spans="2:23" ht="22.5" customHeight="1" x14ac:dyDescent="0.25">
      <c r="B3" s="506" t="s">
        <v>0</v>
      </c>
      <c r="C3" s="543" t="s">
        <v>322</v>
      </c>
      <c r="D3" s="503" t="s">
        <v>1</v>
      </c>
      <c r="E3" s="543" t="s">
        <v>323</v>
      </c>
      <c r="F3" s="499" t="s">
        <v>87</v>
      </c>
      <c r="G3" s="274"/>
    </row>
    <row r="4" spans="2:23" ht="22.5" customHeight="1" thickBot="1" x14ac:dyDescent="0.3">
      <c r="B4" s="507"/>
      <c r="C4" s="544"/>
      <c r="D4" s="504"/>
      <c r="E4" s="544"/>
      <c r="F4" s="500"/>
      <c r="G4" s="274"/>
      <c r="I4" s="12" t="s">
        <v>39</v>
      </c>
    </row>
    <row r="5" spans="2:23" ht="15.75" customHeight="1" x14ac:dyDescent="0.25">
      <c r="B5" s="19">
        <f>Assumptions!D5</f>
        <v>2023</v>
      </c>
      <c r="C5" s="139">
        <f>$K$20*(_xlfn.XLOOKUP($B5,$I$6:$I$7,$J$6:$J$7)/$J$8)</f>
        <v>6741964.2857142854</v>
      </c>
      <c r="D5" s="20">
        <f>C5*(1+0.07)^-($B5-Assumptions!$D$4)</f>
        <v>5503451.1325025195</v>
      </c>
      <c r="E5" s="23" t="s">
        <v>27</v>
      </c>
      <c r="F5" s="20" t="str">
        <f>+E5</f>
        <v>N/A</v>
      </c>
      <c r="I5" s="344" t="s">
        <v>26</v>
      </c>
      <c r="J5" s="345">
        <f>Assumptions!D6</f>
        <v>2</v>
      </c>
      <c r="Q5" s="433"/>
    </row>
    <row r="6" spans="2:23" ht="15.75" customHeight="1" thickBot="1" x14ac:dyDescent="0.3">
      <c r="B6" s="399">
        <f>B5+1</f>
        <v>2024</v>
      </c>
      <c r="C6" s="450">
        <f>$K$20*(_xlfn.XLOOKUP($B6,$I$6:$I$7,$J$6:$J$7)/$J$8)</f>
        <v>24720535.714285713</v>
      </c>
      <c r="D6" s="451">
        <f>C6*(1+0.07)^-($B6-Assumptions!$D$4)</f>
        <v>18859178.335678417</v>
      </c>
      <c r="E6" s="452" t="s">
        <v>27</v>
      </c>
      <c r="F6" s="451" t="str">
        <f t="shared" ref="F6:F35" si="0">+E6</f>
        <v>N/A</v>
      </c>
      <c r="I6" s="231">
        <v>2023</v>
      </c>
      <c r="J6" s="346">
        <v>3</v>
      </c>
      <c r="Q6" s="551"/>
      <c r="R6" s="551"/>
      <c r="S6" s="551"/>
      <c r="T6" s="551"/>
      <c r="U6" s="551"/>
      <c r="V6" s="551"/>
    </row>
    <row r="7" spans="2:23" ht="15.75" customHeight="1" x14ac:dyDescent="0.25">
      <c r="B7" s="1">
        <f>B6+1</f>
        <v>2025</v>
      </c>
      <c r="C7" s="139"/>
      <c r="D7" s="453">
        <f>C7*(1+0.07)^-($B7-Assumptions!$D$4)</f>
        <v>0</v>
      </c>
      <c r="E7" s="454" t="s">
        <v>27</v>
      </c>
      <c r="F7" s="453" t="str">
        <f t="shared" si="0"/>
        <v>N/A</v>
      </c>
      <c r="I7" s="231">
        <v>2024</v>
      </c>
      <c r="J7" s="346">
        <v>11</v>
      </c>
      <c r="Q7" s="552"/>
      <c r="R7" s="553"/>
      <c r="S7" s="553"/>
      <c r="T7" s="553"/>
      <c r="U7" s="553"/>
      <c r="V7" s="554"/>
    </row>
    <row r="8" spans="2:23" ht="15.75" customHeight="1" thickBot="1" x14ac:dyDescent="0.3">
      <c r="B8" s="320">
        <f>+B7+1</f>
        <v>2026</v>
      </c>
      <c r="C8" s="140"/>
      <c r="D8" s="321">
        <f>C8*(1+0.07)^-($B8-Assumptions!$D$4)</f>
        <v>0</v>
      </c>
      <c r="E8" s="322" t="s">
        <v>27</v>
      </c>
      <c r="F8" s="321" t="str">
        <f t="shared" si="0"/>
        <v>N/A</v>
      </c>
      <c r="I8" s="233" t="s">
        <v>144</v>
      </c>
      <c r="J8" s="347">
        <f>SUM(J6:J7)</f>
        <v>14</v>
      </c>
      <c r="Q8" s="555" t="s">
        <v>236</v>
      </c>
      <c r="R8" s="556"/>
      <c r="S8" s="434" t="s">
        <v>237</v>
      </c>
      <c r="T8" s="435" t="s">
        <v>238</v>
      </c>
      <c r="U8" s="435" t="s">
        <v>239</v>
      </c>
      <c r="V8" s="435" t="s">
        <v>240</v>
      </c>
    </row>
    <row r="9" spans="2:23" ht="15.75" customHeight="1" thickBot="1" x14ac:dyDescent="0.3">
      <c r="B9" s="2">
        <f t="shared" ref="B9:B27" si="1">+B8+1</f>
        <v>2027</v>
      </c>
      <c r="C9" s="7"/>
      <c r="D9" s="9">
        <f>C9*(1+0.07)^-($B9-Assumptions!$D$4)</f>
        <v>0</v>
      </c>
      <c r="E9" s="7" t="s">
        <v>27</v>
      </c>
      <c r="F9" s="9" t="str">
        <f t="shared" ref="F9:F10" si="2">+E9</f>
        <v>N/A</v>
      </c>
      <c r="J9" s="21"/>
      <c r="Q9" s="549" t="s">
        <v>241</v>
      </c>
      <c r="R9" s="550"/>
      <c r="S9" s="436"/>
      <c r="T9" s="436"/>
      <c r="U9" s="436"/>
      <c r="V9" s="436"/>
    </row>
    <row r="10" spans="2:23" ht="15.75" customHeight="1" x14ac:dyDescent="0.25">
      <c r="B10" s="2">
        <f t="shared" si="1"/>
        <v>2028</v>
      </c>
      <c r="C10" s="7"/>
      <c r="D10" s="9">
        <f>C10*(1+0.07)^-($B10-Assumptions!$D$4)</f>
        <v>0</v>
      </c>
      <c r="E10" s="7" t="s">
        <v>27</v>
      </c>
      <c r="F10" s="9" t="str">
        <f t="shared" si="2"/>
        <v>N/A</v>
      </c>
      <c r="I10" s="245" t="s">
        <v>40</v>
      </c>
      <c r="J10" s="246"/>
      <c r="K10" s="247"/>
      <c r="P10" s="127">
        <v>6</v>
      </c>
      <c r="Q10" s="436"/>
      <c r="R10" s="437" t="s">
        <v>242</v>
      </c>
      <c r="S10" s="438" t="s">
        <v>243</v>
      </c>
      <c r="T10" s="439">
        <v>74312</v>
      </c>
      <c r="U10" s="440" t="s">
        <v>244</v>
      </c>
      <c r="V10" s="350">
        <v>445900</v>
      </c>
      <c r="W10" s="168"/>
    </row>
    <row r="11" spans="2:23" ht="15.75" customHeight="1" x14ac:dyDescent="0.25">
      <c r="B11" s="2">
        <f t="shared" si="1"/>
        <v>2029</v>
      </c>
      <c r="C11" s="7"/>
      <c r="D11" s="9">
        <f>C11*(1+0.07)^-($B11-Assumptions!$D$4)</f>
        <v>0</v>
      </c>
      <c r="E11" s="7" t="s">
        <v>27</v>
      </c>
      <c r="F11" s="9" t="str">
        <f t="shared" ref="F11:F20" si="3">+E11</f>
        <v>N/A</v>
      </c>
      <c r="I11" s="249"/>
      <c r="J11" s="66"/>
      <c r="K11" s="201" t="s">
        <v>4</v>
      </c>
      <c r="P11" s="127">
        <v>6</v>
      </c>
      <c r="Q11" s="436"/>
      <c r="R11" s="437" t="s">
        <v>245</v>
      </c>
      <c r="S11" s="438" t="s">
        <v>243</v>
      </c>
      <c r="T11" s="439">
        <v>5390</v>
      </c>
      <c r="U11" s="440" t="s">
        <v>246</v>
      </c>
      <c r="V11" s="350">
        <v>37800</v>
      </c>
      <c r="W11" s="168"/>
    </row>
    <row r="12" spans="2:23" ht="15.75" customHeight="1" x14ac:dyDescent="0.25">
      <c r="B12" s="2">
        <f t="shared" si="1"/>
        <v>2030</v>
      </c>
      <c r="C12" s="7"/>
      <c r="D12" s="9">
        <f>C12*(1+0.07)^-($B12-Assumptions!$D$4)</f>
        <v>0</v>
      </c>
      <c r="E12" s="7" t="s">
        <v>27</v>
      </c>
      <c r="F12" s="9" t="str">
        <f t="shared" si="3"/>
        <v>N/A</v>
      </c>
      <c r="I12" s="228"/>
      <c r="J12" s="67"/>
      <c r="K12" s="202" t="s">
        <v>5</v>
      </c>
      <c r="P12" s="127">
        <v>6</v>
      </c>
      <c r="Q12" s="436"/>
      <c r="R12" s="437" t="s">
        <v>247</v>
      </c>
      <c r="S12" s="438" t="s">
        <v>248</v>
      </c>
      <c r="T12" s="439">
        <v>3762</v>
      </c>
      <c r="U12" s="440" t="s">
        <v>249</v>
      </c>
      <c r="V12" s="350">
        <v>11300</v>
      </c>
      <c r="W12" s="168"/>
    </row>
    <row r="13" spans="2:23" ht="15.75" customHeight="1" x14ac:dyDescent="0.25">
      <c r="B13" s="2">
        <f t="shared" si="1"/>
        <v>2031</v>
      </c>
      <c r="C13" s="7"/>
      <c r="D13" s="9">
        <f>C13*(1+0.07)^-($B13-Assumptions!$D$4)</f>
        <v>0</v>
      </c>
      <c r="E13" s="7" t="s">
        <v>27</v>
      </c>
      <c r="F13" s="9" t="str">
        <f t="shared" si="3"/>
        <v>N/A</v>
      </c>
      <c r="I13" s="229" t="s">
        <v>6</v>
      </c>
      <c r="J13" s="68" t="s">
        <v>45</v>
      </c>
      <c r="K13" s="68" t="s">
        <v>11</v>
      </c>
      <c r="P13" s="127">
        <v>3</v>
      </c>
      <c r="Q13" s="436"/>
      <c r="R13" s="437" t="s">
        <v>250</v>
      </c>
      <c r="S13" s="438" t="s">
        <v>251</v>
      </c>
      <c r="T13" s="439">
        <v>10000</v>
      </c>
      <c r="U13" s="440" t="s">
        <v>252</v>
      </c>
      <c r="V13" s="350">
        <v>100000</v>
      </c>
      <c r="W13" s="168"/>
    </row>
    <row r="14" spans="2:23" ht="15.75" customHeight="1" x14ac:dyDescent="0.25">
      <c r="B14" s="2">
        <f t="shared" si="1"/>
        <v>2032</v>
      </c>
      <c r="C14" s="7"/>
      <c r="D14" s="9">
        <f>C14*(1+0.07)^-($B14-Assumptions!$D$4)</f>
        <v>0</v>
      </c>
      <c r="E14" s="7" t="s">
        <v>27</v>
      </c>
      <c r="F14" s="9" t="str">
        <f t="shared" si="3"/>
        <v>N/A</v>
      </c>
      <c r="H14" s="127">
        <v>1</v>
      </c>
      <c r="I14" s="250" t="s">
        <v>60</v>
      </c>
      <c r="J14" s="203">
        <v>100</v>
      </c>
      <c r="K14" s="14">
        <f t="shared" ref="K14" si="4">SUMIF($P$10:$P$53,$H14,$V$10:$V$53)</f>
        <v>1000000</v>
      </c>
      <c r="M14" s="359" t="s">
        <v>164</v>
      </c>
      <c r="N14" s="359" t="s">
        <v>235</v>
      </c>
      <c r="P14" s="127">
        <v>3</v>
      </c>
      <c r="Q14" s="436"/>
      <c r="R14" s="437" t="s">
        <v>253</v>
      </c>
      <c r="S14" s="438" t="s">
        <v>251</v>
      </c>
      <c r="T14" s="439">
        <v>88000</v>
      </c>
      <c r="U14" s="440" t="s">
        <v>254</v>
      </c>
      <c r="V14" s="350">
        <v>704000</v>
      </c>
      <c r="W14" s="168"/>
    </row>
    <row r="15" spans="2:23" ht="15.75" customHeight="1" x14ac:dyDescent="0.25">
      <c r="B15" s="2">
        <f t="shared" si="1"/>
        <v>2033</v>
      </c>
      <c r="C15" s="7"/>
      <c r="D15" s="9">
        <f>C15*(1+0.07)^-($B15-Assumptions!$D$4)</f>
        <v>0</v>
      </c>
      <c r="E15" s="7" t="s">
        <v>27</v>
      </c>
      <c r="F15" s="9" t="str">
        <f t="shared" si="3"/>
        <v>N/A</v>
      </c>
      <c r="H15" s="127">
        <v>2</v>
      </c>
      <c r="I15" s="250" t="s">
        <v>61</v>
      </c>
      <c r="J15" s="204">
        <v>60</v>
      </c>
      <c r="K15" s="16">
        <f>SUMIF($P$10:$P$53,$H15,$V$10:$V$53)</f>
        <v>9003400</v>
      </c>
      <c r="M15" s="350">
        <v>4300000</v>
      </c>
      <c r="N15" s="350">
        <v>4429000</v>
      </c>
      <c r="P15" s="45">
        <v>4</v>
      </c>
      <c r="Q15" s="441">
        <v>-1</v>
      </c>
      <c r="R15" s="437" t="s">
        <v>255</v>
      </c>
      <c r="S15" s="438" t="s">
        <v>251</v>
      </c>
      <c r="T15" s="439">
        <v>23988</v>
      </c>
      <c r="U15" s="440" t="s">
        <v>256</v>
      </c>
      <c r="V15" s="350">
        <v>839600</v>
      </c>
      <c r="W15" s="168"/>
    </row>
    <row r="16" spans="2:23" ht="15.75" customHeight="1" x14ac:dyDescent="0.25">
      <c r="B16" s="2">
        <f t="shared" si="1"/>
        <v>2034</v>
      </c>
      <c r="C16" s="7"/>
      <c r="D16" s="9">
        <f>C16*(1+0.07)^-($B16-Assumptions!$D$4)</f>
        <v>0</v>
      </c>
      <c r="E16" s="7" t="s">
        <v>27</v>
      </c>
      <c r="F16" s="9" t="str">
        <f t="shared" si="3"/>
        <v>N/A</v>
      </c>
      <c r="H16" s="127">
        <v>3</v>
      </c>
      <c r="I16" s="250" t="s">
        <v>62</v>
      </c>
      <c r="J16" s="204">
        <v>50</v>
      </c>
      <c r="K16" s="16">
        <f t="shared" ref="K16:K19" si="5">SUMIF($P$10:$P$53,$H16,$V$10:$V$53)</f>
        <v>3832200</v>
      </c>
      <c r="M16" s="350">
        <v>7159737.4981256649</v>
      </c>
      <c r="N16" s="350">
        <v>7374529.6230694354</v>
      </c>
      <c r="P16" s="45">
        <v>3</v>
      </c>
      <c r="Q16" s="441">
        <v>-1</v>
      </c>
      <c r="R16" s="437" t="s">
        <v>257</v>
      </c>
      <c r="S16" s="438" t="s">
        <v>251</v>
      </c>
      <c r="T16" s="439">
        <v>47109</v>
      </c>
      <c r="U16" s="440" t="s">
        <v>258</v>
      </c>
      <c r="V16" s="350">
        <v>612500</v>
      </c>
      <c r="W16" s="168"/>
    </row>
    <row r="17" spans="2:23" ht="15.75" customHeight="1" x14ac:dyDescent="0.25">
      <c r="B17" s="2">
        <f t="shared" si="1"/>
        <v>2035</v>
      </c>
      <c r="C17" s="7"/>
      <c r="D17" s="9">
        <f>C17*(1+0.07)^-($B17-Assumptions!$D$4)</f>
        <v>0</v>
      </c>
      <c r="E17" s="7" t="s">
        <v>27</v>
      </c>
      <c r="F17" s="9" t="str">
        <f t="shared" si="3"/>
        <v>N/A</v>
      </c>
      <c r="H17" s="127">
        <v>4</v>
      </c>
      <c r="I17" s="250" t="s">
        <v>63</v>
      </c>
      <c r="J17" s="204">
        <v>40</v>
      </c>
      <c r="K17" s="16">
        <f t="shared" si="5"/>
        <v>1089600</v>
      </c>
      <c r="M17" s="350">
        <v>6184813.051371783</v>
      </c>
      <c r="N17" s="350">
        <v>6370357.4429129362</v>
      </c>
      <c r="P17" s="45">
        <v>5</v>
      </c>
      <c r="Q17" s="436"/>
      <c r="R17" s="437" t="s">
        <v>259</v>
      </c>
      <c r="S17" s="438" t="s">
        <v>243</v>
      </c>
      <c r="T17" s="442">
        <v>798</v>
      </c>
      <c r="U17" s="440" t="s">
        <v>260</v>
      </c>
      <c r="V17" s="350">
        <v>67800</v>
      </c>
      <c r="W17" s="168"/>
    </row>
    <row r="18" spans="2:23" ht="15.75" customHeight="1" x14ac:dyDescent="0.25">
      <c r="B18" s="2">
        <f t="shared" si="1"/>
        <v>2036</v>
      </c>
      <c r="C18" s="7"/>
      <c r="D18" s="9">
        <f>C18*(1+0.07)^-($B18-Assumptions!$D$4)</f>
        <v>0</v>
      </c>
      <c r="E18" s="7" t="s">
        <v>27</v>
      </c>
      <c r="F18" s="9" t="str">
        <f t="shared" si="3"/>
        <v>N/A</v>
      </c>
      <c r="H18" s="127">
        <v>5</v>
      </c>
      <c r="I18" s="250" t="s">
        <v>64</v>
      </c>
      <c r="J18" s="204">
        <v>25</v>
      </c>
      <c r="K18" s="16">
        <f t="shared" si="5"/>
        <v>5264200</v>
      </c>
      <c r="M18" s="350">
        <v>6732384.2494936399</v>
      </c>
      <c r="N18" s="350">
        <v>6934355.776978449</v>
      </c>
      <c r="P18" s="45">
        <v>5</v>
      </c>
      <c r="Q18" s="441">
        <v>-3</v>
      </c>
      <c r="R18" s="437" t="s">
        <v>261</v>
      </c>
      <c r="S18" s="443" t="s">
        <v>262</v>
      </c>
      <c r="T18" s="442">
        <v>418</v>
      </c>
      <c r="U18" s="440" t="s">
        <v>263</v>
      </c>
      <c r="V18" s="350">
        <v>31400</v>
      </c>
      <c r="W18" s="168"/>
    </row>
    <row r="19" spans="2:23" ht="15.75" customHeight="1" x14ac:dyDescent="0.25">
      <c r="B19" s="2">
        <f t="shared" si="1"/>
        <v>2037</v>
      </c>
      <c r="C19" s="7"/>
      <c r="D19" s="9">
        <f>C19*(1+0.07)^-($B19-Assumptions!$D$4)</f>
        <v>0</v>
      </c>
      <c r="E19" s="7" t="s">
        <v>27</v>
      </c>
      <c r="F19" s="9" t="str">
        <f t="shared" si="3"/>
        <v>N/A</v>
      </c>
      <c r="H19" s="127">
        <v>6</v>
      </c>
      <c r="I19" s="250" t="s">
        <v>65</v>
      </c>
      <c r="J19" s="205">
        <v>0</v>
      </c>
      <c r="K19" s="18">
        <f t="shared" si="5"/>
        <v>11273100</v>
      </c>
      <c r="M19" s="350">
        <v>7144185.5410652496</v>
      </c>
      <c r="N19" s="350">
        <v>7358511.1072972072</v>
      </c>
      <c r="P19" s="45">
        <v>5</v>
      </c>
      <c r="Q19" s="441">
        <v>-1</v>
      </c>
      <c r="R19" s="437" t="s">
        <v>264</v>
      </c>
      <c r="S19" s="443" t="s">
        <v>262</v>
      </c>
      <c r="T19" s="439">
        <v>41263</v>
      </c>
      <c r="U19" s="440" t="s">
        <v>265</v>
      </c>
      <c r="V19" s="350">
        <v>3301100</v>
      </c>
      <c r="W19" s="168"/>
    </row>
    <row r="20" spans="2:23" ht="15.75" customHeight="1" thickBot="1" x14ac:dyDescent="0.3">
      <c r="B20" s="2">
        <f t="shared" si="1"/>
        <v>2038</v>
      </c>
      <c r="C20" s="7"/>
      <c r="D20" s="9">
        <f>C20*(1+0.07)^-($B20-Assumptions!$D$4)</f>
        <v>0</v>
      </c>
      <c r="E20" s="7" t="s">
        <v>27</v>
      </c>
      <c r="F20" s="9" t="str">
        <f t="shared" si="3"/>
        <v>N/A</v>
      </c>
      <c r="I20" s="251" t="s">
        <v>7</v>
      </c>
      <c r="J20" s="248"/>
      <c r="K20" s="244">
        <f>SUM(K14:K19)</f>
        <v>31462500</v>
      </c>
      <c r="M20" s="350">
        <v>11521817.159943666</v>
      </c>
      <c r="N20" s="350">
        <v>11867471.674741976</v>
      </c>
      <c r="P20" s="45">
        <v>5</v>
      </c>
      <c r="Q20" s="436"/>
      <c r="R20" s="437" t="s">
        <v>266</v>
      </c>
      <c r="S20" s="438" t="s">
        <v>248</v>
      </c>
      <c r="T20" s="439">
        <v>15829</v>
      </c>
      <c r="U20" s="440" t="s">
        <v>267</v>
      </c>
      <c r="V20" s="350">
        <v>332500</v>
      </c>
      <c r="W20" s="168"/>
    </row>
    <row r="21" spans="2:23" ht="15.75" customHeight="1" thickBot="1" x14ac:dyDescent="0.3">
      <c r="B21" s="2">
        <f t="shared" si="1"/>
        <v>2039</v>
      </c>
      <c r="C21" s="7"/>
      <c r="D21" s="9">
        <f>C21*(1+0.07)^-($B21-Assumptions!$D$4)</f>
        <v>0</v>
      </c>
      <c r="E21" s="7" t="s">
        <v>27</v>
      </c>
      <c r="F21" s="9" t="str">
        <f t="shared" ref="F21:F27" si="6">+E21</f>
        <v>N/A</v>
      </c>
      <c r="I21" s="143"/>
      <c r="J21" s="53"/>
      <c r="K21" s="144"/>
      <c r="M21" s="350">
        <v>43042937.5</v>
      </c>
      <c r="N21" s="350">
        <v>44334225.625</v>
      </c>
      <c r="P21" s="45">
        <v>5</v>
      </c>
      <c r="Q21" s="436"/>
      <c r="R21" s="437" t="s">
        <v>268</v>
      </c>
      <c r="S21" s="438" t="s">
        <v>248</v>
      </c>
      <c r="T21" s="439">
        <v>2530</v>
      </c>
      <c r="U21" s="440" t="s">
        <v>269</v>
      </c>
      <c r="V21" s="350">
        <v>506000</v>
      </c>
      <c r="W21" s="168"/>
    </row>
    <row r="22" spans="2:23" ht="15.75" customHeight="1" x14ac:dyDescent="0.25">
      <c r="B22" s="2">
        <f t="shared" si="1"/>
        <v>2040</v>
      </c>
      <c r="C22" s="7"/>
      <c r="D22" s="9">
        <f>C22*(1+0.07)^-($B22-Assumptions!$D$4)</f>
        <v>0</v>
      </c>
      <c r="E22" s="7" t="s">
        <v>27</v>
      </c>
      <c r="F22" s="9" t="str">
        <f t="shared" si="6"/>
        <v>N/A</v>
      </c>
      <c r="I22" s="235" t="s">
        <v>41</v>
      </c>
      <c r="J22" s="236"/>
      <c r="K22" s="545"/>
      <c r="L22" s="546"/>
      <c r="P22" s="127">
        <v>5</v>
      </c>
      <c r="Q22" s="436"/>
      <c r="R22" s="437" t="s">
        <v>270</v>
      </c>
      <c r="S22" s="438" t="s">
        <v>271</v>
      </c>
      <c r="T22" s="439">
        <v>17100</v>
      </c>
      <c r="U22" s="440" t="s">
        <v>246</v>
      </c>
      <c r="V22" s="350">
        <v>119700</v>
      </c>
      <c r="W22" s="168"/>
    </row>
    <row r="23" spans="2:23" ht="15.75" customHeight="1" x14ac:dyDescent="0.25">
      <c r="B23" s="2">
        <f t="shared" si="1"/>
        <v>2041</v>
      </c>
      <c r="C23" s="7"/>
      <c r="D23" s="9">
        <f>C23*(1+0.07)^-($B23-Assumptions!$D$4)</f>
        <v>0</v>
      </c>
      <c r="E23" s="7" t="s">
        <v>27</v>
      </c>
      <c r="F23" s="9" t="str">
        <f t="shared" si="6"/>
        <v>N/A</v>
      </c>
      <c r="I23" s="237"/>
      <c r="J23" s="141"/>
      <c r="K23" s="141" t="s">
        <v>4</v>
      </c>
      <c r="L23" s="141" t="s">
        <v>8</v>
      </c>
      <c r="Q23" s="436"/>
      <c r="R23" s="444" t="s">
        <v>272</v>
      </c>
      <c r="S23" s="436"/>
      <c r="T23" s="436"/>
      <c r="U23" s="436"/>
      <c r="V23" s="350">
        <v>7110000</v>
      </c>
      <c r="W23" s="168"/>
    </row>
    <row r="24" spans="2:23" ht="15.75" customHeight="1" x14ac:dyDescent="0.25">
      <c r="B24" s="2">
        <f t="shared" si="1"/>
        <v>2042</v>
      </c>
      <c r="C24" s="7"/>
      <c r="D24" s="9">
        <f>C24*(1+0.07)^-($B24-Assumptions!$D$4)</f>
        <v>0</v>
      </c>
      <c r="E24" s="7" t="s">
        <v>27</v>
      </c>
      <c r="F24" s="9" t="str">
        <f t="shared" si="6"/>
        <v>N/A</v>
      </c>
      <c r="I24" s="238"/>
      <c r="J24" s="145" t="s">
        <v>324</v>
      </c>
      <c r="K24" s="142" t="s">
        <v>9</v>
      </c>
      <c r="L24" s="142" t="s">
        <v>10</v>
      </c>
      <c r="Q24" s="436"/>
      <c r="R24" s="436"/>
      <c r="S24" s="436"/>
      <c r="T24" s="436"/>
      <c r="U24" s="436"/>
      <c r="V24" s="350"/>
    </row>
    <row r="25" spans="2:23" ht="15.75" customHeight="1" x14ac:dyDescent="0.25">
      <c r="B25" s="2">
        <f t="shared" si="1"/>
        <v>2043</v>
      </c>
      <c r="C25" s="7"/>
      <c r="D25" s="9">
        <f>C25*(1+0.07)^-($B25-Assumptions!$D$4)</f>
        <v>0</v>
      </c>
      <c r="E25" s="7" t="s">
        <v>27</v>
      </c>
      <c r="F25" s="9" t="str">
        <f t="shared" si="6"/>
        <v>N/A</v>
      </c>
      <c r="I25" s="239" t="s">
        <v>6</v>
      </c>
      <c r="J25" s="71" t="s">
        <v>28</v>
      </c>
      <c r="K25" s="142" t="s">
        <v>11</v>
      </c>
      <c r="L25" s="142" t="s">
        <v>12</v>
      </c>
      <c r="Q25" s="549" t="s">
        <v>273</v>
      </c>
      <c r="R25" s="550"/>
      <c r="S25" s="436"/>
      <c r="T25" s="436"/>
      <c r="U25" s="436"/>
      <c r="V25" s="350"/>
    </row>
    <row r="26" spans="2:23" ht="15.75" customHeight="1" x14ac:dyDescent="0.25">
      <c r="B26" s="2">
        <f t="shared" si="1"/>
        <v>2044</v>
      </c>
      <c r="C26" s="7"/>
      <c r="D26" s="9">
        <f>C26*(1+0.07)^-($B26-Assumptions!$D$4)</f>
        <v>0</v>
      </c>
      <c r="E26" s="7" t="s">
        <v>27</v>
      </c>
      <c r="F26" s="9" t="str">
        <f t="shared" si="6"/>
        <v>N/A</v>
      </c>
      <c r="I26" s="240" t="str">
        <f>I14</f>
        <v>Right-of-Way</v>
      </c>
      <c r="J26" s="146">
        <v>0.99237091208782646</v>
      </c>
      <c r="K26" s="69">
        <f t="shared" ref="K26:K31" si="7">K14</f>
        <v>1000000</v>
      </c>
      <c r="L26" s="14">
        <f t="shared" ref="L26:L31" si="8">K26*$J26</f>
        <v>992370.91208782641</v>
      </c>
      <c r="P26" s="127">
        <v>2</v>
      </c>
      <c r="Q26" s="436"/>
      <c r="R26" s="437" t="s">
        <v>274</v>
      </c>
      <c r="S26" s="438" t="s">
        <v>271</v>
      </c>
      <c r="T26" s="439">
        <v>49500</v>
      </c>
      <c r="U26" s="440" t="s">
        <v>275</v>
      </c>
      <c r="V26" s="350">
        <v>6187500</v>
      </c>
      <c r="W26" s="168"/>
    </row>
    <row r="27" spans="2:23" ht="15.75" customHeight="1" x14ac:dyDescent="0.25">
      <c r="B27" s="2">
        <f t="shared" si="1"/>
        <v>2045</v>
      </c>
      <c r="C27" s="7"/>
      <c r="D27" s="9">
        <f>C27*(1+0.07)^-($B27-Assumptions!$D$4)</f>
        <v>0</v>
      </c>
      <c r="E27" s="7" t="s">
        <v>27</v>
      </c>
      <c r="F27" s="9" t="str">
        <f t="shared" si="6"/>
        <v>N/A</v>
      </c>
      <c r="I27" s="240" t="str">
        <f t="shared" ref="I27:I31" si="9">I15</f>
        <v>Major Structures</v>
      </c>
      <c r="J27" s="147">
        <v>0.88388639269896585</v>
      </c>
      <c r="K27" s="15">
        <f t="shared" si="7"/>
        <v>9003400</v>
      </c>
      <c r="L27" s="16">
        <f t="shared" si="8"/>
        <v>7957982.748025869</v>
      </c>
      <c r="P27" s="127">
        <v>2</v>
      </c>
      <c r="Q27" s="436"/>
      <c r="R27" s="445" t="s">
        <v>276</v>
      </c>
      <c r="S27" s="438" t="s">
        <v>271</v>
      </c>
      <c r="T27" s="439">
        <v>10626</v>
      </c>
      <c r="U27" s="440" t="s">
        <v>277</v>
      </c>
      <c r="V27" s="350">
        <v>2815900</v>
      </c>
      <c r="W27" s="168"/>
    </row>
    <row r="28" spans="2:23" ht="15.75" customHeight="1" x14ac:dyDescent="0.25">
      <c r="B28" s="2">
        <f t="shared" ref="B28:B36" si="10">+B27+1</f>
        <v>2046</v>
      </c>
      <c r="C28" s="7"/>
      <c r="D28" s="9">
        <f>C28*(1+0.07)^-($B28-Assumptions!$D$4)</f>
        <v>0</v>
      </c>
      <c r="E28" s="7" t="s">
        <v>27</v>
      </c>
      <c r="F28" s="9" t="str">
        <f t="shared" si="0"/>
        <v>N/A</v>
      </c>
      <c r="I28" s="240" t="str">
        <f t="shared" si="9"/>
        <v>Grading and Drainage</v>
      </c>
      <c r="J28" s="147">
        <v>0.76764067825056037</v>
      </c>
      <c r="K28" s="15">
        <f t="shared" si="7"/>
        <v>3832200</v>
      </c>
      <c r="L28" s="16">
        <f t="shared" si="8"/>
        <v>2941752.6071917973</v>
      </c>
      <c r="Q28" s="436"/>
      <c r="R28" s="444" t="s">
        <v>272</v>
      </c>
      <c r="S28" s="436"/>
      <c r="T28" s="436"/>
      <c r="U28" s="436"/>
      <c r="V28" s="350">
        <v>9003000</v>
      </c>
      <c r="W28" s="168"/>
    </row>
    <row r="29" spans="2:23" ht="15.75" customHeight="1" x14ac:dyDescent="0.25">
      <c r="B29" s="2">
        <f t="shared" si="10"/>
        <v>2047</v>
      </c>
      <c r="C29" s="7"/>
      <c r="D29" s="9">
        <f>C29*(1+0.07)^-($B29-Assumptions!$D$4)</f>
        <v>0</v>
      </c>
      <c r="E29" s="7" t="s">
        <v>27</v>
      </c>
      <c r="F29" s="9" t="str">
        <f t="shared" si="0"/>
        <v>N/A</v>
      </c>
      <c r="I29" s="240" t="str">
        <f t="shared" si="9"/>
        <v>Sub Base and Base</v>
      </c>
      <c r="J29" s="147">
        <v>0.52683280319393944</v>
      </c>
      <c r="K29" s="15">
        <f t="shared" si="7"/>
        <v>1089600</v>
      </c>
      <c r="L29" s="16">
        <f t="shared" si="8"/>
        <v>574037.02236011636</v>
      </c>
      <c r="Q29" s="547"/>
      <c r="R29" s="548"/>
      <c r="S29" s="436"/>
      <c r="T29" s="436"/>
      <c r="U29" s="436"/>
      <c r="V29" s="350"/>
    </row>
    <row r="30" spans="2:23" ht="15.75" customHeight="1" x14ac:dyDescent="0.25">
      <c r="B30" s="2">
        <f t="shared" si="10"/>
        <v>2048</v>
      </c>
      <c r="C30" s="7"/>
      <c r="D30" s="9">
        <f>C30*(1+0.07)^-($B30-Assumptions!$D$4)</f>
        <v>0</v>
      </c>
      <c r="E30" s="7" t="s">
        <v>27</v>
      </c>
      <c r="F30" s="9" t="str">
        <f t="shared" ref="F30:F34" si="11">+E30</f>
        <v>N/A</v>
      </c>
      <c r="I30" s="240" t="str">
        <f t="shared" si="9"/>
        <v>Surface</v>
      </c>
      <c r="J30" s="147">
        <v>0</v>
      </c>
      <c r="K30" s="15">
        <f t="shared" si="7"/>
        <v>5264200</v>
      </c>
      <c r="L30" s="16">
        <f t="shared" si="8"/>
        <v>0</v>
      </c>
      <c r="Q30" s="448"/>
      <c r="R30" s="449"/>
      <c r="S30" s="449"/>
      <c r="T30" s="449"/>
      <c r="U30" s="449"/>
      <c r="V30" s="350"/>
    </row>
    <row r="31" spans="2:23" ht="15.75" customHeight="1" x14ac:dyDescent="0.25">
      <c r="B31" s="2">
        <f t="shared" si="10"/>
        <v>2049</v>
      </c>
      <c r="C31" s="7"/>
      <c r="D31" s="9">
        <f>C31*(1+0.07)^-($B31-Assumptions!$D$4)</f>
        <v>0</v>
      </c>
      <c r="E31" s="7" t="s">
        <v>27</v>
      </c>
      <c r="F31" s="9" t="str">
        <f t="shared" si="11"/>
        <v>N/A</v>
      </c>
      <c r="I31" s="240" t="str">
        <f t="shared" si="9"/>
        <v>Miscellaneous (Sunk)</v>
      </c>
      <c r="J31" s="149">
        <f>'RCV Calculator'!M20</f>
        <v>0</v>
      </c>
      <c r="K31" s="70">
        <f t="shared" si="7"/>
        <v>11273100</v>
      </c>
      <c r="L31" s="18">
        <f t="shared" si="8"/>
        <v>0</v>
      </c>
      <c r="Q31" s="436"/>
      <c r="R31" s="437" t="s">
        <v>278</v>
      </c>
      <c r="S31" s="436"/>
      <c r="T31" s="436"/>
      <c r="U31" s="436"/>
      <c r="V31" s="350">
        <v>16113000</v>
      </c>
      <c r="W31" s="168"/>
    </row>
    <row r="32" spans="2:23" ht="15.75" customHeight="1" thickBot="1" x14ac:dyDescent="0.3">
      <c r="B32" s="2">
        <f t="shared" si="10"/>
        <v>2050</v>
      </c>
      <c r="C32" s="7"/>
      <c r="D32" s="9">
        <f>C32*(1+0.07)^-($B32-Assumptions!$D$4)</f>
        <v>0</v>
      </c>
      <c r="E32" s="7" t="s">
        <v>27</v>
      </c>
      <c r="F32" s="9" t="str">
        <f t="shared" si="11"/>
        <v>N/A</v>
      </c>
      <c r="I32" s="241" t="s">
        <v>13</v>
      </c>
      <c r="J32" s="242"/>
      <c r="K32" s="243"/>
      <c r="L32" s="244">
        <f>SUM(L26:L31)</f>
        <v>12466143.28966561</v>
      </c>
      <c r="Q32" s="448"/>
      <c r="R32" s="449"/>
      <c r="S32" s="449"/>
      <c r="T32" s="449"/>
      <c r="U32" s="449"/>
      <c r="V32" s="350"/>
    </row>
    <row r="33" spans="1:23" ht="15.75" customHeight="1" x14ac:dyDescent="0.25">
      <c r="B33" s="2">
        <f t="shared" si="10"/>
        <v>2051</v>
      </c>
      <c r="C33" s="7"/>
      <c r="D33" s="9">
        <f>C33*(1+0.07)^-($B33-Assumptions!$D$4)</f>
        <v>0</v>
      </c>
      <c r="E33" s="7" t="s">
        <v>27</v>
      </c>
      <c r="F33" s="9" t="str">
        <f t="shared" si="11"/>
        <v>N/A</v>
      </c>
      <c r="Q33" s="436"/>
      <c r="R33" s="436"/>
      <c r="S33" s="436"/>
      <c r="T33" s="436"/>
      <c r="U33" s="436"/>
      <c r="V33" s="350"/>
    </row>
    <row r="34" spans="1:23" ht="15.75" customHeight="1" x14ac:dyDescent="0.25">
      <c r="B34" s="2">
        <f t="shared" si="10"/>
        <v>2052</v>
      </c>
      <c r="C34" s="7"/>
      <c r="D34" s="9">
        <f>C34*(1+0.07)^-($B34-Assumptions!$D$4)</f>
        <v>0</v>
      </c>
      <c r="E34" s="7" t="s">
        <v>27</v>
      </c>
      <c r="F34" s="9" t="str">
        <f t="shared" si="11"/>
        <v>N/A</v>
      </c>
      <c r="I34" s="12" t="s">
        <v>234</v>
      </c>
      <c r="Q34" s="549" t="s">
        <v>279</v>
      </c>
      <c r="R34" s="550"/>
      <c r="S34" s="436"/>
      <c r="T34" s="436"/>
      <c r="U34" s="436"/>
      <c r="V34" s="350"/>
    </row>
    <row r="35" spans="1:23" ht="15.75" customHeight="1" x14ac:dyDescent="0.25">
      <c r="B35" s="2">
        <f t="shared" si="10"/>
        <v>2053</v>
      </c>
      <c r="C35" s="7"/>
      <c r="D35" s="9">
        <f>C35*(1+0.07)^-($B35-Assumptions!$D$4)</f>
        <v>0</v>
      </c>
      <c r="E35" s="7" t="s">
        <v>27</v>
      </c>
      <c r="F35" s="9" t="str">
        <f t="shared" si="0"/>
        <v>N/A</v>
      </c>
      <c r="I35" s="311">
        <v>1.03</v>
      </c>
      <c r="P35" s="127">
        <v>6</v>
      </c>
      <c r="Q35" s="436"/>
      <c r="R35" s="437" t="s">
        <v>280</v>
      </c>
      <c r="S35" s="438" t="s">
        <v>281</v>
      </c>
      <c r="T35" s="442">
        <v>1</v>
      </c>
      <c r="U35" s="440" t="s">
        <v>282</v>
      </c>
      <c r="V35" s="350">
        <v>20000</v>
      </c>
      <c r="W35" s="168"/>
    </row>
    <row r="36" spans="1:23" ht="15.75" customHeight="1" thickBot="1" x14ac:dyDescent="0.3">
      <c r="B36" s="3">
        <f t="shared" si="10"/>
        <v>2054</v>
      </c>
      <c r="C36" s="8"/>
      <c r="D36" s="10">
        <f>C36*(1+0.07)^-($B36-Assumptions!$D$4)</f>
        <v>0</v>
      </c>
      <c r="E36" s="26">
        <f>+L32</f>
        <v>12466143.28966561</v>
      </c>
      <c r="F36" s="10">
        <f>E36*(1+0.07)^-($B36-Assumptions!$D$4)</f>
        <v>1249348.7113982027</v>
      </c>
      <c r="P36" s="127">
        <v>4</v>
      </c>
      <c r="Q36" s="436"/>
      <c r="R36" s="437" t="s">
        <v>283</v>
      </c>
      <c r="S36" s="438" t="s">
        <v>281</v>
      </c>
      <c r="T36" s="442">
        <v>1</v>
      </c>
      <c r="U36" s="440" t="s">
        <v>284</v>
      </c>
      <c r="V36" s="350">
        <v>250000</v>
      </c>
      <c r="W36" s="168"/>
    </row>
    <row r="37" spans="1:23" ht="15.75" customHeight="1" x14ac:dyDescent="0.25">
      <c r="B37" s="4"/>
      <c r="C37" s="6">
        <f>SUM(C5:C36)</f>
        <v>31462500</v>
      </c>
      <c r="D37" s="11">
        <f>SUM(D5:D36)</f>
        <v>24362629.468180936</v>
      </c>
      <c r="E37" s="25"/>
      <c r="F37" s="6">
        <f>SUM(F5:F36)</f>
        <v>1249348.7113982027</v>
      </c>
      <c r="P37" s="127">
        <v>5</v>
      </c>
      <c r="Q37" s="441">
        <v>-2</v>
      </c>
      <c r="R37" s="445" t="s">
        <v>285</v>
      </c>
      <c r="S37" s="438" t="s">
        <v>281</v>
      </c>
      <c r="T37" s="442">
        <v>1</v>
      </c>
      <c r="U37" s="440" t="s">
        <v>286</v>
      </c>
      <c r="V37" s="350">
        <v>100000</v>
      </c>
      <c r="W37" s="168"/>
    </row>
    <row r="38" spans="1:23" ht="15.75" customHeight="1" x14ac:dyDescent="0.25">
      <c r="B38" s="4"/>
      <c r="C38" s="4"/>
      <c r="D38" s="6"/>
      <c r="E38" s="25"/>
      <c r="F38" s="148"/>
      <c r="P38" s="127">
        <v>3</v>
      </c>
      <c r="Q38" s="436"/>
      <c r="R38" s="437" t="s">
        <v>287</v>
      </c>
      <c r="S38" s="438" t="s">
        <v>281</v>
      </c>
      <c r="T38" s="442">
        <v>1</v>
      </c>
      <c r="U38" s="440" t="s">
        <v>288</v>
      </c>
      <c r="V38" s="350">
        <v>1610000</v>
      </c>
      <c r="W38" s="168"/>
    </row>
    <row r="39" spans="1:23" ht="15.75" customHeight="1" x14ac:dyDescent="0.25">
      <c r="B39" s="278"/>
      <c r="C39" s="279"/>
      <c r="D39" s="279"/>
      <c r="E39" s="25"/>
      <c r="F39" s="148"/>
      <c r="Q39" s="436"/>
      <c r="R39" s="444" t="s">
        <v>272</v>
      </c>
      <c r="S39" s="436"/>
      <c r="T39" s="436"/>
      <c r="U39" s="436"/>
      <c r="V39" s="350">
        <v>1980000</v>
      </c>
      <c r="W39" s="168"/>
    </row>
    <row r="40" spans="1:23" ht="15.75" customHeight="1" x14ac:dyDescent="0.25">
      <c r="B40" s="150" t="s">
        <v>86</v>
      </c>
      <c r="C40" s="151">
        <f>D37</f>
        <v>24362629.468180936</v>
      </c>
      <c r="D40" s="280"/>
      <c r="Q40" s="436"/>
      <c r="R40" s="436"/>
      <c r="S40" s="436"/>
      <c r="T40" s="436"/>
      <c r="U40" s="436"/>
      <c r="V40" s="350"/>
    </row>
    <row r="41" spans="1:23" ht="15.75" customHeight="1" x14ac:dyDescent="0.25">
      <c r="Q41" s="549" t="s">
        <v>289</v>
      </c>
      <c r="R41" s="550"/>
      <c r="S41" s="436"/>
      <c r="T41" s="436"/>
      <c r="U41" s="436"/>
      <c r="V41" s="350"/>
    </row>
    <row r="42" spans="1:23" ht="15.75" customHeight="1" x14ac:dyDescent="0.25">
      <c r="B42" s="12" t="s">
        <v>3</v>
      </c>
      <c r="P42" s="127">
        <v>6</v>
      </c>
      <c r="Q42" s="436"/>
      <c r="R42" s="445" t="s">
        <v>290</v>
      </c>
      <c r="S42" s="557">
        <v>0.05</v>
      </c>
      <c r="T42" s="558"/>
      <c r="U42" s="440" t="s">
        <v>291</v>
      </c>
      <c r="V42" s="350">
        <v>904700</v>
      </c>
      <c r="W42" s="168"/>
    </row>
    <row r="43" spans="1:23" ht="15.75" customHeight="1" x14ac:dyDescent="0.25">
      <c r="A43" s="13" t="s">
        <v>53</v>
      </c>
      <c r="B43" s="493" t="s">
        <v>337</v>
      </c>
      <c r="C43" s="493"/>
      <c r="D43" s="493"/>
      <c r="E43" s="493"/>
      <c r="F43" s="493"/>
      <c r="P43" s="127">
        <v>6</v>
      </c>
      <c r="Q43" s="436"/>
      <c r="R43" s="437" t="s">
        <v>292</v>
      </c>
      <c r="S43" s="557">
        <v>0.02</v>
      </c>
      <c r="T43" s="558"/>
      <c r="U43" s="440" t="s">
        <v>291</v>
      </c>
      <c r="V43" s="350">
        <v>241700</v>
      </c>
      <c r="W43" s="168"/>
    </row>
    <row r="44" spans="1:23" ht="15.75" customHeight="1" x14ac:dyDescent="0.25">
      <c r="B44" s="493"/>
      <c r="C44" s="493"/>
      <c r="D44" s="493"/>
      <c r="E44" s="493"/>
      <c r="F44" s="493"/>
      <c r="P44" s="127">
        <v>5</v>
      </c>
      <c r="Q44" s="436"/>
      <c r="R44" s="437" t="s">
        <v>293</v>
      </c>
      <c r="S44" s="557">
        <v>0.03</v>
      </c>
      <c r="T44" s="558"/>
      <c r="U44" s="440" t="s">
        <v>291</v>
      </c>
      <c r="V44" s="350">
        <v>483400</v>
      </c>
      <c r="W44" s="168"/>
    </row>
    <row r="45" spans="1:23" ht="15.75" customHeight="1" x14ac:dyDescent="0.25">
      <c r="B45" s="493"/>
      <c r="C45" s="493"/>
      <c r="D45" s="493"/>
      <c r="E45" s="493"/>
      <c r="F45" s="493"/>
      <c r="P45" s="127">
        <v>3</v>
      </c>
      <c r="Q45" s="436"/>
      <c r="R45" s="437" t="s">
        <v>294</v>
      </c>
      <c r="S45" s="557">
        <v>0.05</v>
      </c>
      <c r="T45" s="558"/>
      <c r="U45" s="440" t="s">
        <v>291</v>
      </c>
      <c r="V45" s="350">
        <v>805700</v>
      </c>
      <c r="W45" s="168"/>
    </row>
    <row r="46" spans="1:23" ht="15.75" customHeight="1" x14ac:dyDescent="0.25">
      <c r="B46" s="493"/>
      <c r="C46" s="493"/>
      <c r="D46" s="493"/>
      <c r="E46" s="493"/>
      <c r="F46" s="493"/>
      <c r="P46" s="127">
        <v>5</v>
      </c>
      <c r="Q46" s="436"/>
      <c r="R46" s="445" t="s">
        <v>295</v>
      </c>
      <c r="S46" s="557">
        <v>0.02</v>
      </c>
      <c r="T46" s="558"/>
      <c r="U46" s="440" t="s">
        <v>291</v>
      </c>
      <c r="V46" s="350">
        <v>322300</v>
      </c>
      <c r="W46" s="168"/>
    </row>
    <row r="47" spans="1:23" x14ac:dyDescent="0.25">
      <c r="B47" s="153"/>
      <c r="C47" s="153"/>
      <c r="D47" s="153"/>
      <c r="E47" s="153"/>
      <c r="F47" s="153"/>
      <c r="P47" s="127">
        <v>6</v>
      </c>
      <c r="Q47" s="436"/>
      <c r="R47" s="437" t="s">
        <v>296</v>
      </c>
      <c r="S47" s="557">
        <v>0.08</v>
      </c>
      <c r="T47" s="558"/>
      <c r="U47" s="440" t="s">
        <v>291</v>
      </c>
      <c r="V47" s="350">
        <v>1289100</v>
      </c>
      <c r="W47" s="168"/>
    </row>
    <row r="48" spans="1:23" ht="15" customHeight="1" x14ac:dyDescent="0.25">
      <c r="A48" s="13" t="s">
        <v>67</v>
      </c>
      <c r="B48" s="493" t="s">
        <v>338</v>
      </c>
      <c r="C48" s="493"/>
      <c r="D48" s="493"/>
      <c r="E48" s="493"/>
      <c r="F48" s="493"/>
      <c r="P48" s="127">
        <v>6</v>
      </c>
      <c r="Q48" s="436"/>
      <c r="R48" s="437" t="s">
        <v>297</v>
      </c>
      <c r="S48" s="557">
        <v>0.2</v>
      </c>
      <c r="T48" s="558"/>
      <c r="U48" s="440" t="s">
        <v>291</v>
      </c>
      <c r="V48" s="350">
        <v>3222600</v>
      </c>
      <c r="W48" s="168"/>
    </row>
    <row r="49" spans="1:23" x14ac:dyDescent="0.25">
      <c r="B49" s="493"/>
      <c r="C49" s="493"/>
      <c r="D49" s="493"/>
      <c r="E49" s="493"/>
      <c r="F49" s="493"/>
      <c r="Q49" s="436"/>
      <c r="R49" s="444" t="s">
        <v>272</v>
      </c>
      <c r="S49" s="436"/>
      <c r="T49" s="436"/>
      <c r="U49" s="436"/>
      <c r="V49" s="350">
        <v>7270000</v>
      </c>
      <c r="W49" s="168"/>
    </row>
    <row r="50" spans="1:23" x14ac:dyDescent="0.25">
      <c r="A50" s="13"/>
      <c r="B50" s="493"/>
      <c r="C50" s="493"/>
      <c r="D50" s="493"/>
      <c r="E50" s="493"/>
      <c r="F50" s="493"/>
      <c r="Q50" s="436"/>
      <c r="R50" s="436"/>
      <c r="S50" s="436"/>
      <c r="T50" s="436"/>
      <c r="U50" s="436"/>
      <c r="V50" s="350"/>
    </row>
    <row r="51" spans="1:23" x14ac:dyDescent="0.25">
      <c r="B51" s="493"/>
      <c r="C51" s="493"/>
      <c r="D51" s="493"/>
      <c r="E51" s="493"/>
      <c r="F51" s="493"/>
      <c r="Q51" s="559" t="s">
        <v>298</v>
      </c>
      <c r="R51" s="560"/>
      <c r="S51" s="560"/>
      <c r="T51" s="560"/>
      <c r="U51" s="561"/>
      <c r="V51" s="350">
        <v>25400000</v>
      </c>
      <c r="W51" s="168"/>
    </row>
    <row r="52" spans="1:23" x14ac:dyDescent="0.25">
      <c r="B52" s="493"/>
      <c r="C52" s="493"/>
      <c r="D52" s="493"/>
      <c r="E52" s="493"/>
      <c r="F52" s="493"/>
      <c r="P52" s="127">
        <v>1</v>
      </c>
      <c r="Q52" s="562" t="s">
        <v>299</v>
      </c>
      <c r="R52" s="563"/>
      <c r="S52" s="563"/>
      <c r="T52" s="563"/>
      <c r="U52" s="564"/>
      <c r="V52" s="350">
        <v>1000000</v>
      </c>
    </row>
    <row r="53" spans="1:23" x14ac:dyDescent="0.25">
      <c r="B53" s="493"/>
      <c r="C53" s="493"/>
      <c r="D53" s="493"/>
      <c r="E53" s="493"/>
      <c r="F53" s="493"/>
      <c r="P53" s="127">
        <v>6</v>
      </c>
      <c r="Q53" s="559" t="s">
        <v>300</v>
      </c>
      <c r="R53" s="560"/>
      <c r="S53" s="560"/>
      <c r="T53" s="560"/>
      <c r="U53" s="561"/>
      <c r="V53" s="350">
        <v>5100000</v>
      </c>
      <c r="W53" s="168"/>
    </row>
    <row r="54" spans="1:23" x14ac:dyDescent="0.25">
      <c r="B54" s="493"/>
      <c r="C54" s="493"/>
      <c r="D54" s="493"/>
      <c r="E54" s="493"/>
      <c r="F54" s="493"/>
      <c r="Q54" s="559" t="s">
        <v>301</v>
      </c>
      <c r="R54" s="560"/>
      <c r="S54" s="560"/>
      <c r="T54" s="560"/>
      <c r="U54" s="561"/>
      <c r="V54" s="350">
        <v>30500000</v>
      </c>
      <c r="W54" s="168"/>
    </row>
    <row r="55" spans="1:23" x14ac:dyDescent="0.25">
      <c r="B55" s="493"/>
      <c r="C55" s="493"/>
      <c r="D55" s="493"/>
      <c r="E55" s="493"/>
      <c r="F55" s="493"/>
      <c r="Q55" s="446" t="s">
        <v>302</v>
      </c>
    </row>
    <row r="56" spans="1:23" ht="15" customHeight="1" x14ac:dyDescent="0.25">
      <c r="B56" s="493"/>
      <c r="C56" s="493"/>
      <c r="D56" s="493"/>
      <c r="E56" s="493"/>
      <c r="F56" s="493"/>
      <c r="Q56" s="170" t="s">
        <v>303</v>
      </c>
    </row>
    <row r="57" spans="1:23" x14ac:dyDescent="0.25">
      <c r="B57" s="493"/>
      <c r="C57" s="493"/>
      <c r="D57" s="493"/>
      <c r="E57" s="493"/>
      <c r="F57" s="493"/>
      <c r="Q57" s="170" t="s">
        <v>304</v>
      </c>
    </row>
    <row r="58" spans="1:23" x14ac:dyDescent="0.25">
      <c r="B58" s="493"/>
      <c r="C58" s="493"/>
      <c r="D58" s="493"/>
      <c r="E58" s="493"/>
      <c r="F58" s="493"/>
      <c r="Q58" s="170" t="s">
        <v>305</v>
      </c>
    </row>
    <row r="59" spans="1:23" x14ac:dyDescent="0.25">
      <c r="B59" s="493"/>
      <c r="C59" s="493"/>
      <c r="D59" s="493"/>
      <c r="E59" s="493"/>
      <c r="F59" s="493"/>
      <c r="Q59" s="447" t="s">
        <v>306</v>
      </c>
    </row>
    <row r="60" spans="1:23" x14ac:dyDescent="0.25">
      <c r="B60" s="493"/>
      <c r="C60" s="493"/>
      <c r="D60" s="493"/>
      <c r="E60" s="493"/>
      <c r="F60" s="493"/>
      <c r="Q60" s="447" t="s">
        <v>307</v>
      </c>
    </row>
    <row r="61" spans="1:23" x14ac:dyDescent="0.25">
      <c r="Q61" s="447" t="s">
        <v>308</v>
      </c>
    </row>
    <row r="62" spans="1:23" ht="15" customHeight="1" x14ac:dyDescent="0.25">
      <c r="Q62" s="170" t="s">
        <v>309</v>
      </c>
    </row>
    <row r="64" spans="1:23" x14ac:dyDescent="0.25">
      <c r="A64" s="13"/>
    </row>
    <row r="70" spans="1:1" x14ac:dyDescent="0.25">
      <c r="A70" s="13"/>
    </row>
  </sheetData>
  <mergeCells count="27">
    <mergeCell ref="Q54:U54"/>
    <mergeCell ref="S47:T47"/>
    <mergeCell ref="S48:T48"/>
    <mergeCell ref="Q51:U51"/>
    <mergeCell ref="Q52:U52"/>
    <mergeCell ref="Q53:U53"/>
    <mergeCell ref="S42:T42"/>
    <mergeCell ref="S43:T43"/>
    <mergeCell ref="S44:T44"/>
    <mergeCell ref="S45:T45"/>
    <mergeCell ref="S46:T46"/>
    <mergeCell ref="Q29:R29"/>
    <mergeCell ref="Q34:R34"/>
    <mergeCell ref="Q41:R41"/>
    <mergeCell ref="Q6:V6"/>
    <mergeCell ref="Q7:V7"/>
    <mergeCell ref="Q8:R8"/>
    <mergeCell ref="Q9:R9"/>
    <mergeCell ref="Q25:R25"/>
    <mergeCell ref="B43:F46"/>
    <mergeCell ref="B48:F60"/>
    <mergeCell ref="F3:F4"/>
    <mergeCell ref="K22:L22"/>
    <mergeCell ref="B3:B4"/>
    <mergeCell ref="C3:C4"/>
    <mergeCell ref="D3:D4"/>
    <mergeCell ref="E3:E4"/>
  </mergeCells>
  <pageMargins left="0.25" right="0.25" top="0.75" bottom="0.75" header="0.3" footer="0.3"/>
  <pageSetup paperSize="3"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34998626667073579"/>
  </sheetPr>
  <dimension ref="C3:N23"/>
  <sheetViews>
    <sheetView workbookViewId="0">
      <selection activeCell="O18" sqref="O18"/>
    </sheetView>
  </sheetViews>
  <sheetFormatPr defaultRowHeight="15" x14ac:dyDescent="0.25"/>
  <cols>
    <col min="3" max="3" width="23.140625" bestFit="1" customWidth="1"/>
    <col min="4" max="4" width="4.42578125" customWidth="1"/>
    <col min="5" max="5" width="20.5703125" customWidth="1"/>
  </cols>
  <sheetData>
    <row r="3" spans="3:14" x14ac:dyDescent="0.25">
      <c r="C3" t="s">
        <v>14</v>
      </c>
    </row>
    <row r="5" spans="3:14" x14ac:dyDescent="0.25">
      <c r="C5" t="s">
        <v>15</v>
      </c>
      <c r="D5" s="21" t="s">
        <v>16</v>
      </c>
      <c r="E5">
        <f>(1+H10)^H11</f>
        <v>1.9671513572895656</v>
      </c>
      <c r="G5" t="s">
        <v>17</v>
      </c>
    </row>
    <row r="6" spans="3:14" x14ac:dyDescent="0.25">
      <c r="C6" t="s">
        <v>18</v>
      </c>
      <c r="D6" s="21" t="s">
        <v>16</v>
      </c>
      <c r="E6">
        <f>((1+H10)^H12-1)/(H10*(1+H10)^H12)</f>
        <v>13.800746294033972</v>
      </c>
      <c r="G6" t="s">
        <v>19</v>
      </c>
    </row>
    <row r="7" spans="3:14" x14ac:dyDescent="0.25">
      <c r="C7" t="s">
        <v>20</v>
      </c>
      <c r="D7" s="21" t="s">
        <v>16</v>
      </c>
      <c r="E7">
        <f>((1+H10)^H11-1)/(H10*(1+H10)^H11)</f>
        <v>7.0235815409326028</v>
      </c>
      <c r="G7" t="s">
        <v>21</v>
      </c>
    </row>
    <row r="10" spans="3:14" x14ac:dyDescent="0.25">
      <c r="G10" t="s">
        <v>22</v>
      </c>
      <c r="H10" s="22">
        <v>7.0000000000000007E-2</v>
      </c>
    </row>
    <row r="11" spans="3:14" x14ac:dyDescent="0.25">
      <c r="G11" t="s">
        <v>23</v>
      </c>
      <c r="H11">
        <v>10</v>
      </c>
    </row>
    <row r="12" spans="3:14" x14ac:dyDescent="0.25">
      <c r="G12" t="s">
        <v>24</v>
      </c>
      <c r="H12">
        <v>50</v>
      </c>
    </row>
    <row r="13" spans="3:14" ht="15.75" thickBot="1" x14ac:dyDescent="0.3"/>
    <row r="14" spans="3:14" x14ac:dyDescent="0.25">
      <c r="G14" t="s">
        <v>25</v>
      </c>
      <c r="H14">
        <f>E5*(E6-E7)/E6</f>
        <v>0.96601361684343312</v>
      </c>
      <c r="L14" s="227"/>
      <c r="M14" s="230" t="s">
        <v>127</v>
      </c>
      <c r="N14" t="s">
        <v>128</v>
      </c>
    </row>
    <row r="15" spans="3:14" x14ac:dyDescent="0.25">
      <c r="L15" s="231">
        <v>100</v>
      </c>
      <c r="M15" s="232">
        <v>0.99668901533542642</v>
      </c>
      <c r="N15" s="127">
        <v>0.99237091208782646</v>
      </c>
    </row>
    <row r="16" spans="3:14" x14ac:dyDescent="0.25">
      <c r="L16" s="231">
        <v>60</v>
      </c>
      <c r="M16" s="232">
        <v>0.94960729545289124</v>
      </c>
      <c r="N16" s="127">
        <v>0.88388639269896585</v>
      </c>
    </row>
    <row r="17" spans="12:14" x14ac:dyDescent="0.25">
      <c r="L17" s="231">
        <v>50</v>
      </c>
      <c r="M17" s="232">
        <v>0.89915725708762961</v>
      </c>
      <c r="N17" s="127">
        <v>0.76764067825056037</v>
      </c>
    </row>
    <row r="18" spans="12:14" x14ac:dyDescent="0.25">
      <c r="L18" s="231">
        <v>40</v>
      </c>
      <c r="M18" s="232">
        <v>0.79464788577092815</v>
      </c>
      <c r="N18" s="127">
        <v>0.52683280319393944</v>
      </c>
    </row>
    <row r="19" spans="12:14" x14ac:dyDescent="0.25">
      <c r="L19" s="231">
        <v>25</v>
      </c>
      <c r="M19" s="232">
        <v>0.35184006268551071</v>
      </c>
      <c r="N19" s="127">
        <v>0</v>
      </c>
    </row>
    <row r="20" spans="12:14" ht="15.75" thickBot="1" x14ac:dyDescent="0.3">
      <c r="L20" s="233">
        <v>0</v>
      </c>
      <c r="M20" s="234">
        <v>0</v>
      </c>
    </row>
    <row r="22" spans="12:14" x14ac:dyDescent="0.25">
      <c r="L22">
        <v>20</v>
      </c>
      <c r="M22">
        <v>0.66297641084495229</v>
      </c>
    </row>
    <row r="23" spans="12:14" x14ac:dyDescent="0.25">
      <c r="L23">
        <v>50</v>
      </c>
      <c r="M23">
        <v>0.96601361684343312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Assumptions</vt:lpstr>
      <vt:lpstr>BCA Summary </vt:lpstr>
      <vt:lpstr>Travel Time Savings </vt:lpstr>
      <vt:lpstr>Operation Benefits</vt:lpstr>
      <vt:lpstr>SafetyBenefits</vt:lpstr>
      <vt:lpstr>Air Quality</vt:lpstr>
      <vt:lpstr>Water Quality</vt:lpstr>
      <vt:lpstr>Operating and Maintenance Costs</vt:lpstr>
      <vt:lpstr>Capital Cost and RCV Calc</vt:lpstr>
      <vt:lpstr>RCV Calculator</vt:lpstr>
      <vt:lpstr>AnalysisPeriod</vt:lpstr>
      <vt:lpstr>AutoCost</vt:lpstr>
      <vt:lpstr>CompositeCost</vt:lpstr>
      <vt:lpstr>Daysinyr</vt:lpstr>
      <vt:lpstr>DiscountRate</vt:lpstr>
      <vt:lpstr>EndYear</vt:lpstr>
      <vt:lpstr>PeakLngthE</vt:lpstr>
      <vt:lpstr>PercentAutoW</vt:lpstr>
      <vt:lpstr>PercentAutoWO</vt:lpstr>
      <vt:lpstr>PercentTrucksW</vt:lpstr>
      <vt:lpstr>PercentTrucksWO</vt:lpstr>
      <vt:lpstr>PercTruckW</vt:lpstr>
      <vt:lpstr>PerTruckE</vt:lpstr>
      <vt:lpstr>PerTruckN</vt:lpstr>
      <vt:lpstr>'Air Quality'!Print_Area</vt:lpstr>
      <vt:lpstr>Assumptions!Print_Area</vt:lpstr>
      <vt:lpstr>'BCA Summary '!Print_Area</vt:lpstr>
      <vt:lpstr>'Capital Cost and RCV Calc'!Print_Area</vt:lpstr>
      <vt:lpstr>'Operating and Maintenance Costs'!Print_Area</vt:lpstr>
      <vt:lpstr>'Operation Benefits'!Print_Area</vt:lpstr>
      <vt:lpstr>SafetyBenefits!Print_Area</vt:lpstr>
      <vt:lpstr>'Travel Time Savings '!Print_Area</vt:lpstr>
      <vt:lpstr>'Water Quality'!Print_Area</vt:lpstr>
      <vt:lpstr>ProjLoc</vt:lpstr>
      <vt:lpstr>Projlocation</vt:lpstr>
      <vt:lpstr>ProjName</vt:lpstr>
      <vt:lpstr>SRFProjectNum</vt:lpstr>
      <vt:lpstr>StartYear</vt:lpstr>
      <vt:lpstr>TAccReductPer</vt:lpstr>
      <vt:lpstr>TAptFW</vt:lpstr>
      <vt:lpstr>TPerHwy</vt:lpstr>
      <vt:lpstr>TruckSpeed</vt:lpstr>
      <vt:lpstr>TVehMiBW</vt:lpstr>
      <vt:lpstr>TVehMiFW</vt:lpstr>
    </vt:vector>
  </TitlesOfParts>
  <Company>SRF Consulting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Loos</dc:creator>
  <cp:lastModifiedBy>Matt Flanagan</cp:lastModifiedBy>
  <cp:lastPrinted>2015-06-02T17:19:45Z</cp:lastPrinted>
  <dcterms:created xsi:type="dcterms:W3CDTF">2013-05-17T20:57:43Z</dcterms:created>
  <dcterms:modified xsi:type="dcterms:W3CDTF">2022-05-17T17:35:51Z</dcterms:modified>
</cp:coreProperties>
</file>